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drawings/drawing32.xml" ContentType="application/vnd.openxmlformats-officedocument.drawing+xml"/>
  <Override PartName="/xl/comments4.xml" ContentType="application/vnd.openxmlformats-officedocument.spreadsheetml.comments+xml"/>
  <Override PartName="/xl/drawings/drawing33.xml" ContentType="application/vnd.openxmlformats-officedocument.drawing+xml"/>
  <Override PartName="/xl/comments5.xml" ContentType="application/vnd.openxmlformats-officedocument.spreadsheetml.comments+xml"/>
  <Override PartName="/xl/drawings/drawing34.xml" ContentType="application/vnd.openxmlformats-officedocument.drawing+xml"/>
  <Override PartName="/xl/comments6.xml" ContentType="application/vnd.openxmlformats-officedocument.spreadsheetml.comments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7.xml" ContentType="application/vnd.openxmlformats-officedocument.spreadsheetml.comments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omments8.xml" ContentType="application/vnd.openxmlformats-officedocument.spreadsheetml.comments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60" windowWidth="24240" windowHeight="12960"/>
  </bookViews>
  <sheets>
    <sheet name="BẢNG PHÂN TOÁN" sheetId="71" r:id="rId1"/>
    <sheet name="Tính lương tổ" sheetId="152" state="hidden" r:id="rId2"/>
    <sheet name="Mủ" sheetId="80" state="hidden" r:id="rId3"/>
    <sheet name="Chấm công công nhân" sheetId="67" state="hidden" r:id="rId4"/>
    <sheet name="LƯƠNG TT" sheetId="114" r:id="rId5"/>
    <sheet name="BẢNG LƯƠNG KT" sheetId="3" r:id="rId6"/>
    <sheet name="1" sheetId="108" r:id="rId7"/>
    <sheet name="2" sheetId="146" r:id="rId8"/>
    <sheet name="3" sheetId="110" r:id="rId9"/>
    <sheet name="BV" sheetId="100" r:id="rId10"/>
    <sheet name="CHẤM CÔNG BV" sheetId="94" state="hidden" r:id="rId11"/>
    <sheet name="Vươn KTCB" sheetId="77" state="hidden" r:id="rId12"/>
    <sheet name="Tạp vụ" sheetId="106" state="hidden" r:id="rId13"/>
    <sheet name="Phụ cấp người Việt" sheetId="147" state="hidden" r:id="rId14"/>
    <sheet name="BẢNG PHÂN TOÁN ĐÚNG" sheetId="141" state="hidden" r:id="rId15"/>
    <sheet name="Mủ BN D40" sheetId="138" state="hidden" r:id="rId16"/>
    <sheet name="THƯỞNG SL" sheetId="83" state="hidden" r:id="rId17"/>
    <sheet name="QL LƯƠNG" sheetId="86" state="hidden" r:id="rId18"/>
    <sheet name="Tổ 1" sheetId="91" state="hidden" r:id="rId19"/>
    <sheet name="Tổ 2" sheetId="90" state="hidden" r:id="rId20"/>
    <sheet name="Tổ 3" sheetId="89" state="hidden" r:id="rId21"/>
    <sheet name="BN DRC CHUẨN" sheetId="145" state="hidden" r:id="rId22"/>
    <sheet name="DANH SÁCH THUẾ" sheetId="143" state="hidden" r:id="rId23"/>
    <sheet name="Tong hop cong" sheetId="57" state="hidden" r:id="rId24"/>
    <sheet name="BCSX T4" sheetId="137" state="hidden" r:id="rId25"/>
    <sheet name="KHSX T5" sheetId="139" state="hidden" r:id="rId26"/>
    <sheet name="Tạm tính BN" sheetId="136" state="hidden" r:id="rId27"/>
    <sheet name="Lương gia thuộc" sheetId="135" state="hidden" r:id="rId28"/>
    <sheet name="Phụ cấp" sheetId="133" state="hidden" r:id="rId29"/>
    <sheet name="KTCB" sheetId="68" state="hidden" r:id="rId30"/>
    <sheet name="Lương USD" sheetId="63" state="hidden" r:id="rId31"/>
    <sheet name="Bảng kê lương" sheetId="64" state="hidden" r:id="rId32"/>
    <sheet name="PC trực đêm" sheetId="76" state="hidden" r:id="rId33"/>
    <sheet name="PL con" sheetId="125" state="hidden" r:id="rId34"/>
    <sheet name="pl CBCNV" sheetId="134" state="hidden" r:id="rId35"/>
    <sheet name="Công CBNV" sheetId="115" state="hidden" r:id="rId36"/>
    <sheet name="CHẤM CÔNG XĂNG XE" sheetId="150" state="hidden" r:id="rId37"/>
    <sheet name="XĂNG XE T3" sheetId="160" state="hidden" r:id="rId38"/>
    <sheet name="PC XĂNG XE" sheetId="151" state="hidden" r:id="rId39"/>
    <sheet name="Chấm công xăng)" sheetId="87" state="hidden" r:id="rId40"/>
    <sheet name="tt xăng" sheetId="88" state="hidden" r:id="rId41"/>
    <sheet name="Lương Tổ" sheetId="79" state="hidden" r:id="rId42"/>
    <sheet name="TH MỦ" sheetId="105" state="hidden" r:id="rId43"/>
    <sheet name="TH CÔNG" sheetId="113" state="hidden" r:id="rId44"/>
    <sheet name="Kỷ thuật" sheetId="58" state="hidden" r:id="rId45"/>
    <sheet name="C.B NV" sheetId="1" state="hidden" r:id="rId46"/>
    <sheet name="VC KTCB" sheetId="28" state="hidden" r:id="rId47"/>
    <sheet name="VC TAI CANH" sheetId="29" state="hidden" r:id="rId48"/>
    <sheet name="BẢO VỆ" sheetId="6" state="hidden" r:id="rId49"/>
    <sheet name="VƯƠN ƯƠM" sheetId="21" state="hidden" r:id="rId50"/>
    <sheet name="Biểu t.h" sheetId="4" state="hidden" r:id="rId51"/>
    <sheet name="Mã số NV" sheetId="53" state="hidden" r:id="rId52"/>
    <sheet name="Công việc khác" sheetId="26" state="hidden" r:id="rId53"/>
    <sheet name="TRƯỞN BẢN" sheetId="42" state="hidden" r:id="rId54"/>
    <sheet name="ky thuật" sheetId="37" state="hidden" r:id="rId55"/>
    <sheet name="BC" sheetId="20" state="hidden" r:id="rId56"/>
    <sheet name="Lương Tổng NT" sheetId="5" state="hidden" r:id="rId57"/>
    <sheet name="CV KHAC" sheetId="73" state="hidden" r:id="rId58"/>
    <sheet name="BHXH" sheetId="2" state="hidden" r:id="rId59"/>
    <sheet name="NTNB" sheetId="41" state="hidden" r:id="rId60"/>
    <sheet name=" Công" sheetId="15" state="hidden" r:id="rId61"/>
    <sheet name="mẩu" sheetId="19" state="hidden" r:id="rId62"/>
    <sheet name="TRƯỞNG BẢN" sheetId="59" state="hidden" r:id="rId63"/>
    <sheet name="Sheet3" sheetId="148" state="hidden" r:id="rId64"/>
    <sheet name="TỔNG HỢP CHI PHÍ KHÁC" sheetId="142" state="hidden" r:id="rId65"/>
    <sheet name="KHSX T8" sheetId="117" state="hidden" r:id="rId66"/>
    <sheet name="BCSXT7" sheetId="118" state="hidden" r:id="rId67"/>
    <sheet name="BCSX T8" sheetId="129" state="hidden" r:id="rId68"/>
    <sheet name="KHSX T9" sheetId="127" state="hidden" r:id="rId69"/>
    <sheet name="bcsx t9" sheetId="131" state="hidden" r:id="rId70"/>
    <sheet name="khsx t10" sheetId="132" state="hidden" r:id="rId71"/>
    <sheet name="Hổ trợ 2421" sheetId="112" state="hidden" r:id="rId72"/>
    <sheet name="Thiết kế t1" sheetId="153" state="hidden" r:id="rId73"/>
    <sheet name="xã miệng cạo cũ t1" sheetId="116" state="hidden" r:id="rId74"/>
    <sheet name="xã miệng cạo mới t1" sheetId="155" state="hidden" r:id="rId75"/>
    <sheet name="Trang bị t1" sheetId="157" state="hidden" r:id="rId76"/>
    <sheet name="Trang bị t2" sheetId="156" state="hidden" r:id="rId77"/>
    <sheet name="Thiết kế t2" sheetId="154" state="hidden" r:id="rId78"/>
    <sheet name="Xã cạo t2" sheetId="158" state="hidden" r:id="rId79"/>
    <sheet name="Trang bị t3" sheetId="159" state="hidden" r:id="rId80"/>
    <sheet name="xã cạo t3" sheetId="119" state="hidden" r:id="rId81"/>
    <sheet name="mcm t1" sheetId="120" state="hidden" r:id="rId82"/>
    <sheet name="mcm t2" sheetId="121" state="hidden" r:id="rId83"/>
    <sheet name="mcm t3" sheetId="128" state="hidden" r:id="rId84"/>
    <sheet name="mpc t1" sheetId="122" state="hidden" r:id="rId85"/>
    <sheet name="mpc t2" sheetId="123" state="hidden" r:id="rId86"/>
    <sheet name="mpc t3" sheetId="130" state="hidden" r:id="rId87"/>
    <sheet name="gia cố mcm t1" sheetId="124" state="hidden" r:id="rId88"/>
    <sheet name="kt1" sheetId="97" state="hidden" r:id="rId89"/>
    <sheet name="kt2" sheetId="98" state="hidden" r:id="rId90"/>
    <sheet name="kt3" sheetId="99" state="hidden" r:id="rId91"/>
    <sheet name="Kỹ thuật 1 (ngữa)" sheetId="101" state="hidden" r:id="rId92"/>
    <sheet name="Sheet2" sheetId="111" state="hidden" r:id="rId93"/>
    <sheet name="Kỹ thuật 1 (úp)" sheetId="104" state="hidden" r:id="rId94"/>
    <sheet name="kỹ thuật 2" sheetId="102" state="hidden" r:id="rId95"/>
    <sheet name="kỹ thuật 3" sheetId="103" state="hidden" r:id="rId96"/>
    <sheet name="MSNV" sheetId="61" state="hidden" r:id="rId97"/>
    <sheet name="TIỀN ĂN" sheetId="72" state="hidden" r:id="rId98"/>
    <sheet name="Thưởng tết dương lich" sheetId="84" state="hidden" r:id="rId99"/>
    <sheet name="Sheet1" sheetId="85" state="hidden" r:id="rId100"/>
  </sheets>
  <externalReferences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</externalReferences>
  <definedNames>
    <definedName name="_xlnm._FilterDatabase" localSheetId="5" hidden="1">'BẢNG LƯƠNG KT'!$A$15:$AB$97</definedName>
    <definedName name="_xlnm._FilterDatabase" localSheetId="2" hidden="1">Mủ!$AH$11:$AL$91</definedName>
    <definedName name="_xlnm._FilterDatabase" localSheetId="26" hidden="1">'Tạm tính BN'!$A$14:$T$33</definedName>
    <definedName name="_xlnm.Print_Area" localSheetId="31">'Bảng kê lương'!$A$1:$AG$50</definedName>
    <definedName name="_xlnm.Print_Area" localSheetId="5">'BẢNG LƯƠNG KT'!$A$3:$V$109</definedName>
    <definedName name="_xlnm.Print_Area" localSheetId="14">'BẢNG PHÂN TOÁN ĐÚNG'!$A$1:$K$42</definedName>
    <definedName name="_xlnm.Print_Area" localSheetId="48">'BẢO VỆ'!$A$1:$O$31</definedName>
    <definedName name="_xlnm.Print_Area" localSheetId="50">'Biểu t.h'!$A$1:$AN$75</definedName>
    <definedName name="_xlnm.Print_Area" localSheetId="45">'C.B NV'!$A$1:$P$29</definedName>
    <definedName name="_xlnm.Print_Area" localSheetId="52">'Công việc khác'!$A$1:$F$38</definedName>
    <definedName name="_xlnm.Print_Area" localSheetId="3">'Chấm công công nhân'!$A$1:$AY$110</definedName>
    <definedName name="_xlnm.Print_Area" localSheetId="29">KTCB!$A$1:$O$25</definedName>
    <definedName name="_xlnm.Print_Area" localSheetId="56">'Lương Tổng NT'!$A$1:$T$106</definedName>
    <definedName name="_xlnm.Print_Area" localSheetId="30">'Lương USD'!$A$1:$T$50</definedName>
    <definedName name="_xlnm.Print_Area" localSheetId="46">'VC KTCB'!$A$1:$Q$31</definedName>
    <definedName name="_xlnm.Print_Area" localSheetId="47">'VC TAI CANH'!$A$1:$Q$28</definedName>
    <definedName name="_xlnm.Print_Area" localSheetId="49">'VƯƠN ƯƠM'!$A$1:$Q$36</definedName>
    <definedName name="_xlnm.Print_Titles" localSheetId="60">' Công'!$7:$8</definedName>
    <definedName name="_xlnm.Print_Titles" localSheetId="6">'1'!$10:$13</definedName>
    <definedName name="_xlnm.Print_Titles" localSheetId="8">'3'!$12:$15</definedName>
    <definedName name="_xlnm.Print_Titles" localSheetId="5">'BẢNG LƯƠNG KT'!$11:$15</definedName>
    <definedName name="_xlnm.Print_Titles" localSheetId="0">'BẢNG PHÂN TOÁN'!$11:$11</definedName>
    <definedName name="_xlnm.Print_Titles" localSheetId="14">'BẢNG PHÂN TOÁN ĐÚNG'!$11:$11</definedName>
    <definedName name="_xlnm.Print_Titles" localSheetId="55">BC!$7:$8</definedName>
    <definedName name="_xlnm.Print_Titles" localSheetId="50">'Biểu t.h'!$7:$8</definedName>
    <definedName name="_xlnm.Print_Titles" localSheetId="52">'Công việc khác'!$6:$9</definedName>
    <definedName name="_xlnm.Print_Titles" localSheetId="3">'Chấm công công nhân'!$9:$10</definedName>
    <definedName name="_xlnm.Print_Titles" localSheetId="44">'Kỷ thuật'!$9:$9</definedName>
    <definedName name="_xlnm.Print_Titles" localSheetId="91">'Kỹ thuật 1 (ngữa)'!$7:$11</definedName>
    <definedName name="_xlnm.Print_Titles" localSheetId="93">'Kỹ thuật 1 (úp)'!$7:$11</definedName>
    <definedName name="_xlnm.Print_Titles" localSheetId="94">'kỹ thuật 2'!$7:$11</definedName>
    <definedName name="_xlnm.Print_Titles" localSheetId="95">'kỹ thuật 3'!$7:$11</definedName>
    <definedName name="_xlnm.Print_Titles" localSheetId="27">'Lương gia thuộc'!$10:$11</definedName>
    <definedName name="_xlnm.Print_Titles" localSheetId="56">'Lương Tổng NT'!$9:$11</definedName>
    <definedName name="_xlnm.Print_Titles" localSheetId="4">'LƯƠNG TT'!$9:$10</definedName>
    <definedName name="_xlnm.Print_Titles" localSheetId="61">mẩu!$6:$10</definedName>
    <definedName name="_xlnm.Print_Titles" localSheetId="2">Mủ!$10:$11</definedName>
    <definedName name="_xlnm.Print_Titles" localSheetId="23">'Tong hop cong'!$10:$12</definedName>
    <definedName name="_xlnm.Print_Titles" localSheetId="18">'Tổ 1'!$12:$13</definedName>
    <definedName name="_xlnm.Print_Titles" localSheetId="19">'Tổ 2'!$12:$14</definedName>
    <definedName name="_xlnm.Print_Titles" localSheetId="20">'Tổ 3'!$12:$13</definedName>
    <definedName name="_xlnm.Print_Titles" localSheetId="98">'Thưởng tết dương lich'!$11:$13</definedName>
    <definedName name="_xlnm.Print_Titles" localSheetId="49">'VƯƠN ƯƠM'!$6:$10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10" l="1"/>
  <c r="S92" i="3" l="1"/>
  <c r="Y90" i="3"/>
  <c r="Y89" i="3"/>
  <c r="P16" i="110" l="1"/>
  <c r="W76" i="3" l="1"/>
  <c r="X76" i="3"/>
  <c r="Y86" i="3"/>
  <c r="X86" i="3"/>
  <c r="N76" i="3"/>
  <c r="M76" i="3"/>
  <c r="S77" i="3"/>
  <c r="Z55" i="3"/>
  <c r="Y55" i="3"/>
  <c r="X55" i="3"/>
  <c r="W55" i="3"/>
  <c r="P10" i="3"/>
  <c r="Q10" i="3"/>
  <c r="O10" i="3"/>
  <c r="N10" i="3"/>
  <c r="M10" i="3"/>
  <c r="M16" i="3"/>
  <c r="Q98" i="3"/>
  <c r="P98" i="3"/>
  <c r="O98" i="3"/>
  <c r="P31" i="110" l="1"/>
  <c r="F27" i="71" l="1"/>
  <c r="F26" i="71"/>
  <c r="F25" i="71"/>
  <c r="F24" i="71"/>
  <c r="F20" i="71"/>
  <c r="F19" i="71"/>
  <c r="F17" i="71"/>
  <c r="F16" i="71"/>
  <c r="F15" i="71"/>
  <c r="F18" i="71"/>
  <c r="H11" i="110" l="1"/>
  <c r="H14" i="146"/>
  <c r="H9" i="108"/>
  <c r="S19" i="108" s="1"/>
  <c r="S44" i="108" l="1"/>
  <c r="S37" i="108"/>
  <c r="S30" i="108"/>
  <c r="S26" i="108"/>
  <c r="S20" i="108"/>
  <c r="S43" i="108"/>
  <c r="S36" i="108"/>
  <c r="S29" i="108"/>
  <c r="S24" i="108"/>
  <c r="S50" i="108"/>
  <c r="S53" i="3" s="1"/>
  <c r="S34" i="108"/>
  <c r="S49" i="108"/>
  <c r="S33" i="108"/>
  <c r="S47" i="108"/>
  <c r="S25" i="108"/>
  <c r="S42" i="108"/>
  <c r="S15" i="108"/>
  <c r="S45" i="108"/>
  <c r="S17" i="108"/>
  <c r="S39" i="108"/>
  <c r="S23" i="108"/>
  <c r="S38" i="108"/>
  <c r="S14" i="108"/>
  <c r="S17" i="3" s="1"/>
  <c r="S35" i="108"/>
  <c r="S48" i="108"/>
  <c r="S41" i="108"/>
  <c r="S32" i="108"/>
  <c r="S28" i="108"/>
  <c r="S22" i="108"/>
  <c r="S18" i="108"/>
  <c r="S20" i="146"/>
  <c r="S36" i="146"/>
  <c r="S37" i="146"/>
  <c r="S46" i="108"/>
  <c r="S40" i="108"/>
  <c r="S31" i="108"/>
  <c r="S27" i="108"/>
  <c r="S21" i="108"/>
  <c r="S16" i="108"/>
  <c r="J15" i="152"/>
  <c r="P18" i="110" l="1"/>
  <c r="P19" i="110"/>
  <c r="P20" i="110"/>
  <c r="P21" i="110"/>
  <c r="P22" i="110"/>
  <c r="P23" i="110"/>
  <c r="P24" i="110"/>
  <c r="P25" i="110"/>
  <c r="P26" i="110"/>
  <c r="F18" i="151" l="1"/>
  <c r="C18" i="151"/>
  <c r="AH14" i="160"/>
  <c r="AR16" i="160"/>
  <c r="AQ16" i="160"/>
  <c r="AP16" i="160"/>
  <c r="AO16" i="160"/>
  <c r="AN16" i="160"/>
  <c r="AM16" i="160"/>
  <c r="AL16" i="160"/>
  <c r="AK16" i="160"/>
  <c r="AJ16" i="160"/>
  <c r="AI15" i="160"/>
  <c r="AG14" i="160"/>
  <c r="AE14" i="160"/>
  <c r="AD14" i="160"/>
  <c r="AC14" i="160"/>
  <c r="AB14" i="160"/>
  <c r="AA14" i="160"/>
  <c r="Z14" i="160"/>
  <c r="Y14" i="160"/>
  <c r="X14" i="160"/>
  <c r="W14" i="160"/>
  <c r="V14" i="160"/>
  <c r="U14" i="160"/>
  <c r="T14" i="160"/>
  <c r="S14" i="160"/>
  <c r="R14" i="160"/>
  <c r="Q14" i="160"/>
  <c r="P14" i="160"/>
  <c r="O14" i="160"/>
  <c r="N14" i="160"/>
  <c r="M14" i="160"/>
  <c r="L14" i="160"/>
  <c r="K14" i="160"/>
  <c r="J14" i="160"/>
  <c r="I14" i="160"/>
  <c r="H14" i="160"/>
  <c r="G14" i="160"/>
  <c r="F14" i="160"/>
  <c r="E14" i="160"/>
  <c r="D14" i="160"/>
  <c r="AF13" i="160"/>
  <c r="AF14" i="160" s="1"/>
  <c r="D11" i="160"/>
  <c r="AS15" i="160" l="1"/>
  <c r="AT15" i="160" s="1"/>
  <c r="AI16" i="160"/>
  <c r="I18" i="151"/>
  <c r="AJ22" i="150"/>
  <c r="AK22" i="150"/>
  <c r="AL22" i="150"/>
  <c r="AM22" i="150"/>
  <c r="AN22" i="150"/>
  <c r="AO22" i="150"/>
  <c r="AP22" i="150"/>
  <c r="AQ22" i="150"/>
  <c r="AR22" i="150"/>
  <c r="AS16" i="160" l="1"/>
  <c r="AT16" i="160"/>
  <c r="BD18" i="80"/>
  <c r="BD16" i="80"/>
  <c r="BD14" i="80"/>
  <c r="BD15" i="80"/>
  <c r="BD13" i="80"/>
  <c r="J16" i="57" l="1"/>
  <c r="J17" i="57"/>
  <c r="J18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3" i="57"/>
  <c r="J34" i="57"/>
  <c r="J35" i="57"/>
  <c r="J36" i="57"/>
  <c r="J37" i="57"/>
  <c r="J38" i="57"/>
  <c r="J39" i="57"/>
  <c r="J40" i="57"/>
  <c r="J41" i="57"/>
  <c r="J42" i="57"/>
  <c r="J43" i="57"/>
  <c r="J44" i="57"/>
  <c r="J45" i="57"/>
  <c r="J46" i="57"/>
  <c r="J47" i="57"/>
  <c r="J48" i="57"/>
  <c r="J49" i="57"/>
  <c r="J14" i="57"/>
  <c r="J15" i="57"/>
  <c r="J13" i="57"/>
  <c r="K74" i="57"/>
  <c r="K75" i="57"/>
  <c r="K76" i="57"/>
  <c r="K77" i="57"/>
  <c r="K78" i="57"/>
  <c r="K79" i="57"/>
  <c r="K80" i="57"/>
  <c r="K81" i="57"/>
  <c r="K82" i="57"/>
  <c r="K83" i="57"/>
  <c r="K84" i="57"/>
  <c r="K85" i="57"/>
  <c r="K86" i="57"/>
  <c r="K87" i="57"/>
  <c r="K88" i="57"/>
  <c r="K73" i="57"/>
  <c r="J74" i="57"/>
  <c r="J75" i="57"/>
  <c r="J76" i="57"/>
  <c r="J77" i="57"/>
  <c r="J78" i="57"/>
  <c r="J79" i="57"/>
  <c r="J80" i="57"/>
  <c r="J81" i="57"/>
  <c r="J82" i="57"/>
  <c r="J83" i="57"/>
  <c r="J84" i="57"/>
  <c r="J85" i="57"/>
  <c r="J86" i="57"/>
  <c r="J87" i="57"/>
  <c r="J88" i="57"/>
  <c r="J73" i="57"/>
  <c r="G15" i="158"/>
  <c r="G16" i="158"/>
  <c r="G17" i="158"/>
  <c r="H17" i="158" s="1"/>
  <c r="K17" i="158" s="1"/>
  <c r="G18" i="158"/>
  <c r="G19" i="158"/>
  <c r="G20" i="158"/>
  <c r="G21" i="158"/>
  <c r="H21" i="158" s="1"/>
  <c r="K21" i="158" s="1"/>
  <c r="G22" i="158"/>
  <c r="H22" i="158" s="1"/>
  <c r="K22" i="158" s="1"/>
  <c r="G23" i="158"/>
  <c r="G24" i="158"/>
  <c r="H24" i="158" s="1"/>
  <c r="K24" i="158" s="1"/>
  <c r="G25" i="158"/>
  <c r="G26" i="158"/>
  <c r="H26" i="158" s="1"/>
  <c r="K26" i="158" s="1"/>
  <c r="G27" i="158"/>
  <c r="G28" i="158"/>
  <c r="G29" i="158"/>
  <c r="G30" i="158"/>
  <c r="H30" i="158" s="1"/>
  <c r="K30" i="158" s="1"/>
  <c r="G31" i="158"/>
  <c r="G32" i="158"/>
  <c r="G14" i="158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K34" i="57"/>
  <c r="K35" i="57"/>
  <c r="K36" i="57"/>
  <c r="K37" i="57"/>
  <c r="K38" i="57"/>
  <c r="K39" i="57"/>
  <c r="K40" i="57"/>
  <c r="K41" i="57"/>
  <c r="K42" i="57"/>
  <c r="K43" i="57"/>
  <c r="K44" i="57"/>
  <c r="K45" i="57"/>
  <c r="K46" i="57"/>
  <c r="K47" i="57"/>
  <c r="K48" i="57"/>
  <c r="K49" i="57"/>
  <c r="K14" i="57"/>
  <c r="K15" i="57"/>
  <c r="K13" i="57"/>
  <c r="G29" i="159"/>
  <c r="G28" i="159"/>
  <c r="H28" i="159" s="1"/>
  <c r="K28" i="159" s="1"/>
  <c r="G27" i="159"/>
  <c r="G26" i="159"/>
  <c r="H26" i="159" s="1"/>
  <c r="K26" i="159" s="1"/>
  <c r="G25" i="159"/>
  <c r="G24" i="159"/>
  <c r="H24" i="159" s="1"/>
  <c r="K24" i="159" s="1"/>
  <c r="G23" i="159"/>
  <c r="G22" i="159"/>
  <c r="H22" i="159" s="1"/>
  <c r="K22" i="159" s="1"/>
  <c r="G21" i="159"/>
  <c r="G20" i="159"/>
  <c r="H20" i="159" s="1"/>
  <c r="K20" i="159" s="1"/>
  <c r="G19" i="159"/>
  <c r="G18" i="159"/>
  <c r="H18" i="159" s="1"/>
  <c r="K18" i="159" s="1"/>
  <c r="G17" i="159"/>
  <c r="G16" i="159"/>
  <c r="H16" i="159" s="1"/>
  <c r="K16" i="159" s="1"/>
  <c r="G15" i="159"/>
  <c r="G14" i="159"/>
  <c r="J30" i="159"/>
  <c r="F30" i="159"/>
  <c r="H29" i="159"/>
  <c r="K29" i="159" s="1"/>
  <c r="B29" i="159"/>
  <c r="B28" i="159"/>
  <c r="H27" i="159"/>
  <c r="K27" i="159" s="1"/>
  <c r="B27" i="159"/>
  <c r="B26" i="159"/>
  <c r="H25" i="159"/>
  <c r="K25" i="159" s="1"/>
  <c r="B25" i="159"/>
  <c r="B24" i="159"/>
  <c r="H23" i="159"/>
  <c r="K23" i="159" s="1"/>
  <c r="B23" i="159"/>
  <c r="B22" i="159"/>
  <c r="H21" i="159"/>
  <c r="K21" i="159" s="1"/>
  <c r="B21" i="159"/>
  <c r="B20" i="159"/>
  <c r="H19" i="159"/>
  <c r="K19" i="159" s="1"/>
  <c r="B19" i="159"/>
  <c r="B18" i="159"/>
  <c r="H17" i="159"/>
  <c r="K17" i="159" s="1"/>
  <c r="B17" i="159"/>
  <c r="B16" i="159"/>
  <c r="H15" i="159"/>
  <c r="K15" i="159" s="1"/>
  <c r="B15" i="159"/>
  <c r="H14" i="159"/>
  <c r="B14" i="159"/>
  <c r="B15" i="119"/>
  <c r="B16" i="119"/>
  <c r="B17" i="119"/>
  <c r="B18" i="119"/>
  <c r="B19" i="119"/>
  <c r="B20" i="119"/>
  <c r="B21" i="119"/>
  <c r="B22" i="119"/>
  <c r="B23" i="119"/>
  <c r="B24" i="119"/>
  <c r="B25" i="119"/>
  <c r="B26" i="119"/>
  <c r="B27" i="119"/>
  <c r="B28" i="119"/>
  <c r="B29" i="119"/>
  <c r="B14" i="119"/>
  <c r="H18" i="158"/>
  <c r="K18" i="158" s="1"/>
  <c r="J33" i="158"/>
  <c r="F33" i="158"/>
  <c r="H32" i="158"/>
  <c r="K32" i="158" s="1"/>
  <c r="B32" i="158"/>
  <c r="J70" i="57" s="1"/>
  <c r="H31" i="158"/>
  <c r="K31" i="158" s="1"/>
  <c r="B31" i="158"/>
  <c r="J69" i="57" s="1"/>
  <c r="B30" i="158"/>
  <c r="J68" i="57" s="1"/>
  <c r="H29" i="158"/>
  <c r="K29" i="158" s="1"/>
  <c r="B29" i="158"/>
  <c r="J67" i="57" s="1"/>
  <c r="H28" i="158"/>
  <c r="K28" i="158" s="1"/>
  <c r="B28" i="158"/>
  <c r="J66" i="57" s="1"/>
  <c r="H27" i="158"/>
  <c r="K27" i="158" s="1"/>
  <c r="B27" i="158"/>
  <c r="J65" i="57" s="1"/>
  <c r="B26" i="158"/>
  <c r="J64" i="57" s="1"/>
  <c r="H25" i="158"/>
  <c r="K25" i="158" s="1"/>
  <c r="B25" i="158"/>
  <c r="J63" i="57" s="1"/>
  <c r="B24" i="158"/>
  <c r="J62" i="57" s="1"/>
  <c r="H23" i="158"/>
  <c r="K23" i="158" s="1"/>
  <c r="B23" i="158"/>
  <c r="J61" i="57" s="1"/>
  <c r="B22" i="158"/>
  <c r="J60" i="57" s="1"/>
  <c r="B21" i="158"/>
  <c r="J59" i="57" s="1"/>
  <c r="H20" i="158"/>
  <c r="K20" i="158" s="1"/>
  <c r="B20" i="158"/>
  <c r="J58" i="57" s="1"/>
  <c r="H19" i="158"/>
  <c r="K19" i="158" s="1"/>
  <c r="B19" i="158"/>
  <c r="J57" i="57" s="1"/>
  <c r="B18" i="158"/>
  <c r="J56" i="57" s="1"/>
  <c r="B17" i="158"/>
  <c r="J55" i="57" s="1"/>
  <c r="H16" i="158"/>
  <c r="K16" i="158" s="1"/>
  <c r="B16" i="158"/>
  <c r="J54" i="57" s="1"/>
  <c r="H15" i="158"/>
  <c r="K15" i="158" s="1"/>
  <c r="B15" i="158"/>
  <c r="J53" i="57" s="1"/>
  <c r="H14" i="158"/>
  <c r="K14" i="158" s="1"/>
  <c r="B14" i="158"/>
  <c r="J52" i="57" s="1"/>
  <c r="G50" i="157"/>
  <c r="G49" i="157"/>
  <c r="G48" i="157"/>
  <c r="G47" i="157"/>
  <c r="H47" i="157" s="1"/>
  <c r="K47" i="157" s="1"/>
  <c r="G46" i="157"/>
  <c r="G45" i="157"/>
  <c r="G44" i="157"/>
  <c r="G43" i="157"/>
  <c r="H43" i="157" s="1"/>
  <c r="K43" i="157" s="1"/>
  <c r="G42" i="157"/>
  <c r="G41" i="157"/>
  <c r="G40" i="157"/>
  <c r="G39" i="157"/>
  <c r="H39" i="157" s="1"/>
  <c r="K39" i="157" s="1"/>
  <c r="G38" i="157"/>
  <c r="G37" i="157"/>
  <c r="G36" i="157"/>
  <c r="G35" i="157"/>
  <c r="H35" i="157" s="1"/>
  <c r="K35" i="157" s="1"/>
  <c r="G34" i="157"/>
  <c r="G33" i="157"/>
  <c r="G32" i="157"/>
  <c r="G31" i="157"/>
  <c r="H31" i="157" s="1"/>
  <c r="K31" i="157" s="1"/>
  <c r="G30" i="157"/>
  <c r="G29" i="157"/>
  <c r="G28" i="157"/>
  <c r="G27" i="157"/>
  <c r="H27" i="157" s="1"/>
  <c r="K27" i="157" s="1"/>
  <c r="G26" i="157"/>
  <c r="G25" i="157"/>
  <c r="G24" i="157"/>
  <c r="G23" i="157"/>
  <c r="H23" i="157" s="1"/>
  <c r="K23" i="157" s="1"/>
  <c r="G22" i="157"/>
  <c r="G21" i="157"/>
  <c r="G20" i="157"/>
  <c r="G19" i="157"/>
  <c r="H19" i="157" s="1"/>
  <c r="K19" i="157" s="1"/>
  <c r="G18" i="157"/>
  <c r="G17" i="157"/>
  <c r="G16" i="157"/>
  <c r="G15" i="157"/>
  <c r="H15" i="157" s="1"/>
  <c r="K15" i="157" s="1"/>
  <c r="G14" i="157"/>
  <c r="J51" i="157"/>
  <c r="F51" i="157"/>
  <c r="H50" i="157"/>
  <c r="K50" i="157" s="1"/>
  <c r="B50" i="157"/>
  <c r="H49" i="157"/>
  <c r="K49" i="157" s="1"/>
  <c r="B49" i="157"/>
  <c r="H48" i="157"/>
  <c r="K48" i="157" s="1"/>
  <c r="B48" i="157"/>
  <c r="B47" i="157"/>
  <c r="H46" i="157"/>
  <c r="K46" i="157" s="1"/>
  <c r="B46" i="157"/>
  <c r="H45" i="157"/>
  <c r="K45" i="157" s="1"/>
  <c r="B45" i="157"/>
  <c r="H44" i="157"/>
  <c r="K44" i="157" s="1"/>
  <c r="B44" i="157"/>
  <c r="B43" i="157"/>
  <c r="H42" i="157"/>
  <c r="K42" i="157" s="1"/>
  <c r="B42" i="157"/>
  <c r="H41" i="157"/>
  <c r="K41" i="157" s="1"/>
  <c r="B41" i="157"/>
  <c r="H40" i="157"/>
  <c r="K40" i="157" s="1"/>
  <c r="B40" i="157"/>
  <c r="B39" i="157"/>
  <c r="H38" i="157"/>
  <c r="K38" i="157" s="1"/>
  <c r="B38" i="157"/>
  <c r="H37" i="157"/>
  <c r="K37" i="157" s="1"/>
  <c r="B37" i="157"/>
  <c r="H36" i="157"/>
  <c r="K36" i="157" s="1"/>
  <c r="B36" i="157"/>
  <c r="B35" i="157"/>
  <c r="H34" i="157"/>
  <c r="K34" i="157" s="1"/>
  <c r="B34" i="157"/>
  <c r="H33" i="157"/>
  <c r="K33" i="157" s="1"/>
  <c r="B33" i="157"/>
  <c r="H32" i="157"/>
  <c r="K32" i="157" s="1"/>
  <c r="B32" i="157"/>
  <c r="B31" i="157"/>
  <c r="H30" i="157"/>
  <c r="K30" i="157" s="1"/>
  <c r="B30" i="157"/>
  <c r="H29" i="157"/>
  <c r="K29" i="157" s="1"/>
  <c r="B29" i="157"/>
  <c r="H28" i="157"/>
  <c r="K28" i="157" s="1"/>
  <c r="B28" i="157"/>
  <c r="B27" i="157"/>
  <c r="H26" i="157"/>
  <c r="K26" i="157" s="1"/>
  <c r="B26" i="157"/>
  <c r="H25" i="157"/>
  <c r="K25" i="157" s="1"/>
  <c r="B25" i="157"/>
  <c r="H24" i="157"/>
  <c r="K24" i="157" s="1"/>
  <c r="B24" i="157"/>
  <c r="B23" i="157"/>
  <c r="H22" i="157"/>
  <c r="K22" i="157" s="1"/>
  <c r="B22" i="157"/>
  <c r="H21" i="157"/>
  <c r="K21" i="157" s="1"/>
  <c r="B21" i="157"/>
  <c r="H20" i="157"/>
  <c r="K20" i="157" s="1"/>
  <c r="B20" i="157"/>
  <c r="B19" i="157"/>
  <c r="H18" i="157"/>
  <c r="K18" i="157" s="1"/>
  <c r="B18" i="157"/>
  <c r="H17" i="157"/>
  <c r="K17" i="157" s="1"/>
  <c r="B17" i="157"/>
  <c r="H16" i="157"/>
  <c r="K16" i="157" s="1"/>
  <c r="B16" i="157"/>
  <c r="B15" i="157"/>
  <c r="H14" i="157"/>
  <c r="B14" i="157"/>
  <c r="J33" i="156"/>
  <c r="F33" i="156"/>
  <c r="G32" i="156"/>
  <c r="H32" i="156" s="1"/>
  <c r="K32" i="156" s="1"/>
  <c r="B32" i="156"/>
  <c r="K70" i="57" s="1"/>
  <c r="G31" i="156"/>
  <c r="H31" i="156" s="1"/>
  <c r="K31" i="156" s="1"/>
  <c r="B31" i="156"/>
  <c r="K69" i="57" s="1"/>
  <c r="G30" i="156"/>
  <c r="H30" i="156" s="1"/>
  <c r="K30" i="156" s="1"/>
  <c r="B30" i="156"/>
  <c r="K68" i="57" s="1"/>
  <c r="G29" i="156"/>
  <c r="H29" i="156" s="1"/>
  <c r="K29" i="156" s="1"/>
  <c r="B29" i="156"/>
  <c r="K67" i="57" s="1"/>
  <c r="G28" i="156"/>
  <c r="H28" i="156" s="1"/>
  <c r="K28" i="156" s="1"/>
  <c r="B28" i="156"/>
  <c r="K66" i="57" s="1"/>
  <c r="G27" i="156"/>
  <c r="H27" i="156" s="1"/>
  <c r="K27" i="156" s="1"/>
  <c r="B27" i="156"/>
  <c r="K65" i="57" s="1"/>
  <c r="G26" i="156"/>
  <c r="H26" i="156" s="1"/>
  <c r="K26" i="156" s="1"/>
  <c r="B26" i="156"/>
  <c r="K64" i="57" s="1"/>
  <c r="G25" i="156"/>
  <c r="H25" i="156" s="1"/>
  <c r="K25" i="156" s="1"/>
  <c r="B25" i="156"/>
  <c r="K63" i="57" s="1"/>
  <c r="G24" i="156"/>
  <c r="H24" i="156" s="1"/>
  <c r="K24" i="156" s="1"/>
  <c r="B24" i="156"/>
  <c r="K62" i="57" s="1"/>
  <c r="G23" i="156"/>
  <c r="H23" i="156" s="1"/>
  <c r="K23" i="156" s="1"/>
  <c r="B23" i="156"/>
  <c r="K61" i="57" s="1"/>
  <c r="G22" i="156"/>
  <c r="H22" i="156" s="1"/>
  <c r="K22" i="156" s="1"/>
  <c r="B22" i="156"/>
  <c r="K60" i="57" s="1"/>
  <c r="G21" i="156"/>
  <c r="H21" i="156" s="1"/>
  <c r="K21" i="156" s="1"/>
  <c r="B21" i="156"/>
  <c r="K59" i="57" s="1"/>
  <c r="G20" i="156"/>
  <c r="H20" i="156" s="1"/>
  <c r="K20" i="156" s="1"/>
  <c r="B20" i="156"/>
  <c r="K58" i="57" s="1"/>
  <c r="G19" i="156"/>
  <c r="H19" i="156" s="1"/>
  <c r="K19" i="156" s="1"/>
  <c r="B19" i="156"/>
  <c r="K57" i="57" s="1"/>
  <c r="G18" i="156"/>
  <c r="H18" i="156" s="1"/>
  <c r="K18" i="156" s="1"/>
  <c r="B18" i="156"/>
  <c r="K56" i="57" s="1"/>
  <c r="G17" i="156"/>
  <c r="H17" i="156" s="1"/>
  <c r="K17" i="156" s="1"/>
  <c r="B17" i="156"/>
  <c r="K55" i="57" s="1"/>
  <c r="G16" i="156"/>
  <c r="H16" i="156" s="1"/>
  <c r="K16" i="156" s="1"/>
  <c r="B16" i="156"/>
  <c r="K54" i="57" s="1"/>
  <c r="G15" i="156"/>
  <c r="H15" i="156" s="1"/>
  <c r="K15" i="156" s="1"/>
  <c r="B15" i="156"/>
  <c r="K53" i="57" s="1"/>
  <c r="G14" i="156"/>
  <c r="H14" i="156" s="1"/>
  <c r="B14" i="156"/>
  <c r="K52" i="57" s="1"/>
  <c r="K51" i="116"/>
  <c r="K51" i="155"/>
  <c r="K50" i="155"/>
  <c r="G15" i="155"/>
  <c r="G16" i="155"/>
  <c r="G17" i="155"/>
  <c r="H17" i="155" s="1"/>
  <c r="K17" i="155" s="1"/>
  <c r="G18" i="155"/>
  <c r="G19" i="155"/>
  <c r="G20" i="155"/>
  <c r="G21" i="155"/>
  <c r="H21" i="155" s="1"/>
  <c r="K21" i="155" s="1"/>
  <c r="G22" i="155"/>
  <c r="G23" i="155"/>
  <c r="G24" i="155"/>
  <c r="G25" i="155"/>
  <c r="H25" i="155" s="1"/>
  <c r="K25" i="155" s="1"/>
  <c r="G26" i="155"/>
  <c r="G27" i="155"/>
  <c r="G28" i="155"/>
  <c r="G29" i="155"/>
  <c r="H29" i="155" s="1"/>
  <c r="K29" i="155" s="1"/>
  <c r="G30" i="155"/>
  <c r="G31" i="155"/>
  <c r="G32" i="155"/>
  <c r="G33" i="155"/>
  <c r="H33" i="155" s="1"/>
  <c r="K33" i="155" s="1"/>
  <c r="G34" i="155"/>
  <c r="G35" i="155"/>
  <c r="G36" i="155"/>
  <c r="G37" i="155"/>
  <c r="H37" i="155" s="1"/>
  <c r="K37" i="155" s="1"/>
  <c r="G38" i="155"/>
  <c r="G39" i="155"/>
  <c r="G40" i="155"/>
  <c r="G41" i="155"/>
  <c r="H41" i="155" s="1"/>
  <c r="K41" i="155" s="1"/>
  <c r="G42" i="155"/>
  <c r="G43" i="155"/>
  <c r="G44" i="155"/>
  <c r="G45" i="155"/>
  <c r="H45" i="155" s="1"/>
  <c r="K45" i="155" s="1"/>
  <c r="G46" i="155"/>
  <c r="G47" i="155"/>
  <c r="G48" i="155"/>
  <c r="G49" i="155"/>
  <c r="H49" i="155" s="1"/>
  <c r="K49" i="155" s="1"/>
  <c r="G50" i="155"/>
  <c r="G14" i="155"/>
  <c r="J51" i="155"/>
  <c r="F51" i="155"/>
  <c r="H50" i="155"/>
  <c r="B50" i="155"/>
  <c r="B49" i="155"/>
  <c r="H48" i="155"/>
  <c r="K48" i="155" s="1"/>
  <c r="B48" i="155"/>
  <c r="H47" i="155"/>
  <c r="K47" i="155" s="1"/>
  <c r="B47" i="155"/>
  <c r="H46" i="155"/>
  <c r="K46" i="155" s="1"/>
  <c r="B46" i="155"/>
  <c r="B45" i="155"/>
  <c r="H44" i="155"/>
  <c r="K44" i="155" s="1"/>
  <c r="B44" i="155"/>
  <c r="H43" i="155"/>
  <c r="K43" i="155" s="1"/>
  <c r="B43" i="155"/>
  <c r="H42" i="155"/>
  <c r="K42" i="155" s="1"/>
  <c r="B42" i="155"/>
  <c r="B41" i="155"/>
  <c r="H40" i="155"/>
  <c r="K40" i="155" s="1"/>
  <c r="B40" i="155"/>
  <c r="H39" i="155"/>
  <c r="K39" i="155" s="1"/>
  <c r="B39" i="155"/>
  <c r="H38" i="155"/>
  <c r="K38" i="155" s="1"/>
  <c r="B38" i="155"/>
  <c r="B37" i="155"/>
  <c r="H36" i="155"/>
  <c r="K36" i="155" s="1"/>
  <c r="B36" i="155"/>
  <c r="H35" i="155"/>
  <c r="K35" i="155" s="1"/>
  <c r="B35" i="155"/>
  <c r="H34" i="155"/>
  <c r="K34" i="155" s="1"/>
  <c r="B34" i="155"/>
  <c r="B33" i="155"/>
  <c r="H32" i="155"/>
  <c r="K32" i="155" s="1"/>
  <c r="B32" i="155"/>
  <c r="H31" i="155"/>
  <c r="K31" i="155" s="1"/>
  <c r="B31" i="155"/>
  <c r="H30" i="155"/>
  <c r="K30" i="155" s="1"/>
  <c r="B30" i="155"/>
  <c r="B29" i="155"/>
  <c r="H28" i="155"/>
  <c r="K28" i="155" s="1"/>
  <c r="B28" i="155"/>
  <c r="H27" i="155"/>
  <c r="K27" i="155" s="1"/>
  <c r="B27" i="155"/>
  <c r="H26" i="155"/>
  <c r="K26" i="155" s="1"/>
  <c r="B26" i="155"/>
  <c r="B25" i="155"/>
  <c r="H24" i="155"/>
  <c r="K24" i="155" s="1"/>
  <c r="B24" i="155"/>
  <c r="H23" i="155"/>
  <c r="K23" i="155" s="1"/>
  <c r="B23" i="155"/>
  <c r="H22" i="155"/>
  <c r="K22" i="155" s="1"/>
  <c r="B22" i="155"/>
  <c r="B21" i="155"/>
  <c r="H20" i="155"/>
  <c r="K20" i="155" s="1"/>
  <c r="B20" i="155"/>
  <c r="H19" i="155"/>
  <c r="K19" i="155" s="1"/>
  <c r="B19" i="155"/>
  <c r="H18" i="155"/>
  <c r="K18" i="155" s="1"/>
  <c r="B18" i="155"/>
  <c r="B17" i="155"/>
  <c r="H16" i="155"/>
  <c r="K16" i="155" s="1"/>
  <c r="B16" i="155"/>
  <c r="H15" i="155"/>
  <c r="K15" i="155" s="1"/>
  <c r="B15" i="155"/>
  <c r="H14" i="155"/>
  <c r="B14" i="155"/>
  <c r="G50" i="116"/>
  <c r="G49" i="116"/>
  <c r="G48" i="116"/>
  <c r="G47" i="116"/>
  <c r="G46" i="116"/>
  <c r="G45" i="116"/>
  <c r="G44" i="116"/>
  <c r="G43" i="116"/>
  <c r="G42" i="116"/>
  <c r="G41" i="116"/>
  <c r="G40" i="116"/>
  <c r="G39" i="116"/>
  <c r="G38" i="116"/>
  <c r="G37" i="116"/>
  <c r="G36" i="116"/>
  <c r="G35" i="116"/>
  <c r="G34" i="116"/>
  <c r="G33" i="116"/>
  <c r="G32" i="116"/>
  <c r="G31" i="116"/>
  <c r="G30" i="116"/>
  <c r="G29" i="116"/>
  <c r="G28" i="116"/>
  <c r="G27" i="116"/>
  <c r="G26" i="116"/>
  <c r="G25" i="116"/>
  <c r="G24" i="116"/>
  <c r="G23" i="116"/>
  <c r="G22" i="116"/>
  <c r="G21" i="116"/>
  <c r="G20" i="116"/>
  <c r="G19" i="116"/>
  <c r="G18" i="116"/>
  <c r="G17" i="116"/>
  <c r="G16" i="116"/>
  <c r="G15" i="116"/>
  <c r="G14" i="116"/>
  <c r="H50" i="116"/>
  <c r="F51" i="116"/>
  <c r="B49" i="116"/>
  <c r="B50" i="116"/>
  <c r="B15" i="116"/>
  <c r="B16" i="116"/>
  <c r="B17" i="116"/>
  <c r="B18" i="116"/>
  <c r="B19" i="116"/>
  <c r="B20" i="116"/>
  <c r="B21" i="116"/>
  <c r="B22" i="116"/>
  <c r="B23" i="116"/>
  <c r="B24" i="116"/>
  <c r="B25" i="116"/>
  <c r="B26" i="116"/>
  <c r="B27" i="116"/>
  <c r="B28" i="116"/>
  <c r="B29" i="116"/>
  <c r="B30" i="116"/>
  <c r="B31" i="116"/>
  <c r="B32" i="116"/>
  <c r="B33" i="116"/>
  <c r="B34" i="116"/>
  <c r="B35" i="116"/>
  <c r="B36" i="116"/>
  <c r="B37" i="116"/>
  <c r="B38" i="116"/>
  <c r="B39" i="116"/>
  <c r="B40" i="116"/>
  <c r="B41" i="116"/>
  <c r="B42" i="116"/>
  <c r="B43" i="116"/>
  <c r="B44" i="116"/>
  <c r="B45" i="116"/>
  <c r="B46" i="116"/>
  <c r="B47" i="116"/>
  <c r="B48" i="116"/>
  <c r="B14" i="116"/>
  <c r="G32" i="154"/>
  <c r="G31" i="154"/>
  <c r="G30" i="154"/>
  <c r="H30" i="154" s="1"/>
  <c r="K30" i="154" s="1"/>
  <c r="G29" i="154"/>
  <c r="G28" i="154"/>
  <c r="G27" i="154"/>
  <c r="G26" i="154"/>
  <c r="H26" i="154" s="1"/>
  <c r="K26" i="154" s="1"/>
  <c r="G25" i="154"/>
  <c r="G24" i="154"/>
  <c r="G23" i="154"/>
  <c r="G22" i="154"/>
  <c r="H22" i="154" s="1"/>
  <c r="K22" i="154" s="1"/>
  <c r="G21" i="154"/>
  <c r="G20" i="154"/>
  <c r="G19" i="154"/>
  <c r="G18" i="154"/>
  <c r="H18" i="154" s="1"/>
  <c r="K18" i="154" s="1"/>
  <c r="G17" i="154"/>
  <c r="G16" i="154"/>
  <c r="G15" i="154"/>
  <c r="G14" i="154"/>
  <c r="J33" i="154"/>
  <c r="F33" i="154"/>
  <c r="H32" i="154"/>
  <c r="K32" i="154" s="1"/>
  <c r="B32" i="154"/>
  <c r="H31" i="154"/>
  <c r="K31" i="154" s="1"/>
  <c r="B31" i="154"/>
  <c r="B30" i="154"/>
  <c r="H29" i="154"/>
  <c r="K29" i="154" s="1"/>
  <c r="B29" i="154"/>
  <c r="H28" i="154"/>
  <c r="K28" i="154" s="1"/>
  <c r="B28" i="154"/>
  <c r="H27" i="154"/>
  <c r="K27" i="154" s="1"/>
  <c r="B27" i="154"/>
  <c r="B26" i="154"/>
  <c r="H25" i="154"/>
  <c r="K25" i="154" s="1"/>
  <c r="B25" i="154"/>
  <c r="H24" i="154"/>
  <c r="K24" i="154" s="1"/>
  <c r="B24" i="154"/>
  <c r="H23" i="154"/>
  <c r="K23" i="154" s="1"/>
  <c r="B23" i="154"/>
  <c r="B22" i="154"/>
  <c r="H21" i="154"/>
  <c r="K21" i="154" s="1"/>
  <c r="B21" i="154"/>
  <c r="H20" i="154"/>
  <c r="K20" i="154" s="1"/>
  <c r="B20" i="154"/>
  <c r="H19" i="154"/>
  <c r="K19" i="154" s="1"/>
  <c r="B19" i="154"/>
  <c r="B18" i="154"/>
  <c r="H17" i="154"/>
  <c r="K17" i="154" s="1"/>
  <c r="B17" i="154"/>
  <c r="H16" i="154"/>
  <c r="K16" i="154" s="1"/>
  <c r="B16" i="154"/>
  <c r="H15" i="154"/>
  <c r="K15" i="154" s="1"/>
  <c r="B15" i="154"/>
  <c r="H14" i="154"/>
  <c r="B14" i="154"/>
  <c r="J15" i="153"/>
  <c r="F15" i="153"/>
  <c r="G14" i="153"/>
  <c r="H14" i="153" s="1"/>
  <c r="B14" i="153"/>
  <c r="L49" i="57" s="1"/>
  <c r="L68" i="57" l="1"/>
  <c r="L69" i="57"/>
  <c r="L67" i="57"/>
  <c r="L70" i="57"/>
  <c r="K14" i="159"/>
  <c r="K30" i="159" s="1"/>
  <c r="H30" i="159"/>
  <c r="K33" i="158"/>
  <c r="H33" i="158"/>
  <c r="K14" i="157"/>
  <c r="K51" i="157" s="1"/>
  <c r="H51" i="157"/>
  <c r="K14" i="156"/>
  <c r="K33" i="156" s="1"/>
  <c r="H33" i="156"/>
  <c r="H51" i="155"/>
  <c r="K14" i="155"/>
  <c r="K14" i="154"/>
  <c r="K33" i="154" s="1"/>
  <c r="H33" i="154"/>
  <c r="K14" i="153"/>
  <c r="K15" i="153" s="1"/>
  <c r="H15" i="153"/>
  <c r="I11" i="114" l="1"/>
  <c r="J11" i="114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7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57" i="3"/>
  <c r="R56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17" i="3"/>
  <c r="R52" i="108"/>
  <c r="R39" i="146"/>
  <c r="Z86" i="3" l="1"/>
  <c r="R76" i="3"/>
  <c r="Y76" i="3" s="1"/>
  <c r="R55" i="3"/>
  <c r="AA55" i="3" s="1"/>
  <c r="R16" i="3"/>
  <c r="R10" i="3" s="1"/>
  <c r="S50" i="139"/>
  <c r="R94" i="3" l="1"/>
  <c r="K35" i="71"/>
  <c r="D30" i="71" l="1"/>
  <c r="G30" i="71" s="1"/>
  <c r="R98" i="3"/>
  <c r="J17" i="110"/>
  <c r="J18" i="110"/>
  <c r="J19" i="110"/>
  <c r="J20" i="110"/>
  <c r="J21" i="110"/>
  <c r="J22" i="110"/>
  <c r="J23" i="110"/>
  <c r="J24" i="110"/>
  <c r="J25" i="110"/>
  <c r="J26" i="110"/>
  <c r="J27" i="110"/>
  <c r="J28" i="110"/>
  <c r="J29" i="110"/>
  <c r="J30" i="110"/>
  <c r="J31" i="110"/>
  <c r="J16" i="110"/>
  <c r="C17" i="110"/>
  <c r="C18" i="110"/>
  <c r="C19" i="110"/>
  <c r="I19" i="110" s="1"/>
  <c r="C20" i="110"/>
  <c r="I20" i="110" s="1"/>
  <c r="C21" i="110"/>
  <c r="C22" i="110"/>
  <c r="C23" i="110"/>
  <c r="I23" i="110" s="1"/>
  <c r="C24" i="110"/>
  <c r="I24" i="110" s="1"/>
  <c r="C25" i="110"/>
  <c r="C26" i="110"/>
  <c r="C27" i="110"/>
  <c r="I27" i="110" s="1"/>
  <c r="C28" i="110"/>
  <c r="I28" i="110" s="1"/>
  <c r="C29" i="110"/>
  <c r="C30" i="110"/>
  <c r="C31" i="110"/>
  <c r="I31" i="110" s="1"/>
  <c r="R50" i="57"/>
  <c r="J51" i="57"/>
  <c r="I17" i="110"/>
  <c r="I18" i="110"/>
  <c r="I21" i="110"/>
  <c r="I22" i="110"/>
  <c r="I25" i="110"/>
  <c r="I26" i="110"/>
  <c r="I29" i="110"/>
  <c r="I30" i="110"/>
  <c r="C16" i="110"/>
  <c r="O20" i="146"/>
  <c r="O21" i="146"/>
  <c r="O19" i="146"/>
  <c r="I38" i="146"/>
  <c r="J20" i="146"/>
  <c r="J21" i="146"/>
  <c r="J22" i="146"/>
  <c r="J23" i="146"/>
  <c r="J24" i="146"/>
  <c r="J25" i="146"/>
  <c r="J26" i="146"/>
  <c r="J27" i="146"/>
  <c r="J28" i="146"/>
  <c r="J29" i="146"/>
  <c r="J30" i="146"/>
  <c r="J31" i="146"/>
  <c r="J32" i="146"/>
  <c r="J33" i="146"/>
  <c r="J34" i="146"/>
  <c r="J35" i="146"/>
  <c r="J36" i="146"/>
  <c r="J37" i="146"/>
  <c r="J19" i="146"/>
  <c r="J17" i="108"/>
  <c r="J18" i="108"/>
  <c r="J19" i="108"/>
  <c r="J20" i="108"/>
  <c r="J21" i="108"/>
  <c r="J22" i="108"/>
  <c r="J23" i="108"/>
  <c r="J24" i="108"/>
  <c r="J25" i="108"/>
  <c r="J26" i="108"/>
  <c r="J27" i="108"/>
  <c r="J28" i="108"/>
  <c r="J29" i="108"/>
  <c r="J30" i="108"/>
  <c r="J31" i="108"/>
  <c r="J32" i="108"/>
  <c r="J33" i="108"/>
  <c r="J34" i="108"/>
  <c r="J35" i="108"/>
  <c r="J36" i="108"/>
  <c r="J37" i="108"/>
  <c r="J38" i="108"/>
  <c r="J39" i="108"/>
  <c r="J40" i="108"/>
  <c r="J41" i="108"/>
  <c r="J42" i="108"/>
  <c r="J43" i="108"/>
  <c r="J44" i="108"/>
  <c r="J45" i="108"/>
  <c r="J46" i="108"/>
  <c r="J47" i="108"/>
  <c r="J48" i="108"/>
  <c r="J49" i="108"/>
  <c r="J50" i="108"/>
  <c r="J15" i="108"/>
  <c r="J16" i="108"/>
  <c r="J14" i="108"/>
  <c r="N38" i="146"/>
  <c r="M20" i="146"/>
  <c r="M21" i="146"/>
  <c r="M22" i="146"/>
  <c r="M23" i="146"/>
  <c r="M24" i="146"/>
  <c r="M25" i="146"/>
  <c r="M26" i="146"/>
  <c r="M27" i="146"/>
  <c r="M28" i="146"/>
  <c r="M29" i="146"/>
  <c r="M30" i="146"/>
  <c r="M31" i="146"/>
  <c r="M32" i="146"/>
  <c r="M33" i="146"/>
  <c r="M34" i="146"/>
  <c r="M35" i="146"/>
  <c r="M36" i="146"/>
  <c r="M37" i="146"/>
  <c r="M38" i="146"/>
  <c r="AA67" i="57"/>
  <c r="AA68" i="57"/>
  <c r="AA69" i="57"/>
  <c r="AA70" i="57"/>
  <c r="K37" i="146" s="1"/>
  <c r="K34" i="146"/>
  <c r="K35" i="146"/>
  <c r="K36" i="146"/>
  <c r="I34" i="146"/>
  <c r="I35" i="146"/>
  <c r="I36" i="146"/>
  <c r="I37" i="146"/>
  <c r="C20" i="146"/>
  <c r="C21" i="146"/>
  <c r="C22" i="146"/>
  <c r="C23" i="146"/>
  <c r="C24" i="146"/>
  <c r="C25" i="146"/>
  <c r="C26" i="146"/>
  <c r="C27" i="146"/>
  <c r="C28" i="146"/>
  <c r="C29" i="146"/>
  <c r="C30" i="146"/>
  <c r="C31" i="146"/>
  <c r="C32" i="146"/>
  <c r="C33" i="146"/>
  <c r="C34" i="146"/>
  <c r="C35" i="146"/>
  <c r="C36" i="146"/>
  <c r="C37" i="146"/>
  <c r="C19" i="146"/>
  <c r="I50" i="108"/>
  <c r="C15" i="108"/>
  <c r="C16" i="108"/>
  <c r="C17" i="108"/>
  <c r="C18" i="108"/>
  <c r="C19" i="108"/>
  <c r="C20" i="108"/>
  <c r="C21" i="108"/>
  <c r="C22" i="108"/>
  <c r="C23" i="108"/>
  <c r="C24" i="108"/>
  <c r="C25" i="108"/>
  <c r="C26" i="108"/>
  <c r="C27" i="108"/>
  <c r="C28" i="108"/>
  <c r="C29" i="108"/>
  <c r="C30" i="108"/>
  <c r="C31" i="108"/>
  <c r="C32" i="108"/>
  <c r="C33" i="108"/>
  <c r="C34" i="108"/>
  <c r="C35" i="108"/>
  <c r="C36" i="108"/>
  <c r="C37" i="108"/>
  <c r="C38" i="108"/>
  <c r="C39" i="108"/>
  <c r="C40" i="108"/>
  <c r="C41" i="108"/>
  <c r="C42" i="108"/>
  <c r="C43" i="108"/>
  <c r="C44" i="108"/>
  <c r="C45" i="108"/>
  <c r="C46" i="108"/>
  <c r="C47" i="108"/>
  <c r="C48" i="108"/>
  <c r="C49" i="108"/>
  <c r="C50" i="108"/>
  <c r="C14" i="108"/>
  <c r="AA49" i="57"/>
  <c r="K50" i="108" s="1"/>
  <c r="J31" i="3"/>
  <c r="J47" i="3"/>
  <c r="AF98" i="57"/>
  <c r="R74" i="57"/>
  <c r="R75" i="57"/>
  <c r="R76" i="57"/>
  <c r="R77" i="57"/>
  <c r="R78" i="57"/>
  <c r="R79" i="57"/>
  <c r="R80" i="57"/>
  <c r="R81" i="57"/>
  <c r="R82" i="57"/>
  <c r="R83" i="57"/>
  <c r="R84" i="57"/>
  <c r="R85" i="57"/>
  <c r="R86" i="57"/>
  <c r="R87" i="57"/>
  <c r="R88" i="57"/>
  <c r="R73" i="57"/>
  <c r="R53" i="57"/>
  <c r="R54" i="57"/>
  <c r="R55" i="57"/>
  <c r="R56" i="57"/>
  <c r="R57" i="57"/>
  <c r="R58" i="57"/>
  <c r="R59" i="57"/>
  <c r="R60" i="57"/>
  <c r="R61" i="57"/>
  <c r="R62" i="57"/>
  <c r="R63" i="57"/>
  <c r="R64" i="57"/>
  <c r="R65" i="57"/>
  <c r="R66" i="57"/>
  <c r="R67" i="57"/>
  <c r="R68" i="57"/>
  <c r="R69" i="57"/>
  <c r="R70" i="57"/>
  <c r="R52" i="57"/>
  <c r="R14" i="57"/>
  <c r="R15" i="57"/>
  <c r="R16" i="57"/>
  <c r="R17" i="57"/>
  <c r="R18" i="57"/>
  <c r="R19" i="57"/>
  <c r="R20" i="57"/>
  <c r="R21" i="57"/>
  <c r="R22" i="57"/>
  <c r="R23" i="57"/>
  <c r="R24" i="57"/>
  <c r="R25" i="57"/>
  <c r="R26" i="57"/>
  <c r="R27" i="57"/>
  <c r="R28" i="57"/>
  <c r="R29" i="57"/>
  <c r="R30" i="57"/>
  <c r="R31" i="57"/>
  <c r="R32" i="57"/>
  <c r="R33" i="57"/>
  <c r="R34" i="57"/>
  <c r="R35" i="57"/>
  <c r="R36" i="57"/>
  <c r="R37" i="57"/>
  <c r="R38" i="57"/>
  <c r="R39" i="57"/>
  <c r="R40" i="57"/>
  <c r="R41" i="57"/>
  <c r="R42" i="57"/>
  <c r="R43" i="57"/>
  <c r="R44" i="57"/>
  <c r="R45" i="57"/>
  <c r="R46" i="57"/>
  <c r="R47" i="57"/>
  <c r="R48" i="57"/>
  <c r="R49" i="57"/>
  <c r="R13" i="57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77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56" i="3"/>
  <c r="C18" i="3"/>
  <c r="I18" i="3" s="1"/>
  <c r="C19" i="3"/>
  <c r="I19" i="3" s="1"/>
  <c r="C20" i="3"/>
  <c r="J20" i="3" s="1"/>
  <c r="C21" i="3"/>
  <c r="J21" i="3" s="1"/>
  <c r="C22" i="3"/>
  <c r="I22" i="3" s="1"/>
  <c r="C23" i="3"/>
  <c r="I23" i="3" s="1"/>
  <c r="C24" i="3"/>
  <c r="J24" i="3" s="1"/>
  <c r="C25" i="3"/>
  <c r="J25" i="3" s="1"/>
  <c r="C26" i="3"/>
  <c r="J26" i="3" s="1"/>
  <c r="C27" i="3"/>
  <c r="I27" i="3" s="1"/>
  <c r="C28" i="3"/>
  <c r="J28" i="3" s="1"/>
  <c r="C29" i="3"/>
  <c r="J29" i="3" s="1"/>
  <c r="C30" i="3"/>
  <c r="I30" i="3" s="1"/>
  <c r="C31" i="3"/>
  <c r="I31" i="3" s="1"/>
  <c r="C32" i="3"/>
  <c r="J32" i="3" s="1"/>
  <c r="C33" i="3"/>
  <c r="J33" i="3" s="1"/>
  <c r="C34" i="3"/>
  <c r="J34" i="3" s="1"/>
  <c r="C35" i="3"/>
  <c r="I35" i="3" s="1"/>
  <c r="C36" i="3"/>
  <c r="J36" i="3" s="1"/>
  <c r="C37" i="3"/>
  <c r="J37" i="3" s="1"/>
  <c r="C38" i="3"/>
  <c r="I38" i="3" s="1"/>
  <c r="C39" i="3"/>
  <c r="I39" i="3" s="1"/>
  <c r="C40" i="3"/>
  <c r="J40" i="3" s="1"/>
  <c r="C41" i="3"/>
  <c r="J41" i="3" s="1"/>
  <c r="C42" i="3"/>
  <c r="I42" i="3" s="1"/>
  <c r="C43" i="3"/>
  <c r="I43" i="3" s="1"/>
  <c r="C44" i="3"/>
  <c r="J44" i="3" s="1"/>
  <c r="C45" i="3"/>
  <c r="J45" i="3" s="1"/>
  <c r="C46" i="3"/>
  <c r="J46" i="3" s="1"/>
  <c r="C47" i="3"/>
  <c r="I47" i="3" s="1"/>
  <c r="C48" i="3"/>
  <c r="J48" i="3" s="1"/>
  <c r="C49" i="3"/>
  <c r="J49" i="3" s="1"/>
  <c r="C50" i="3"/>
  <c r="I50" i="3" s="1"/>
  <c r="C51" i="3"/>
  <c r="I51" i="3" s="1"/>
  <c r="C52" i="3"/>
  <c r="J52" i="3" s="1"/>
  <c r="C53" i="3"/>
  <c r="C17" i="3"/>
  <c r="D73" i="114"/>
  <c r="D74" i="114"/>
  <c r="D75" i="114"/>
  <c r="D76" i="114"/>
  <c r="D77" i="114"/>
  <c r="D78" i="114"/>
  <c r="D79" i="114"/>
  <c r="D80" i="114"/>
  <c r="D81" i="114"/>
  <c r="D82" i="114"/>
  <c r="D83" i="114"/>
  <c r="D84" i="114"/>
  <c r="D85" i="114"/>
  <c r="D86" i="114"/>
  <c r="D87" i="114"/>
  <c r="D72" i="114"/>
  <c r="D52" i="114"/>
  <c r="D53" i="114"/>
  <c r="D54" i="114"/>
  <c r="D55" i="114"/>
  <c r="D56" i="114"/>
  <c r="D57" i="114"/>
  <c r="D58" i="114"/>
  <c r="D59" i="114"/>
  <c r="D60" i="114"/>
  <c r="D61" i="114"/>
  <c r="D62" i="114"/>
  <c r="D63" i="114"/>
  <c r="D64" i="114"/>
  <c r="D65" i="114"/>
  <c r="D66" i="114"/>
  <c r="D67" i="114"/>
  <c r="D68" i="114"/>
  <c r="D69" i="114"/>
  <c r="D51" i="114"/>
  <c r="D13" i="114"/>
  <c r="D14" i="114"/>
  <c r="D15" i="114"/>
  <c r="D16" i="114"/>
  <c r="D17" i="114"/>
  <c r="D18" i="114"/>
  <c r="D19" i="114"/>
  <c r="D20" i="114"/>
  <c r="D21" i="114"/>
  <c r="D22" i="114"/>
  <c r="D23" i="114"/>
  <c r="D24" i="114"/>
  <c r="D25" i="114"/>
  <c r="D26" i="114"/>
  <c r="D27" i="114"/>
  <c r="D28" i="114"/>
  <c r="D29" i="114"/>
  <c r="D30" i="114"/>
  <c r="D31" i="114"/>
  <c r="D32" i="114"/>
  <c r="D33" i="114"/>
  <c r="D34" i="114"/>
  <c r="D35" i="114"/>
  <c r="D36" i="114"/>
  <c r="D37" i="114"/>
  <c r="D38" i="114"/>
  <c r="D39" i="114"/>
  <c r="D40" i="114"/>
  <c r="D41" i="114"/>
  <c r="D42" i="114"/>
  <c r="D43" i="114"/>
  <c r="D44" i="114"/>
  <c r="D45" i="114"/>
  <c r="D46" i="114"/>
  <c r="D47" i="114"/>
  <c r="D48" i="114"/>
  <c r="D12" i="114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4" i="58"/>
  <c r="E45" i="58"/>
  <c r="E46" i="58"/>
  <c r="E11" i="58"/>
  <c r="E49" i="58"/>
  <c r="M70" i="58"/>
  <c r="M71" i="58"/>
  <c r="M72" i="58"/>
  <c r="M73" i="58"/>
  <c r="M74" i="58"/>
  <c r="M75" i="58"/>
  <c r="M76" i="58"/>
  <c r="M77" i="58"/>
  <c r="M78" i="58"/>
  <c r="M79" i="58"/>
  <c r="M80" i="58"/>
  <c r="M81" i="58"/>
  <c r="M82" i="58"/>
  <c r="M83" i="58"/>
  <c r="M84" i="58"/>
  <c r="M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69" i="58"/>
  <c r="C70" i="58"/>
  <c r="C71" i="58"/>
  <c r="C72" i="58"/>
  <c r="C73" i="58"/>
  <c r="C74" i="58"/>
  <c r="C75" i="58"/>
  <c r="C76" i="58"/>
  <c r="C77" i="58"/>
  <c r="C78" i="58"/>
  <c r="C79" i="58"/>
  <c r="C80" i="58"/>
  <c r="C81" i="58"/>
  <c r="C82" i="58"/>
  <c r="C83" i="58"/>
  <c r="C84" i="58"/>
  <c r="C69" i="58"/>
  <c r="C50" i="58"/>
  <c r="C51" i="58"/>
  <c r="C52" i="58"/>
  <c r="C53" i="58"/>
  <c r="C54" i="58"/>
  <c r="C55" i="58"/>
  <c r="C56" i="58"/>
  <c r="C57" i="58"/>
  <c r="C58" i="58"/>
  <c r="C59" i="58"/>
  <c r="C60" i="58"/>
  <c r="C61" i="58"/>
  <c r="C62" i="58"/>
  <c r="C63" i="58"/>
  <c r="C64" i="58"/>
  <c r="C65" i="58"/>
  <c r="C66" i="58"/>
  <c r="C67" i="58"/>
  <c r="C49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30" i="58"/>
  <c r="C31" i="58"/>
  <c r="C32" i="58"/>
  <c r="C33" i="58"/>
  <c r="C34" i="58"/>
  <c r="C35" i="58"/>
  <c r="C36" i="58"/>
  <c r="C37" i="58"/>
  <c r="C38" i="58"/>
  <c r="C39" i="58"/>
  <c r="C40" i="58"/>
  <c r="C41" i="58"/>
  <c r="C42" i="58"/>
  <c r="C43" i="58"/>
  <c r="C44" i="58"/>
  <c r="C45" i="58"/>
  <c r="C46" i="58"/>
  <c r="C47" i="58"/>
  <c r="C11" i="58"/>
  <c r="U74" i="57"/>
  <c r="U75" i="57"/>
  <c r="U76" i="57"/>
  <c r="U77" i="57"/>
  <c r="U78" i="57"/>
  <c r="U79" i="57"/>
  <c r="U80" i="57"/>
  <c r="U81" i="57"/>
  <c r="U82" i="57"/>
  <c r="U83" i="57"/>
  <c r="U84" i="57"/>
  <c r="U85" i="57"/>
  <c r="U86" i="57"/>
  <c r="U87" i="57"/>
  <c r="U88" i="57"/>
  <c r="U73" i="57"/>
  <c r="S74" i="57"/>
  <c r="S75" i="57"/>
  <c r="S76" i="57"/>
  <c r="S77" i="57"/>
  <c r="S78" i="57"/>
  <c r="S79" i="57"/>
  <c r="S80" i="57"/>
  <c r="S81" i="57"/>
  <c r="S82" i="57"/>
  <c r="S83" i="57"/>
  <c r="S84" i="57"/>
  <c r="S85" i="57"/>
  <c r="S86" i="57"/>
  <c r="S87" i="57"/>
  <c r="S88" i="57"/>
  <c r="S73" i="57"/>
  <c r="U53" i="57"/>
  <c r="U54" i="57"/>
  <c r="U55" i="57"/>
  <c r="U56" i="57"/>
  <c r="U57" i="57"/>
  <c r="U58" i="57"/>
  <c r="U59" i="57"/>
  <c r="U60" i="57"/>
  <c r="U61" i="57"/>
  <c r="U62" i="57"/>
  <c r="U63" i="57"/>
  <c r="U64" i="57"/>
  <c r="U65" i="57"/>
  <c r="U66" i="57"/>
  <c r="U67" i="57"/>
  <c r="U68" i="57"/>
  <c r="U69" i="57"/>
  <c r="U70" i="57"/>
  <c r="U52" i="57"/>
  <c r="S53" i="57"/>
  <c r="S54" i="57"/>
  <c r="S55" i="57"/>
  <c r="S56" i="57"/>
  <c r="S57" i="57"/>
  <c r="S58" i="57"/>
  <c r="S59" i="57"/>
  <c r="S60" i="57"/>
  <c r="S61" i="57"/>
  <c r="S62" i="57"/>
  <c r="S63" i="57"/>
  <c r="S64" i="57"/>
  <c r="S65" i="57"/>
  <c r="S66" i="57"/>
  <c r="S67" i="57"/>
  <c r="S68" i="57"/>
  <c r="S69" i="57"/>
  <c r="S70" i="57"/>
  <c r="S52" i="57"/>
  <c r="U19" i="57"/>
  <c r="U20" i="57"/>
  <c r="U21" i="57"/>
  <c r="U22" i="57"/>
  <c r="U23" i="57"/>
  <c r="U24" i="57"/>
  <c r="U25" i="57"/>
  <c r="U26" i="57"/>
  <c r="U27" i="57"/>
  <c r="U28" i="57"/>
  <c r="U29" i="57"/>
  <c r="U30" i="57"/>
  <c r="U31" i="57"/>
  <c r="U32" i="57"/>
  <c r="U33" i="57"/>
  <c r="U34" i="57"/>
  <c r="U35" i="57"/>
  <c r="U36" i="57"/>
  <c r="U37" i="57"/>
  <c r="U38" i="57"/>
  <c r="U39" i="57"/>
  <c r="U40" i="57"/>
  <c r="U41" i="57"/>
  <c r="U42" i="57"/>
  <c r="U43" i="57"/>
  <c r="U44" i="57"/>
  <c r="U45" i="57"/>
  <c r="U46" i="57"/>
  <c r="U47" i="57"/>
  <c r="U48" i="57"/>
  <c r="U49" i="57"/>
  <c r="U14" i="57"/>
  <c r="U15" i="57"/>
  <c r="U16" i="57"/>
  <c r="U17" i="57"/>
  <c r="U18" i="57"/>
  <c r="U13" i="57"/>
  <c r="S17" i="57"/>
  <c r="S18" i="57"/>
  <c r="S19" i="57"/>
  <c r="S20" i="57"/>
  <c r="S21" i="57"/>
  <c r="S22" i="57"/>
  <c r="S23" i="57"/>
  <c r="S24" i="57"/>
  <c r="S25" i="57"/>
  <c r="S26" i="57"/>
  <c r="S27" i="57"/>
  <c r="S28" i="57"/>
  <c r="S29" i="57"/>
  <c r="S30" i="57"/>
  <c r="S31" i="57"/>
  <c r="S32" i="57"/>
  <c r="S33" i="57"/>
  <c r="S34" i="57"/>
  <c r="S35" i="57"/>
  <c r="S36" i="57"/>
  <c r="S37" i="57"/>
  <c r="S38" i="57"/>
  <c r="S39" i="57"/>
  <c r="S40" i="57"/>
  <c r="S41" i="57"/>
  <c r="S42" i="57"/>
  <c r="S43" i="57"/>
  <c r="S44" i="57"/>
  <c r="S45" i="57"/>
  <c r="S46" i="57"/>
  <c r="S47" i="57"/>
  <c r="S48" i="57"/>
  <c r="S49" i="57"/>
  <c r="S14" i="57"/>
  <c r="S15" i="57"/>
  <c r="S16" i="57"/>
  <c r="S13" i="57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7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51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13" i="80"/>
  <c r="Q38" i="146" l="1"/>
  <c r="J27" i="3"/>
  <c r="J39" i="3"/>
  <c r="J23" i="3"/>
  <c r="J43" i="3"/>
  <c r="J51" i="3"/>
  <c r="J35" i="3"/>
  <c r="J19" i="3"/>
  <c r="M72" i="3"/>
  <c r="K72" i="3"/>
  <c r="J72" i="3"/>
  <c r="I72" i="3"/>
  <c r="I46" i="3"/>
  <c r="I34" i="3"/>
  <c r="I26" i="3"/>
  <c r="M71" i="3"/>
  <c r="K71" i="3"/>
  <c r="J71" i="3"/>
  <c r="I71" i="3"/>
  <c r="I53" i="3"/>
  <c r="I49" i="3"/>
  <c r="I45" i="3"/>
  <c r="I41" i="3"/>
  <c r="I37" i="3"/>
  <c r="I33" i="3"/>
  <c r="I29" i="3"/>
  <c r="I25" i="3"/>
  <c r="I21" i="3"/>
  <c r="J50" i="3"/>
  <c r="J42" i="3"/>
  <c r="J38" i="3"/>
  <c r="J30" i="3"/>
  <c r="J22" i="3"/>
  <c r="J18" i="3"/>
  <c r="M74" i="3"/>
  <c r="K74" i="3"/>
  <c r="J74" i="3"/>
  <c r="I74" i="3"/>
  <c r="I52" i="3"/>
  <c r="I48" i="3"/>
  <c r="I44" i="3"/>
  <c r="I40" i="3"/>
  <c r="I36" i="3"/>
  <c r="I32" i="3"/>
  <c r="I28" i="3"/>
  <c r="I24" i="3"/>
  <c r="I20" i="3"/>
  <c r="J53" i="3"/>
  <c r="K53" i="3"/>
  <c r="M73" i="3"/>
  <c r="K73" i="3"/>
  <c r="J73" i="3"/>
  <c r="I73" i="3"/>
  <c r="AG97" i="57"/>
  <c r="AH97" i="57"/>
  <c r="AF97" i="57"/>
  <c r="Y74" i="57" l="1"/>
  <c r="Y75" i="57"/>
  <c r="Y76" i="57"/>
  <c r="Y77" i="57"/>
  <c r="Y78" i="57"/>
  <c r="Y79" i="57"/>
  <c r="Y80" i="57"/>
  <c r="Y81" i="57"/>
  <c r="Y82" i="57"/>
  <c r="Y83" i="57"/>
  <c r="Y84" i="57"/>
  <c r="Y85" i="57"/>
  <c r="Y86" i="57"/>
  <c r="Y87" i="57"/>
  <c r="Y88" i="57"/>
  <c r="Y73" i="57"/>
  <c r="X74" i="57"/>
  <c r="X75" i="57"/>
  <c r="X76" i="57"/>
  <c r="X77" i="57"/>
  <c r="X78" i="57"/>
  <c r="X79" i="57"/>
  <c r="X80" i="57"/>
  <c r="X81" i="57"/>
  <c r="X82" i="57"/>
  <c r="X83" i="57"/>
  <c r="X84" i="57"/>
  <c r="X85" i="57"/>
  <c r="X86" i="57"/>
  <c r="X87" i="57"/>
  <c r="X88" i="57"/>
  <c r="X73" i="57"/>
  <c r="W74" i="57"/>
  <c r="W75" i="57"/>
  <c r="W76" i="57"/>
  <c r="W77" i="57"/>
  <c r="W78" i="57"/>
  <c r="W79" i="57"/>
  <c r="W80" i="57"/>
  <c r="W81" i="57"/>
  <c r="W82" i="57"/>
  <c r="W83" i="57"/>
  <c r="W84" i="57"/>
  <c r="W85" i="57"/>
  <c r="W86" i="57"/>
  <c r="W87" i="57"/>
  <c r="W88" i="57"/>
  <c r="W73" i="57"/>
  <c r="V74" i="57"/>
  <c r="V75" i="57"/>
  <c r="V76" i="57"/>
  <c r="V77" i="57"/>
  <c r="V78" i="57"/>
  <c r="V79" i="57"/>
  <c r="V80" i="57"/>
  <c r="V81" i="57"/>
  <c r="V82" i="57"/>
  <c r="V83" i="57"/>
  <c r="V84" i="57"/>
  <c r="V85" i="57"/>
  <c r="V86" i="57"/>
  <c r="V87" i="57"/>
  <c r="V88" i="57"/>
  <c r="V73" i="57"/>
  <c r="C74" i="57"/>
  <c r="C75" i="57"/>
  <c r="C76" i="57"/>
  <c r="C77" i="57"/>
  <c r="C78" i="57"/>
  <c r="C79" i="57"/>
  <c r="C80" i="57"/>
  <c r="C81" i="57"/>
  <c r="C82" i="57"/>
  <c r="C83" i="57"/>
  <c r="C84" i="57"/>
  <c r="C85" i="57"/>
  <c r="C86" i="57"/>
  <c r="C87" i="57"/>
  <c r="C88" i="57"/>
  <c r="C73" i="57"/>
  <c r="Y53" i="57"/>
  <c r="Y54" i="57"/>
  <c r="Y55" i="57"/>
  <c r="Y56" i="57"/>
  <c r="Y57" i="57"/>
  <c r="Y58" i="57"/>
  <c r="Y59" i="57"/>
  <c r="Y60" i="57"/>
  <c r="Y61" i="57"/>
  <c r="Y62" i="57"/>
  <c r="Y63" i="57"/>
  <c r="Y64" i="57"/>
  <c r="Y65" i="57"/>
  <c r="Y66" i="57"/>
  <c r="Y67" i="57"/>
  <c r="Y68" i="57"/>
  <c r="Y69" i="57"/>
  <c r="Y70" i="57"/>
  <c r="Y52" i="57"/>
  <c r="X53" i="57"/>
  <c r="X54" i="57"/>
  <c r="X55" i="57"/>
  <c r="O22" i="146" s="1"/>
  <c r="X56" i="57"/>
  <c r="O23" i="146" s="1"/>
  <c r="X57" i="57"/>
  <c r="O24" i="146" s="1"/>
  <c r="X58" i="57"/>
  <c r="O25" i="146" s="1"/>
  <c r="X59" i="57"/>
  <c r="O26" i="146" s="1"/>
  <c r="X60" i="57"/>
  <c r="O27" i="146" s="1"/>
  <c r="X61" i="57"/>
  <c r="O28" i="146" s="1"/>
  <c r="X62" i="57"/>
  <c r="O29" i="146" s="1"/>
  <c r="X63" i="57"/>
  <c r="O30" i="146" s="1"/>
  <c r="X64" i="57"/>
  <c r="O31" i="146" s="1"/>
  <c r="X65" i="57"/>
  <c r="O32" i="146" s="1"/>
  <c r="X66" i="57"/>
  <c r="O33" i="146" s="1"/>
  <c r="X67" i="57"/>
  <c r="X68" i="57"/>
  <c r="X69" i="57"/>
  <c r="X70" i="57"/>
  <c r="X52" i="57"/>
  <c r="W53" i="57"/>
  <c r="W54" i="57"/>
  <c r="W55" i="57"/>
  <c r="W56" i="57"/>
  <c r="W57" i="57"/>
  <c r="W58" i="57"/>
  <c r="W59" i="57"/>
  <c r="W60" i="57"/>
  <c r="W61" i="57"/>
  <c r="W62" i="57"/>
  <c r="W63" i="57"/>
  <c r="W64" i="57"/>
  <c r="W65" i="57"/>
  <c r="W66" i="57"/>
  <c r="N33" i="146" s="1"/>
  <c r="W67" i="57"/>
  <c r="W68" i="57"/>
  <c r="W69" i="57"/>
  <c r="W70" i="57"/>
  <c r="W52" i="57"/>
  <c r="V53" i="57"/>
  <c r="V54" i="57"/>
  <c r="V55" i="57"/>
  <c r="V56" i="57"/>
  <c r="V57" i="57"/>
  <c r="V58" i="57"/>
  <c r="V59" i="57"/>
  <c r="V60" i="57"/>
  <c r="V61" i="57"/>
  <c r="V62" i="57"/>
  <c r="V63" i="57"/>
  <c r="V64" i="57"/>
  <c r="V65" i="57"/>
  <c r="V66" i="57"/>
  <c r="V67" i="57"/>
  <c r="V68" i="57"/>
  <c r="V69" i="57"/>
  <c r="V70" i="57"/>
  <c r="V52" i="57"/>
  <c r="C53" i="57"/>
  <c r="C54" i="57"/>
  <c r="C55" i="57"/>
  <c r="C56" i="57"/>
  <c r="C57" i="57"/>
  <c r="C58" i="57"/>
  <c r="C59" i="57"/>
  <c r="AA59" i="57" s="1"/>
  <c r="C60" i="57"/>
  <c r="C61" i="57"/>
  <c r="C62" i="57"/>
  <c r="C63" i="57"/>
  <c r="C64" i="57"/>
  <c r="C65" i="57"/>
  <c r="C66" i="57"/>
  <c r="C67" i="57"/>
  <c r="C68" i="57"/>
  <c r="C69" i="57"/>
  <c r="C70" i="57"/>
  <c r="C52" i="57"/>
  <c r="X14" i="57"/>
  <c r="X30" i="57"/>
  <c r="X46" i="57"/>
  <c r="C14" i="57"/>
  <c r="W14" i="57" s="1"/>
  <c r="C15" i="57"/>
  <c r="C16" i="57"/>
  <c r="Y16" i="57" s="1"/>
  <c r="C17" i="57"/>
  <c r="V17" i="57" s="1"/>
  <c r="C18" i="57"/>
  <c r="W18" i="57" s="1"/>
  <c r="C19" i="57"/>
  <c r="Y19" i="57" s="1"/>
  <c r="C20" i="57"/>
  <c r="C21" i="57"/>
  <c r="AA21" i="57" s="1"/>
  <c r="C22" i="57"/>
  <c r="W22" i="57" s="1"/>
  <c r="C23" i="57"/>
  <c r="Y23" i="57" s="1"/>
  <c r="C24" i="57"/>
  <c r="C25" i="57"/>
  <c r="AA25" i="57" s="1"/>
  <c r="C26" i="57"/>
  <c r="W26" i="57" s="1"/>
  <c r="C27" i="57"/>
  <c r="C28" i="57"/>
  <c r="C29" i="57"/>
  <c r="AA29" i="57" s="1"/>
  <c r="C30" i="57"/>
  <c r="W30" i="57" s="1"/>
  <c r="C31" i="57"/>
  <c r="C32" i="57"/>
  <c r="Y32" i="57" s="1"/>
  <c r="C33" i="57"/>
  <c r="V33" i="57" s="1"/>
  <c r="C34" i="57"/>
  <c r="W34" i="57" s="1"/>
  <c r="C35" i="57"/>
  <c r="Y35" i="57" s="1"/>
  <c r="C36" i="57"/>
  <c r="Y36" i="57" s="1"/>
  <c r="C37" i="57"/>
  <c r="V37" i="57" s="1"/>
  <c r="C38" i="57"/>
  <c r="W38" i="57" s="1"/>
  <c r="C39" i="57"/>
  <c r="Y39" i="57" s="1"/>
  <c r="C40" i="57"/>
  <c r="Y40" i="57" s="1"/>
  <c r="C41" i="57"/>
  <c r="V41" i="57" s="1"/>
  <c r="C42" i="57"/>
  <c r="W42" i="57" s="1"/>
  <c r="C43" i="57"/>
  <c r="Y43" i="57" s="1"/>
  <c r="C44" i="57"/>
  <c r="C45" i="57"/>
  <c r="C46" i="57"/>
  <c r="W46" i="57" s="1"/>
  <c r="C47" i="57"/>
  <c r="AA47" i="57" s="1"/>
  <c r="C48" i="57"/>
  <c r="C49" i="57"/>
  <c r="C13" i="57"/>
  <c r="W13" i="57" s="1"/>
  <c r="E12" i="57"/>
  <c r="F12" i="57"/>
  <c r="G12" i="57"/>
  <c r="G90" i="57" s="1"/>
  <c r="H12" i="57"/>
  <c r="H90" i="57" s="1"/>
  <c r="J12" i="57"/>
  <c r="K12" i="57"/>
  <c r="L12" i="57"/>
  <c r="M12" i="57"/>
  <c r="N12" i="57"/>
  <c r="O12" i="57"/>
  <c r="P12" i="57"/>
  <c r="Q12" i="57"/>
  <c r="T12" i="57"/>
  <c r="Z12" i="57"/>
  <c r="I13" i="57"/>
  <c r="I14" i="57"/>
  <c r="AA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AA41" i="57"/>
  <c r="I42" i="57"/>
  <c r="I43" i="57"/>
  <c r="I44" i="57"/>
  <c r="I45" i="57"/>
  <c r="I46" i="57"/>
  <c r="AA46" i="57"/>
  <c r="I47" i="57"/>
  <c r="I48" i="57"/>
  <c r="I50" i="57"/>
  <c r="R12" i="57"/>
  <c r="E51" i="57"/>
  <c r="F51" i="57"/>
  <c r="G51" i="57"/>
  <c r="H51" i="57"/>
  <c r="K51" i="57"/>
  <c r="L51" i="57"/>
  <c r="M51" i="57"/>
  <c r="M90" i="57" s="1"/>
  <c r="N51" i="57"/>
  <c r="O51" i="57"/>
  <c r="P51" i="57"/>
  <c r="R51" i="57"/>
  <c r="T51" i="57"/>
  <c r="Z51" i="57"/>
  <c r="I52" i="57"/>
  <c r="AA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71" i="57"/>
  <c r="R71" i="57"/>
  <c r="E72" i="57"/>
  <c r="F72" i="57"/>
  <c r="H72" i="57"/>
  <c r="J72" i="57"/>
  <c r="K72" i="57"/>
  <c r="L72" i="57"/>
  <c r="M72" i="57"/>
  <c r="N72" i="57"/>
  <c r="O72" i="57"/>
  <c r="P72" i="57"/>
  <c r="T72" i="57"/>
  <c r="I73" i="57"/>
  <c r="AA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R89" i="57"/>
  <c r="R72" i="57" s="1"/>
  <c r="D90" i="57"/>
  <c r="E90" i="57"/>
  <c r="F90" i="57"/>
  <c r="N90" i="57"/>
  <c r="P90" i="57"/>
  <c r="Q90" i="57"/>
  <c r="Z90" i="57"/>
  <c r="N37" i="146" l="1"/>
  <c r="N74" i="3"/>
  <c r="P31" i="146"/>
  <c r="P68" i="3"/>
  <c r="P23" i="146"/>
  <c r="P60" i="3"/>
  <c r="N36" i="146"/>
  <c r="N73" i="3"/>
  <c r="O35" i="146"/>
  <c r="O72" i="3"/>
  <c r="P19" i="146"/>
  <c r="P56" i="3"/>
  <c r="P34" i="146"/>
  <c r="P71" i="3"/>
  <c r="P30" i="146"/>
  <c r="P67" i="3"/>
  <c r="P26" i="146"/>
  <c r="P63" i="3"/>
  <c r="P22" i="146"/>
  <c r="P59" i="3"/>
  <c r="O36" i="146"/>
  <c r="O73" i="3"/>
  <c r="P35" i="146"/>
  <c r="P72" i="3"/>
  <c r="P27" i="146"/>
  <c r="P64" i="3"/>
  <c r="N35" i="146"/>
  <c r="N72" i="3"/>
  <c r="O34" i="146"/>
  <c r="O71" i="3"/>
  <c r="P37" i="146"/>
  <c r="P74" i="3"/>
  <c r="P33" i="146"/>
  <c r="Q33" i="146" s="1"/>
  <c r="P70" i="3"/>
  <c r="P29" i="146"/>
  <c r="P66" i="3"/>
  <c r="P25" i="146"/>
  <c r="P62" i="3"/>
  <c r="P21" i="146"/>
  <c r="P58" i="3"/>
  <c r="N34" i="146"/>
  <c r="N71" i="3"/>
  <c r="Q71" i="3" s="1"/>
  <c r="O37" i="146"/>
  <c r="O74" i="3"/>
  <c r="P36" i="146"/>
  <c r="P73" i="3"/>
  <c r="P32" i="146"/>
  <c r="P69" i="3"/>
  <c r="P28" i="146"/>
  <c r="P65" i="3"/>
  <c r="P24" i="146"/>
  <c r="P61" i="3"/>
  <c r="P20" i="146"/>
  <c r="P57" i="3"/>
  <c r="T90" i="57"/>
  <c r="L90" i="57"/>
  <c r="J90" i="57"/>
  <c r="R90" i="57"/>
  <c r="AA84" i="57"/>
  <c r="AA77" i="57"/>
  <c r="W33" i="57"/>
  <c r="W17" i="57"/>
  <c r="X37" i="57"/>
  <c r="X21" i="57"/>
  <c r="W29" i="57"/>
  <c r="AA56" i="57"/>
  <c r="AA37" i="57"/>
  <c r="AA17" i="57"/>
  <c r="W41" i="57"/>
  <c r="W25" i="57"/>
  <c r="X29" i="57"/>
  <c r="Y27" i="57"/>
  <c r="AA85" i="57"/>
  <c r="AA45" i="57"/>
  <c r="W37" i="57"/>
  <c r="W21" i="57"/>
  <c r="X38" i="57"/>
  <c r="X22" i="57"/>
  <c r="V28" i="57"/>
  <c r="AA48" i="57"/>
  <c r="AA32" i="57"/>
  <c r="V40" i="57"/>
  <c r="V24" i="57"/>
  <c r="W48" i="57"/>
  <c r="W40" i="57"/>
  <c r="W32" i="57"/>
  <c r="W24" i="57"/>
  <c r="W16" i="57"/>
  <c r="V36" i="57"/>
  <c r="V20" i="57"/>
  <c r="X13" i="57"/>
  <c r="X42" i="57"/>
  <c r="X34" i="57"/>
  <c r="X26" i="57"/>
  <c r="X18" i="57"/>
  <c r="AA81" i="57"/>
  <c r="AA61" i="57"/>
  <c r="AA58" i="57"/>
  <c r="V48" i="57"/>
  <c r="V32" i="57"/>
  <c r="V16" i="57"/>
  <c r="W36" i="57"/>
  <c r="W28" i="57"/>
  <c r="W20" i="57"/>
  <c r="X41" i="57"/>
  <c r="X33" i="57"/>
  <c r="X25" i="57"/>
  <c r="X17" i="57"/>
  <c r="AA87" i="57"/>
  <c r="AA78" i="57"/>
  <c r="AA60" i="57"/>
  <c r="AA57" i="57"/>
  <c r="AA83" i="57"/>
  <c r="AA64" i="57"/>
  <c r="X47" i="57"/>
  <c r="V47" i="57"/>
  <c r="W47" i="57"/>
  <c r="X43" i="57"/>
  <c r="W43" i="57"/>
  <c r="V43" i="57"/>
  <c r="X39" i="57"/>
  <c r="V39" i="57"/>
  <c r="W39" i="57"/>
  <c r="X35" i="57"/>
  <c r="W35" i="57"/>
  <c r="V35" i="57"/>
  <c r="X31" i="57"/>
  <c r="V31" i="57"/>
  <c r="W31" i="57"/>
  <c r="AA31" i="57"/>
  <c r="X27" i="57"/>
  <c r="AA27" i="57"/>
  <c r="V27" i="57"/>
  <c r="W27" i="57"/>
  <c r="X23" i="57"/>
  <c r="W23" i="57"/>
  <c r="AA23" i="57"/>
  <c r="V23" i="57"/>
  <c r="X19" i="57"/>
  <c r="V19" i="57"/>
  <c r="W19" i="57"/>
  <c r="AA19" i="57"/>
  <c r="X15" i="57"/>
  <c r="Y15" i="57"/>
  <c r="W15" i="57"/>
  <c r="V15" i="57"/>
  <c r="Y47" i="57"/>
  <c r="Y31" i="57"/>
  <c r="Y13" i="57"/>
  <c r="Y42" i="57"/>
  <c r="Y30" i="57"/>
  <c r="Y22" i="57"/>
  <c r="Y18" i="57"/>
  <c r="AA55" i="57"/>
  <c r="AA54" i="57"/>
  <c r="AA53" i="57"/>
  <c r="AA30" i="57"/>
  <c r="V13" i="57"/>
  <c r="V46" i="57"/>
  <c r="V42" i="57"/>
  <c r="V38" i="57"/>
  <c r="V34" i="57"/>
  <c r="V30" i="57"/>
  <c r="V26" i="57"/>
  <c r="V22" i="57"/>
  <c r="V18" i="57"/>
  <c r="V14" i="57"/>
  <c r="X48" i="57"/>
  <c r="X40" i="57"/>
  <c r="X36" i="57"/>
  <c r="X32" i="57"/>
  <c r="X28" i="57"/>
  <c r="X24" i="57"/>
  <c r="X20" i="57"/>
  <c r="X16" i="57"/>
  <c r="Y41" i="57"/>
  <c r="Y37" i="57"/>
  <c r="Y33" i="57"/>
  <c r="Y29" i="57"/>
  <c r="Y25" i="57"/>
  <c r="Y21" i="57"/>
  <c r="Y17" i="57"/>
  <c r="AA13" i="57"/>
  <c r="Y46" i="57"/>
  <c r="Y38" i="57"/>
  <c r="Y34" i="57"/>
  <c r="Y26" i="57"/>
  <c r="Y14" i="57"/>
  <c r="AA74" i="57"/>
  <c r="V29" i="57"/>
  <c r="V25" i="57"/>
  <c r="V21" i="57"/>
  <c r="Y48" i="57"/>
  <c r="Y28" i="57"/>
  <c r="Y24" i="57"/>
  <c r="Y20" i="57"/>
  <c r="V51" i="57"/>
  <c r="AA33" i="57"/>
  <c r="AA28" i="57"/>
  <c r="AA24" i="57"/>
  <c r="AA20" i="57"/>
  <c r="AA44" i="57"/>
  <c r="AA43" i="57"/>
  <c r="AA40" i="57"/>
  <c r="AA39" i="57"/>
  <c r="AA36" i="57"/>
  <c r="AA35" i="57"/>
  <c r="AA16" i="57"/>
  <c r="AA15" i="57"/>
  <c r="AA75" i="57"/>
  <c r="AA63" i="57"/>
  <c r="AA62" i="57"/>
  <c r="AA42" i="57"/>
  <c r="AA26" i="57"/>
  <c r="AA86" i="57"/>
  <c r="AA80" i="57"/>
  <c r="X51" i="57"/>
  <c r="AA38" i="57"/>
  <c r="AA22" i="57"/>
  <c r="I12" i="57"/>
  <c r="O90" i="57"/>
  <c r="K90" i="57"/>
  <c r="AA88" i="57"/>
  <c r="AA82" i="57"/>
  <c r="AA79" i="57"/>
  <c r="AA76" i="57"/>
  <c r="AA66" i="57"/>
  <c r="AA65" i="57"/>
  <c r="AA34" i="57"/>
  <c r="AA18" i="57"/>
  <c r="I51" i="57"/>
  <c r="I72" i="57"/>
  <c r="S33" i="146" l="1"/>
  <c r="Q34" i="146"/>
  <c r="S34" i="146" s="1"/>
  <c r="Q72" i="3"/>
  <c r="C94" i="57"/>
  <c r="Q73" i="3"/>
  <c r="Q36" i="146"/>
  <c r="Q74" i="3"/>
  <c r="Q35" i="146"/>
  <c r="S35" i="146" s="1"/>
  <c r="Q37" i="146"/>
  <c r="U72" i="57"/>
  <c r="S72" i="57"/>
  <c r="U51" i="57"/>
  <c r="S51" i="57"/>
  <c r="W51" i="57"/>
  <c r="Y51" i="57"/>
  <c r="Y72" i="57"/>
  <c r="X72" i="57"/>
  <c r="V72" i="57"/>
  <c r="W72" i="57"/>
  <c r="U12" i="57"/>
  <c r="S12" i="57"/>
  <c r="I90" i="57"/>
  <c r="U90" i="57" l="1"/>
  <c r="S90" i="57"/>
  <c r="A123" i="67"/>
  <c r="AI87" i="67"/>
  <c r="X87" i="67"/>
  <c r="A87" i="67"/>
  <c r="AT86" i="67"/>
  <c r="AS86" i="67"/>
  <c r="AR86" i="67"/>
  <c r="C86" i="67"/>
  <c r="B86" i="67"/>
  <c r="A86" i="67"/>
  <c r="AT85" i="67"/>
  <c r="AS85" i="67"/>
  <c r="AR85" i="67"/>
  <c r="AU84" i="67"/>
  <c r="AT84" i="67"/>
  <c r="AS84" i="67"/>
  <c r="AR84" i="67"/>
  <c r="AV84" i="67" s="1"/>
  <c r="G84" i="67"/>
  <c r="D84" i="67"/>
  <c r="B84" i="67"/>
  <c r="E84" i="67" s="1"/>
  <c r="F84" i="67" s="1"/>
  <c r="A84" i="67"/>
  <c r="AT83" i="67"/>
  <c r="AS83" i="67"/>
  <c r="AR83" i="67"/>
  <c r="AV83" i="67" s="1"/>
  <c r="A83" i="67"/>
  <c r="AT82" i="67"/>
  <c r="AS82" i="67"/>
  <c r="AR82" i="67"/>
  <c r="AV82" i="67" s="1"/>
  <c r="A82" i="67"/>
  <c r="AT81" i="67"/>
  <c r="AS81" i="67"/>
  <c r="AR81" i="67"/>
  <c r="G81" i="67"/>
  <c r="F81" i="67"/>
  <c r="D81" i="67"/>
  <c r="E81" i="67" s="1"/>
  <c r="B81" i="67"/>
  <c r="A81" i="67"/>
  <c r="AU80" i="67"/>
  <c r="AT80" i="67"/>
  <c r="AS80" i="67"/>
  <c r="AR80" i="67"/>
  <c r="G80" i="67"/>
  <c r="D80" i="67"/>
  <c r="B80" i="67"/>
  <c r="A80" i="67"/>
  <c r="AT79" i="67"/>
  <c r="AS79" i="67"/>
  <c r="AR79" i="67"/>
  <c r="AV79" i="67" s="1"/>
  <c r="AX79" i="67" s="1"/>
  <c r="G79" i="67"/>
  <c r="E79" i="67"/>
  <c r="F79" i="67" s="1"/>
  <c r="D79" i="67"/>
  <c r="B79" i="67"/>
  <c r="A79" i="67"/>
  <c r="AT78" i="67"/>
  <c r="AS78" i="67"/>
  <c r="AU78" i="67" s="1"/>
  <c r="AR78" i="67"/>
  <c r="G78" i="67"/>
  <c r="E78" i="67"/>
  <c r="F78" i="67" s="1"/>
  <c r="D78" i="67"/>
  <c r="B78" i="67"/>
  <c r="A78" i="67"/>
  <c r="AT77" i="67"/>
  <c r="AS77" i="67"/>
  <c r="AR77" i="67"/>
  <c r="G77" i="67"/>
  <c r="F77" i="67"/>
  <c r="E77" i="67"/>
  <c r="D77" i="67"/>
  <c r="B77" i="67"/>
  <c r="A77" i="67"/>
  <c r="AT76" i="67"/>
  <c r="AS76" i="67"/>
  <c r="AR76" i="67"/>
  <c r="G76" i="67"/>
  <c r="E76" i="67"/>
  <c r="F76" i="67" s="1"/>
  <c r="D76" i="67"/>
  <c r="B76" i="67"/>
  <c r="A76" i="67"/>
  <c r="AT75" i="67"/>
  <c r="AS75" i="67"/>
  <c r="AR75" i="67"/>
  <c r="G75" i="67"/>
  <c r="H75" i="67" s="1"/>
  <c r="F75" i="67"/>
  <c r="D75" i="67"/>
  <c r="B75" i="67"/>
  <c r="E75" i="67" s="1"/>
  <c r="A75" i="67"/>
  <c r="AT74" i="67"/>
  <c r="AS74" i="67"/>
  <c r="AR74" i="67"/>
  <c r="G74" i="67"/>
  <c r="H74" i="67" s="1"/>
  <c r="I74" i="67" s="1"/>
  <c r="D74" i="67"/>
  <c r="E74" i="67" s="1"/>
  <c r="F74" i="67" s="1"/>
  <c r="B74" i="67"/>
  <c r="A74" i="67"/>
  <c r="AU73" i="67"/>
  <c r="AT73" i="67"/>
  <c r="AS73" i="67"/>
  <c r="AR73" i="67"/>
  <c r="AV73" i="67" s="1"/>
  <c r="AX73" i="67" s="1"/>
  <c r="G73" i="67"/>
  <c r="D73" i="67"/>
  <c r="B73" i="67"/>
  <c r="E73" i="67" s="1"/>
  <c r="F73" i="67" s="1"/>
  <c r="A73" i="67"/>
  <c r="AU72" i="67"/>
  <c r="AT72" i="67"/>
  <c r="AS72" i="67"/>
  <c r="AR72" i="67"/>
  <c r="G72" i="67"/>
  <c r="D72" i="67"/>
  <c r="E72" i="67" s="1"/>
  <c r="F72" i="67" s="1"/>
  <c r="B72" i="67"/>
  <c r="A72" i="67"/>
  <c r="AT71" i="67"/>
  <c r="AS71" i="67"/>
  <c r="AR71" i="67"/>
  <c r="G71" i="67"/>
  <c r="E71" i="67"/>
  <c r="F71" i="67" s="1"/>
  <c r="D71" i="67"/>
  <c r="B71" i="67"/>
  <c r="AP70" i="67"/>
  <c r="AP87" i="67" s="1"/>
  <c r="AO70" i="67"/>
  <c r="AN70" i="67"/>
  <c r="AM70" i="67"/>
  <c r="AL70" i="67"/>
  <c r="AL87" i="67" s="1"/>
  <c r="AK70" i="67"/>
  <c r="AJ70" i="67"/>
  <c r="AI70" i="67"/>
  <c r="AH70" i="67"/>
  <c r="AH87" i="67" s="1"/>
  <c r="AG70" i="67"/>
  <c r="AF70" i="67"/>
  <c r="AE70" i="67"/>
  <c r="AD70" i="67"/>
  <c r="AD87" i="67" s="1"/>
  <c r="AC70" i="67"/>
  <c r="AC87" i="67" s="1"/>
  <c r="AB70" i="67"/>
  <c r="AA70" i="67"/>
  <c r="Z70" i="67"/>
  <c r="Z87" i="67" s="1"/>
  <c r="Y70" i="67"/>
  <c r="Y87" i="67" s="1"/>
  <c r="X70" i="67"/>
  <c r="W70" i="67"/>
  <c r="V70" i="67"/>
  <c r="V87" i="67" s="1"/>
  <c r="U70" i="67"/>
  <c r="T70" i="67"/>
  <c r="S70" i="67"/>
  <c r="R70" i="67"/>
  <c r="R87" i="67" s="1"/>
  <c r="Q70" i="67"/>
  <c r="P70" i="67"/>
  <c r="O70" i="67"/>
  <c r="N70" i="67"/>
  <c r="N87" i="67" s="1"/>
  <c r="M70" i="67"/>
  <c r="G70" i="67"/>
  <c r="D70" i="67"/>
  <c r="E70" i="67" s="1"/>
  <c r="F70" i="67" s="1"/>
  <c r="B70" i="67"/>
  <c r="AU69" i="67"/>
  <c r="AT69" i="67"/>
  <c r="AS69" i="67"/>
  <c r="AR69" i="67"/>
  <c r="AV69" i="67" s="1"/>
  <c r="AU68" i="67"/>
  <c r="AT68" i="67"/>
  <c r="AS68" i="67"/>
  <c r="AR68" i="67"/>
  <c r="AU67" i="67"/>
  <c r="AT67" i="67"/>
  <c r="AS67" i="67"/>
  <c r="AR67" i="67"/>
  <c r="AU66" i="67"/>
  <c r="AT66" i="67"/>
  <c r="AS66" i="67"/>
  <c r="AR66" i="67"/>
  <c r="AU65" i="67"/>
  <c r="AT65" i="67"/>
  <c r="AS65" i="67"/>
  <c r="AR65" i="67"/>
  <c r="AV65" i="67" s="1"/>
  <c r="AX65" i="67" s="1"/>
  <c r="AU64" i="67"/>
  <c r="AT64" i="67"/>
  <c r="AS64" i="67"/>
  <c r="AR64" i="67"/>
  <c r="A64" i="67"/>
  <c r="AU63" i="67"/>
  <c r="AT63" i="67"/>
  <c r="AS63" i="67"/>
  <c r="AR63" i="67"/>
  <c r="AV63" i="67" s="1"/>
  <c r="AX63" i="67" s="1"/>
  <c r="G63" i="67"/>
  <c r="H63" i="67" s="1"/>
  <c r="F63" i="67"/>
  <c r="D63" i="67"/>
  <c r="E63" i="67" s="1"/>
  <c r="B63" i="67"/>
  <c r="A63" i="67"/>
  <c r="AU62" i="67"/>
  <c r="AT62" i="67"/>
  <c r="AS62" i="67"/>
  <c r="AR62" i="67"/>
  <c r="AV62" i="67" s="1"/>
  <c r="AX62" i="67" s="1"/>
  <c r="G62" i="67"/>
  <c r="F62" i="67"/>
  <c r="E62" i="67"/>
  <c r="D62" i="67"/>
  <c r="B62" i="67"/>
  <c r="A62" i="67"/>
  <c r="AU61" i="67"/>
  <c r="AT61" i="67"/>
  <c r="AS61" i="67"/>
  <c r="AR61" i="67"/>
  <c r="G61" i="67"/>
  <c r="D61" i="67"/>
  <c r="B61" i="67"/>
  <c r="A61" i="67"/>
  <c r="AU60" i="67"/>
  <c r="AT60" i="67"/>
  <c r="AS60" i="67"/>
  <c r="AR60" i="67"/>
  <c r="AV60" i="67" s="1"/>
  <c r="AX60" i="67" s="1"/>
  <c r="G60" i="67"/>
  <c r="F60" i="67"/>
  <c r="D60" i="67"/>
  <c r="E60" i="67" s="1"/>
  <c r="B60" i="67"/>
  <c r="A60" i="67"/>
  <c r="AU59" i="67"/>
  <c r="AT59" i="67"/>
  <c r="AS59" i="67"/>
  <c r="AR59" i="67"/>
  <c r="AV59" i="67" s="1"/>
  <c r="AX59" i="67" s="1"/>
  <c r="G59" i="67"/>
  <c r="D59" i="67"/>
  <c r="B59" i="67"/>
  <c r="A59" i="67"/>
  <c r="AU58" i="67"/>
  <c r="AT58" i="67"/>
  <c r="AS58" i="67"/>
  <c r="AR58" i="67"/>
  <c r="AU57" i="67"/>
  <c r="AT57" i="67"/>
  <c r="AS57" i="67"/>
  <c r="AR57" i="67"/>
  <c r="AV57" i="67" s="1"/>
  <c r="AU56" i="67"/>
  <c r="AT56" i="67"/>
  <c r="AS56" i="67"/>
  <c r="AR56" i="67"/>
  <c r="AV56" i="67" s="1"/>
  <c r="AX56" i="67" s="1"/>
  <c r="G56" i="67"/>
  <c r="D56" i="67"/>
  <c r="E56" i="67" s="1"/>
  <c r="F56" i="67" s="1"/>
  <c r="B56" i="67"/>
  <c r="A56" i="67"/>
  <c r="AU55" i="67"/>
  <c r="AT55" i="67"/>
  <c r="AS55" i="67"/>
  <c r="AR55" i="67"/>
  <c r="G55" i="67"/>
  <c r="D55" i="67"/>
  <c r="E55" i="67" s="1"/>
  <c r="F55" i="67" s="1"/>
  <c r="B55" i="67"/>
  <c r="A55" i="67"/>
  <c r="AU54" i="67"/>
  <c r="AT54" i="67"/>
  <c r="AS54" i="67"/>
  <c r="AR54" i="67"/>
  <c r="AV54" i="67" s="1"/>
  <c r="AX54" i="67" s="1"/>
  <c r="G54" i="67"/>
  <c r="F54" i="67"/>
  <c r="D54" i="67"/>
  <c r="E54" i="67" s="1"/>
  <c r="B54" i="67"/>
  <c r="A54" i="67"/>
  <c r="AU53" i="67"/>
  <c r="AT53" i="67"/>
  <c r="AS53" i="67"/>
  <c r="AR53" i="67"/>
  <c r="AV53" i="67" s="1"/>
  <c r="AX53" i="67" s="1"/>
  <c r="G53" i="67"/>
  <c r="F53" i="67"/>
  <c r="E53" i="67"/>
  <c r="D53" i="67"/>
  <c r="B53" i="67"/>
  <c r="A53" i="67"/>
  <c r="AU52" i="67"/>
  <c r="AT52" i="67"/>
  <c r="AT50" i="67" s="1"/>
  <c r="AS52" i="67"/>
  <c r="AR52" i="67"/>
  <c r="G52" i="67"/>
  <c r="F52" i="67"/>
  <c r="D52" i="67"/>
  <c r="E52" i="67" s="1"/>
  <c r="B52" i="67"/>
  <c r="A52" i="67"/>
  <c r="AU51" i="67"/>
  <c r="AT51" i="67"/>
  <c r="AS51" i="67"/>
  <c r="AR51" i="67"/>
  <c r="AR50" i="67" s="1"/>
  <c r="G51" i="67"/>
  <c r="F51" i="67"/>
  <c r="E51" i="67"/>
  <c r="D51" i="67"/>
  <c r="B51" i="67"/>
  <c r="A51" i="67"/>
  <c r="AS50" i="67"/>
  <c r="AP50" i="67"/>
  <c r="AO50" i="67"/>
  <c r="AN50" i="67"/>
  <c r="AN87" i="67" s="1"/>
  <c r="AM50" i="67"/>
  <c r="AL50" i="67"/>
  <c r="AK50" i="67"/>
  <c r="AJ50" i="67"/>
  <c r="AJ87" i="67" s="1"/>
  <c r="AI50" i="67"/>
  <c r="AH50" i="67"/>
  <c r="AG50" i="67"/>
  <c r="AF50" i="67"/>
  <c r="AE50" i="67"/>
  <c r="AE87" i="67" s="1"/>
  <c r="AD50" i="67"/>
  <c r="AC50" i="67"/>
  <c r="AB50" i="67"/>
  <c r="AA50" i="67"/>
  <c r="Z50" i="67"/>
  <c r="Y50" i="67"/>
  <c r="X50" i="67"/>
  <c r="W50" i="67"/>
  <c r="V50" i="67"/>
  <c r="U50" i="67"/>
  <c r="T50" i="67"/>
  <c r="T87" i="67" s="1"/>
  <c r="S50" i="67"/>
  <c r="S87" i="67" s="1"/>
  <c r="R50" i="67"/>
  <c r="Q50" i="67"/>
  <c r="P50" i="67"/>
  <c r="O50" i="67"/>
  <c r="O87" i="67" s="1"/>
  <c r="N50" i="67"/>
  <c r="M50" i="67"/>
  <c r="B50" i="67"/>
  <c r="A50" i="67"/>
  <c r="AU49" i="67"/>
  <c r="Y49" i="57" s="1"/>
  <c r="AT49" i="67"/>
  <c r="X49" i="57" s="1"/>
  <c r="AS49" i="67"/>
  <c r="W49" i="57" s="1"/>
  <c r="AR49" i="67"/>
  <c r="AU48" i="67"/>
  <c r="AT48" i="67"/>
  <c r="AS48" i="67"/>
  <c r="AR48" i="67"/>
  <c r="AV48" i="67" s="1"/>
  <c r="AX48" i="67" s="1"/>
  <c r="G48" i="67"/>
  <c r="E48" i="67"/>
  <c r="F48" i="67" s="1"/>
  <c r="D48" i="67"/>
  <c r="B48" i="67"/>
  <c r="A48" i="67"/>
  <c r="AU47" i="67"/>
  <c r="AT47" i="67"/>
  <c r="AS47" i="67"/>
  <c r="AR47" i="67"/>
  <c r="AV47" i="67" s="1"/>
  <c r="AX47" i="67" s="1"/>
  <c r="G47" i="67"/>
  <c r="E47" i="67"/>
  <c r="F47" i="67" s="1"/>
  <c r="D47" i="67"/>
  <c r="B47" i="67"/>
  <c r="A47" i="67"/>
  <c r="AU46" i="67"/>
  <c r="AT46" i="67"/>
  <c r="AS46" i="67"/>
  <c r="AR46" i="67"/>
  <c r="AV46" i="67" s="1"/>
  <c r="AX46" i="67" s="1"/>
  <c r="G46" i="67"/>
  <c r="F46" i="67"/>
  <c r="E46" i="67"/>
  <c r="D46" i="67"/>
  <c r="B46" i="67"/>
  <c r="A46" i="67"/>
  <c r="AU45" i="67"/>
  <c r="Y45" i="57" s="1"/>
  <c r="AT45" i="67"/>
  <c r="X45" i="57" s="1"/>
  <c r="AS45" i="67"/>
  <c r="W45" i="57" s="1"/>
  <c r="AR45" i="67"/>
  <c r="V45" i="57" s="1"/>
  <c r="G45" i="67"/>
  <c r="E45" i="67"/>
  <c r="F45" i="67" s="1"/>
  <c r="D45" i="67"/>
  <c r="B45" i="67"/>
  <c r="A45" i="67"/>
  <c r="AU44" i="67"/>
  <c r="Y44" i="57" s="1"/>
  <c r="AT44" i="67"/>
  <c r="X44" i="57" s="1"/>
  <c r="AS44" i="67"/>
  <c r="W44" i="57" s="1"/>
  <c r="AR44" i="67"/>
  <c r="G44" i="67"/>
  <c r="E44" i="67"/>
  <c r="F44" i="67" s="1"/>
  <c r="D44" i="67"/>
  <c r="B44" i="67"/>
  <c r="A44" i="67"/>
  <c r="AU43" i="67"/>
  <c r="AT43" i="67"/>
  <c r="AS43" i="67"/>
  <c r="AR43" i="67"/>
  <c r="AV43" i="67" s="1"/>
  <c r="AX43" i="67" s="1"/>
  <c r="G43" i="67"/>
  <c r="D43" i="67"/>
  <c r="B43" i="67"/>
  <c r="E43" i="67" s="1"/>
  <c r="F43" i="67" s="1"/>
  <c r="A43" i="67"/>
  <c r="AU42" i="67"/>
  <c r="AT42" i="67"/>
  <c r="AS42" i="67"/>
  <c r="AR42" i="67"/>
  <c r="G42" i="67"/>
  <c r="D42" i="67"/>
  <c r="B42" i="67"/>
  <c r="E42" i="67" s="1"/>
  <c r="F42" i="67" s="1"/>
  <c r="A42" i="67"/>
  <c r="BK41" i="67"/>
  <c r="AU41" i="67"/>
  <c r="AT41" i="67"/>
  <c r="AS41" i="67"/>
  <c r="AR41" i="67"/>
  <c r="AV41" i="67" s="1"/>
  <c r="AX41" i="67" s="1"/>
  <c r="G41" i="67"/>
  <c r="E41" i="67"/>
  <c r="F41" i="67" s="1"/>
  <c r="D41" i="67"/>
  <c r="B41" i="67"/>
  <c r="A41" i="67"/>
  <c r="AU40" i="67"/>
  <c r="AT40" i="67"/>
  <c r="AS40" i="67"/>
  <c r="AR40" i="67"/>
  <c r="AV40" i="67" s="1"/>
  <c r="AX40" i="67" s="1"/>
  <c r="G40" i="67"/>
  <c r="D40" i="67"/>
  <c r="E40" i="67" s="1"/>
  <c r="F40" i="67" s="1"/>
  <c r="B40" i="67"/>
  <c r="A40" i="67"/>
  <c r="AU39" i="67"/>
  <c r="AT39" i="67"/>
  <c r="AS39" i="67"/>
  <c r="AR39" i="67"/>
  <c r="AV39" i="67" s="1"/>
  <c r="AX39" i="67" s="1"/>
  <c r="G39" i="67"/>
  <c r="F39" i="67"/>
  <c r="E39" i="67"/>
  <c r="D39" i="67"/>
  <c r="B39" i="67"/>
  <c r="A39" i="67"/>
  <c r="AU38" i="67"/>
  <c r="AT38" i="67"/>
  <c r="AS38" i="67"/>
  <c r="AR38" i="67"/>
  <c r="G38" i="67"/>
  <c r="D38" i="67"/>
  <c r="B38" i="67"/>
  <c r="A38" i="67"/>
  <c r="AU37" i="67"/>
  <c r="AT37" i="67"/>
  <c r="AS37" i="67"/>
  <c r="AR37" i="67"/>
  <c r="AV37" i="67" s="1"/>
  <c r="AX37" i="67" s="1"/>
  <c r="G37" i="67"/>
  <c r="D37" i="67"/>
  <c r="E37" i="67" s="1"/>
  <c r="F37" i="67" s="1"/>
  <c r="B37" i="67"/>
  <c r="A37" i="67"/>
  <c r="AU36" i="67"/>
  <c r="AT36" i="67"/>
  <c r="AS36" i="67"/>
  <c r="AR36" i="67"/>
  <c r="AV36" i="67" s="1"/>
  <c r="AX36" i="67" s="1"/>
  <c r="G36" i="67"/>
  <c r="D36" i="67"/>
  <c r="E36" i="67" s="1"/>
  <c r="F36" i="67" s="1"/>
  <c r="B36" i="67"/>
  <c r="A36" i="67"/>
  <c r="AU35" i="67"/>
  <c r="AT35" i="67"/>
  <c r="AS35" i="67"/>
  <c r="AR35" i="67"/>
  <c r="G35" i="67"/>
  <c r="H35" i="67" s="1"/>
  <c r="I35" i="67" s="1"/>
  <c r="E35" i="67"/>
  <c r="F35" i="67" s="1"/>
  <c r="D35" i="67"/>
  <c r="B35" i="67"/>
  <c r="A35" i="67"/>
  <c r="AU34" i="67"/>
  <c r="AT34" i="67"/>
  <c r="AS34" i="67"/>
  <c r="AR34" i="67"/>
  <c r="AV34" i="67" s="1"/>
  <c r="AX34" i="67" s="1"/>
  <c r="G34" i="67"/>
  <c r="D34" i="67"/>
  <c r="B34" i="67"/>
  <c r="A34" i="67"/>
  <c r="AU33" i="67"/>
  <c r="AT33" i="67"/>
  <c r="AS33" i="67"/>
  <c r="AR33" i="67"/>
  <c r="AV33" i="67" s="1"/>
  <c r="AX33" i="67" s="1"/>
  <c r="G33" i="67"/>
  <c r="D33" i="67"/>
  <c r="E33" i="67" s="1"/>
  <c r="F33" i="67" s="1"/>
  <c r="B33" i="67"/>
  <c r="A33" i="67"/>
  <c r="AU32" i="67"/>
  <c r="AT32" i="67"/>
  <c r="AS32" i="67"/>
  <c r="AR32" i="67"/>
  <c r="AV32" i="67" s="1"/>
  <c r="AX32" i="67" s="1"/>
  <c r="G32" i="67"/>
  <c r="F32" i="67"/>
  <c r="D32" i="67"/>
  <c r="E32" i="67" s="1"/>
  <c r="B32" i="67"/>
  <c r="A32" i="67"/>
  <c r="AU31" i="67"/>
  <c r="AT31" i="67"/>
  <c r="AS31" i="67"/>
  <c r="AR31" i="67"/>
  <c r="AV31" i="67" s="1"/>
  <c r="AX31" i="67" s="1"/>
  <c r="G31" i="67"/>
  <c r="E31" i="67"/>
  <c r="F31" i="67" s="1"/>
  <c r="D31" i="67"/>
  <c r="B31" i="67"/>
  <c r="A31" i="67"/>
  <c r="AU30" i="67"/>
  <c r="AT30" i="67"/>
  <c r="AS30" i="67"/>
  <c r="AR30" i="67"/>
  <c r="G30" i="67"/>
  <c r="D30" i="67"/>
  <c r="B30" i="67"/>
  <c r="A30" i="67"/>
  <c r="AU29" i="67"/>
  <c r="AT29" i="67"/>
  <c r="AS29" i="67"/>
  <c r="AR29" i="67"/>
  <c r="AV29" i="67" s="1"/>
  <c r="AX29" i="67" s="1"/>
  <c r="G29" i="67"/>
  <c r="F29" i="67"/>
  <c r="D29" i="67"/>
  <c r="E29" i="67" s="1"/>
  <c r="B29" i="67"/>
  <c r="A29" i="67"/>
  <c r="AU28" i="67"/>
  <c r="AT28" i="67"/>
  <c r="AS28" i="67"/>
  <c r="AR28" i="67"/>
  <c r="AV28" i="67" s="1"/>
  <c r="AX28" i="67" s="1"/>
  <c r="G28" i="67"/>
  <c r="D28" i="67"/>
  <c r="D86" i="67" s="1"/>
  <c r="B28" i="67"/>
  <c r="A28" i="67"/>
  <c r="AU27" i="67"/>
  <c r="AT27" i="67"/>
  <c r="AS27" i="67"/>
  <c r="AR27" i="67"/>
  <c r="AV27" i="67" s="1"/>
  <c r="AU26" i="67"/>
  <c r="AT26" i="67"/>
  <c r="AS26" i="67"/>
  <c r="AR26" i="67"/>
  <c r="AV26" i="67" s="1"/>
  <c r="AU25" i="67"/>
  <c r="AT25" i="67"/>
  <c r="AS25" i="67"/>
  <c r="AR25" i="67"/>
  <c r="AV25" i="67" s="1"/>
  <c r="AU24" i="67"/>
  <c r="AT24" i="67"/>
  <c r="AS24" i="67"/>
  <c r="AR24" i="67"/>
  <c r="AU23" i="67"/>
  <c r="AT23" i="67"/>
  <c r="AS23" i="67"/>
  <c r="AR23" i="67"/>
  <c r="AV23" i="67" s="1"/>
  <c r="AU22" i="67"/>
  <c r="AT22" i="67"/>
  <c r="AS22" i="67"/>
  <c r="AR22" i="67"/>
  <c r="AV22" i="67" s="1"/>
  <c r="AU21" i="67"/>
  <c r="AT21" i="67"/>
  <c r="AS21" i="67"/>
  <c r="AR21" i="67"/>
  <c r="AV21" i="67" s="1"/>
  <c r="AU20" i="67"/>
  <c r="AT20" i="67"/>
  <c r="AS20" i="67"/>
  <c r="AR20" i="67"/>
  <c r="AV20" i="67" s="1"/>
  <c r="AU19" i="67"/>
  <c r="AT19" i="67"/>
  <c r="AS19" i="67"/>
  <c r="AR19" i="67"/>
  <c r="AV19" i="67" s="1"/>
  <c r="AU18" i="67"/>
  <c r="AT18" i="67"/>
  <c r="AS18" i="67"/>
  <c r="AR18" i="67"/>
  <c r="AV18" i="67" s="1"/>
  <c r="AU17" i="67"/>
  <c r="AT17" i="67"/>
  <c r="AS17" i="67"/>
  <c r="AR17" i="67"/>
  <c r="AV17" i="67" s="1"/>
  <c r="AU16" i="67"/>
  <c r="AT16" i="67"/>
  <c r="AS16" i="67"/>
  <c r="AR16" i="67"/>
  <c r="AU15" i="67"/>
  <c r="AT15" i="67"/>
  <c r="AS15" i="67"/>
  <c r="AR15" i="67"/>
  <c r="AV15" i="67" s="1"/>
  <c r="AU14" i="67"/>
  <c r="AT14" i="67"/>
  <c r="AS14" i="67"/>
  <c r="AR14" i="67"/>
  <c r="AV14" i="67" s="1"/>
  <c r="AU13" i="67"/>
  <c r="AT13" i="67"/>
  <c r="AS13" i="67"/>
  <c r="AR13" i="67"/>
  <c r="AV13" i="67" s="1"/>
  <c r="AP12" i="67"/>
  <c r="AO12" i="67"/>
  <c r="AN12" i="67"/>
  <c r="AM12" i="67"/>
  <c r="AL12" i="67"/>
  <c r="AK12" i="67"/>
  <c r="AJ12" i="67"/>
  <c r="AI12" i="67"/>
  <c r="AH12" i="67"/>
  <c r="AG12" i="67"/>
  <c r="AF12" i="67"/>
  <c r="AE12" i="67"/>
  <c r="AD12" i="67"/>
  <c r="AC12" i="67"/>
  <c r="AB12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M87" i="67" s="1"/>
  <c r="H31" i="67" l="1"/>
  <c r="AU12" i="67"/>
  <c r="AV44" i="67"/>
  <c r="V44" i="57"/>
  <c r="AT12" i="67"/>
  <c r="O50" i="108"/>
  <c r="O53" i="3"/>
  <c r="X12" i="57"/>
  <c r="X90" i="57" s="1"/>
  <c r="N50" i="108"/>
  <c r="N53" i="3"/>
  <c r="W12" i="57"/>
  <c r="W90" i="57" s="1"/>
  <c r="P50" i="108"/>
  <c r="P53" i="3"/>
  <c r="Y12" i="57"/>
  <c r="Y90" i="57" s="1"/>
  <c r="AV49" i="67"/>
  <c r="E47" i="58" s="1"/>
  <c r="V49" i="57"/>
  <c r="H47" i="67"/>
  <c r="I47" i="67" s="1"/>
  <c r="H51" i="67"/>
  <c r="I51" i="67" s="1"/>
  <c r="H54" i="67"/>
  <c r="I54" i="67" s="1"/>
  <c r="H55" i="67"/>
  <c r="I55" i="67" s="1"/>
  <c r="H56" i="67"/>
  <c r="H70" i="67"/>
  <c r="I70" i="67" s="1"/>
  <c r="H33" i="67"/>
  <c r="H39" i="67"/>
  <c r="I39" i="67" s="1"/>
  <c r="H60" i="67"/>
  <c r="I60" i="67" s="1"/>
  <c r="H53" i="67"/>
  <c r="I53" i="67" s="1"/>
  <c r="H62" i="67"/>
  <c r="I62" i="67" s="1"/>
  <c r="H78" i="67"/>
  <c r="I78" i="67" s="1"/>
  <c r="H81" i="67"/>
  <c r="I31" i="67"/>
  <c r="H72" i="67"/>
  <c r="I72" i="67" s="1"/>
  <c r="I75" i="67"/>
  <c r="G86" i="67"/>
  <c r="H29" i="67"/>
  <c r="I29" i="67" s="1"/>
  <c r="I33" i="67"/>
  <c r="H36" i="67"/>
  <c r="I36" i="67" s="1"/>
  <c r="H37" i="67"/>
  <c r="I37" i="67" s="1"/>
  <c r="H41" i="67"/>
  <c r="I41" i="67" s="1"/>
  <c r="AV78" i="67"/>
  <c r="AX78" i="67" s="1"/>
  <c r="AT70" i="67"/>
  <c r="AU76" i="67"/>
  <c r="AU77" i="67"/>
  <c r="AV85" i="67"/>
  <c r="AR70" i="67"/>
  <c r="AV86" i="67"/>
  <c r="H43" i="67"/>
  <c r="I43" i="67" s="1"/>
  <c r="AV16" i="67"/>
  <c r="E28" i="67"/>
  <c r="E34" i="67"/>
  <c r="F34" i="67" s="1"/>
  <c r="H34" i="67" s="1"/>
  <c r="I34" i="67" s="1"/>
  <c r="AV38" i="67"/>
  <c r="AX38" i="67" s="1"/>
  <c r="AV42" i="67"/>
  <c r="AX42" i="67" s="1"/>
  <c r="H45" i="67"/>
  <c r="I45" i="67" s="1"/>
  <c r="H48" i="67"/>
  <c r="I48" i="67" s="1"/>
  <c r="H52" i="67"/>
  <c r="I52" i="67" s="1"/>
  <c r="AV55" i="67"/>
  <c r="AX55" i="67" s="1"/>
  <c r="W87" i="67"/>
  <c r="AA87" i="67"/>
  <c r="AM87" i="67"/>
  <c r="AV75" i="67"/>
  <c r="AX75" i="67" s="1"/>
  <c r="H76" i="67"/>
  <c r="I76" i="67" s="1"/>
  <c r="AU79" i="67"/>
  <c r="E80" i="67"/>
  <c r="F80" i="67" s="1"/>
  <c r="H80" i="67" s="1"/>
  <c r="I80" i="67" s="1"/>
  <c r="AU82" i="67"/>
  <c r="AV52" i="67"/>
  <c r="AX52" i="67" s="1"/>
  <c r="H61" i="67"/>
  <c r="I61" i="67" s="1"/>
  <c r="AV67" i="67"/>
  <c r="AV68" i="67"/>
  <c r="P87" i="67"/>
  <c r="AB87" i="67"/>
  <c r="AF87" i="67"/>
  <c r="H73" i="67"/>
  <c r="I73" i="67" s="1"/>
  <c r="AS70" i="67"/>
  <c r="AU74" i="67"/>
  <c r="AV76" i="67"/>
  <c r="AX76" i="67" s="1"/>
  <c r="AU81" i="67"/>
  <c r="AV81" i="67"/>
  <c r="H84" i="67"/>
  <c r="I84" i="67" s="1"/>
  <c r="AV51" i="67"/>
  <c r="AV71" i="67"/>
  <c r="AR12" i="67"/>
  <c r="AV30" i="67"/>
  <c r="AX30" i="67" s="1"/>
  <c r="AV35" i="67"/>
  <c r="AX35" i="67" s="1"/>
  <c r="H40" i="67"/>
  <c r="I40" i="67" s="1"/>
  <c r="H44" i="67"/>
  <c r="I44" i="67" s="1"/>
  <c r="AS12" i="67"/>
  <c r="AV24" i="67"/>
  <c r="H32" i="67"/>
  <c r="I32" i="67" s="1"/>
  <c r="H42" i="67"/>
  <c r="I42" i="67" s="1"/>
  <c r="AV45" i="67"/>
  <c r="AV58" i="67"/>
  <c r="AV61" i="67"/>
  <c r="AX61" i="67" s="1"/>
  <c r="Q87" i="67"/>
  <c r="U87" i="67"/>
  <c r="AG87" i="67"/>
  <c r="AK87" i="67"/>
  <c r="AO87" i="67"/>
  <c r="AU71" i="67"/>
  <c r="AV77" i="67"/>
  <c r="AX77" i="67" s="1"/>
  <c r="E30" i="67"/>
  <c r="F30" i="67" s="1"/>
  <c r="H30" i="67" s="1"/>
  <c r="I30" i="67" s="1"/>
  <c r="E38" i="67"/>
  <c r="F38" i="67" s="1"/>
  <c r="H38" i="67" s="1"/>
  <c r="I38" i="67" s="1"/>
  <c r="H46" i="67"/>
  <c r="I46" i="67" s="1"/>
  <c r="E59" i="67"/>
  <c r="F59" i="67" s="1"/>
  <c r="H59" i="67" s="1"/>
  <c r="I59" i="67" s="1"/>
  <c r="I63" i="67"/>
  <c r="AV66" i="67"/>
  <c r="AV72" i="67"/>
  <c r="AX72" i="67" s="1"/>
  <c r="AU75" i="67"/>
  <c r="H77" i="67"/>
  <c r="I77" i="67" s="1"/>
  <c r="AV80" i="67"/>
  <c r="I81" i="67"/>
  <c r="AU85" i="67"/>
  <c r="AU50" i="67"/>
  <c r="I56" i="67"/>
  <c r="E61" i="67"/>
  <c r="F61" i="67" s="1"/>
  <c r="AV64" i="67"/>
  <c r="AX64" i="67" s="1"/>
  <c r="H71" i="67"/>
  <c r="I71" i="67" s="1"/>
  <c r="AV74" i="67"/>
  <c r="AX74" i="67" s="1"/>
  <c r="H79" i="67"/>
  <c r="I79" i="67" s="1"/>
  <c r="AU83" i="67"/>
  <c r="AU86" i="67"/>
  <c r="A88" i="67"/>
  <c r="AT87" i="67" l="1"/>
  <c r="AX45" i="67"/>
  <c r="E43" i="58"/>
  <c r="AS87" i="67"/>
  <c r="AV12" i="67"/>
  <c r="AX44" i="67"/>
  <c r="AX12" i="67" s="1"/>
  <c r="E42" i="58"/>
  <c r="M50" i="108"/>
  <c r="M53" i="3"/>
  <c r="V12" i="57"/>
  <c r="V90" i="57" s="1"/>
  <c r="AB95" i="57" s="1"/>
  <c r="AR87" i="67"/>
  <c r="E86" i="67"/>
  <c r="F28" i="67"/>
  <c r="AU70" i="67"/>
  <c r="AU87" i="67" s="1"/>
  <c r="AX71" i="67"/>
  <c r="AX70" i="67" s="1"/>
  <c r="AV70" i="67"/>
  <c r="AX51" i="67"/>
  <c r="AX50" i="67" s="1"/>
  <c r="AV50" i="67"/>
  <c r="AX87" i="67" l="1"/>
  <c r="F86" i="67"/>
  <c r="H28" i="67"/>
  <c r="AV87" i="67"/>
  <c r="H86" i="67" l="1"/>
  <c r="I28" i="67"/>
  <c r="I86" i="67" s="1"/>
  <c r="I13" i="152" l="1"/>
  <c r="I12" i="152"/>
  <c r="K14" i="152"/>
  <c r="I14" i="152"/>
  <c r="G14" i="152"/>
  <c r="F14" i="152"/>
  <c r="F13" i="152"/>
  <c r="F12" i="152"/>
  <c r="H15" i="152"/>
  <c r="E15" i="152"/>
  <c r="G14" i="142"/>
  <c r="G15" i="142"/>
  <c r="J22" i="142"/>
  <c r="J24" i="142" s="1"/>
  <c r="K17" i="142"/>
  <c r="J17" i="142"/>
  <c r="M13" i="73"/>
  <c r="V21" i="73"/>
  <c r="V20" i="73"/>
  <c r="V19" i="73"/>
  <c r="V17" i="73"/>
  <c r="T17" i="73"/>
  <c r="J14" i="73"/>
  <c r="L13" i="73"/>
  <c r="L12" i="73"/>
  <c r="J70" i="58"/>
  <c r="J71" i="58"/>
  <c r="J72" i="58"/>
  <c r="J73" i="58"/>
  <c r="J74" i="58"/>
  <c r="J75" i="58"/>
  <c r="J76" i="58"/>
  <c r="J77" i="58"/>
  <c r="J78" i="58"/>
  <c r="J79" i="58"/>
  <c r="J80" i="58"/>
  <c r="J81" i="58"/>
  <c r="J82" i="58"/>
  <c r="J83" i="58"/>
  <c r="J84" i="58"/>
  <c r="J69" i="58"/>
  <c r="M63" i="58"/>
  <c r="M64" i="58"/>
  <c r="M65" i="58"/>
  <c r="M66" i="58"/>
  <c r="M67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63" i="58"/>
  <c r="J64" i="58"/>
  <c r="J65" i="58"/>
  <c r="J66" i="58"/>
  <c r="J67" i="58"/>
  <c r="J49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M47" i="58" s="1"/>
  <c r="J11" i="58"/>
  <c r="C17" i="151"/>
  <c r="C16" i="151"/>
  <c r="C15" i="151"/>
  <c r="C14" i="151"/>
  <c r="C13" i="151"/>
  <c r="C12" i="151"/>
  <c r="C11" i="151"/>
  <c r="AI19" i="150"/>
  <c r="AI20" i="150"/>
  <c r="AS20" i="150" s="1"/>
  <c r="AI21" i="150"/>
  <c r="AS21" i="150" s="1"/>
  <c r="AT21" i="150" s="1"/>
  <c r="AG22" i="115"/>
  <c r="AE22" i="115"/>
  <c r="AD22" i="115"/>
  <c r="AC22" i="115"/>
  <c r="AB22" i="115"/>
  <c r="AA22" i="115"/>
  <c r="Z22" i="115"/>
  <c r="Y22" i="115"/>
  <c r="X22" i="115"/>
  <c r="W22" i="115"/>
  <c r="V22" i="115"/>
  <c r="U22" i="115"/>
  <c r="T22" i="115"/>
  <c r="S22" i="115"/>
  <c r="R22" i="115"/>
  <c r="Q22" i="115"/>
  <c r="P22" i="115"/>
  <c r="O22" i="115"/>
  <c r="N22" i="115"/>
  <c r="M22" i="115"/>
  <c r="L22" i="115"/>
  <c r="K22" i="115"/>
  <c r="J22" i="115"/>
  <c r="I22" i="115"/>
  <c r="H22" i="115"/>
  <c r="G22" i="115"/>
  <c r="F22" i="115"/>
  <c r="E22" i="115"/>
  <c r="D22" i="115"/>
  <c r="AG21" i="115"/>
  <c r="AE21" i="115"/>
  <c r="AD21" i="115"/>
  <c r="AC21" i="115"/>
  <c r="AB21" i="115"/>
  <c r="AA21" i="115"/>
  <c r="Z21" i="115"/>
  <c r="Y21" i="115"/>
  <c r="X21" i="115"/>
  <c r="W21" i="115"/>
  <c r="V21" i="115"/>
  <c r="U21" i="115"/>
  <c r="T21" i="115"/>
  <c r="S21" i="115"/>
  <c r="R21" i="115"/>
  <c r="Q21" i="115"/>
  <c r="P21" i="115"/>
  <c r="O21" i="115"/>
  <c r="N21" i="115"/>
  <c r="M21" i="115"/>
  <c r="L21" i="115"/>
  <c r="K21" i="115"/>
  <c r="J21" i="115"/>
  <c r="I21" i="115"/>
  <c r="H21" i="115"/>
  <c r="G21" i="115"/>
  <c r="F21" i="115"/>
  <c r="E21" i="115"/>
  <c r="D21" i="115"/>
  <c r="AG20" i="115"/>
  <c r="AE20" i="115"/>
  <c r="AD20" i="115"/>
  <c r="AC20" i="115"/>
  <c r="AB20" i="115"/>
  <c r="AA20" i="115"/>
  <c r="Z20" i="115"/>
  <c r="Y20" i="115"/>
  <c r="X20" i="115"/>
  <c r="W20" i="115"/>
  <c r="V20" i="115"/>
  <c r="U20" i="115"/>
  <c r="T20" i="115"/>
  <c r="S20" i="115"/>
  <c r="R20" i="115"/>
  <c r="Q20" i="115"/>
  <c r="P20" i="115"/>
  <c r="O20" i="115"/>
  <c r="N20" i="115"/>
  <c r="M20" i="115"/>
  <c r="L20" i="115"/>
  <c r="K20" i="115"/>
  <c r="J20" i="115"/>
  <c r="I20" i="115"/>
  <c r="H20" i="115"/>
  <c r="G20" i="115"/>
  <c r="F20" i="115"/>
  <c r="E20" i="115"/>
  <c r="D20" i="115"/>
  <c r="AG19" i="115"/>
  <c r="AE19" i="115"/>
  <c r="AD19" i="115"/>
  <c r="AC19" i="115"/>
  <c r="AB19" i="115"/>
  <c r="AA19" i="115"/>
  <c r="Z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M19" i="115"/>
  <c r="L19" i="115"/>
  <c r="K19" i="115"/>
  <c r="J19" i="115"/>
  <c r="I19" i="115"/>
  <c r="H19" i="115"/>
  <c r="G19" i="115"/>
  <c r="F19" i="115"/>
  <c r="E19" i="115"/>
  <c r="D19" i="115"/>
  <c r="AG18" i="115"/>
  <c r="AE18" i="115"/>
  <c r="AD18" i="115"/>
  <c r="AC18" i="115"/>
  <c r="AB18" i="115"/>
  <c r="AA18" i="115"/>
  <c r="Z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M18" i="115"/>
  <c r="L18" i="115"/>
  <c r="K18" i="115"/>
  <c r="J18" i="115"/>
  <c r="I18" i="115"/>
  <c r="H18" i="115"/>
  <c r="G18" i="115"/>
  <c r="F18" i="115"/>
  <c r="E18" i="115"/>
  <c r="D18" i="115"/>
  <c r="AG17" i="115"/>
  <c r="AE17" i="115"/>
  <c r="AD17" i="115"/>
  <c r="AC17" i="115"/>
  <c r="AB17" i="115"/>
  <c r="AA17" i="115"/>
  <c r="Z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M17" i="115"/>
  <c r="L17" i="115"/>
  <c r="K17" i="115"/>
  <c r="J17" i="115"/>
  <c r="I17" i="115"/>
  <c r="H17" i="115"/>
  <c r="G17" i="115"/>
  <c r="F17" i="115"/>
  <c r="E17" i="115"/>
  <c r="D17" i="115"/>
  <c r="AG16" i="115"/>
  <c r="AE16" i="115"/>
  <c r="AD16" i="115"/>
  <c r="AC16" i="115"/>
  <c r="AB16" i="115"/>
  <c r="AA16" i="115"/>
  <c r="Z16" i="115"/>
  <c r="Y16" i="115"/>
  <c r="X16" i="115"/>
  <c r="W16" i="115"/>
  <c r="V16" i="115"/>
  <c r="U16" i="115"/>
  <c r="T16" i="115"/>
  <c r="S16" i="115"/>
  <c r="R16" i="115"/>
  <c r="Q16" i="115"/>
  <c r="P16" i="115"/>
  <c r="O16" i="115"/>
  <c r="N16" i="115"/>
  <c r="M16" i="115"/>
  <c r="L16" i="115"/>
  <c r="K16" i="115"/>
  <c r="J16" i="115"/>
  <c r="I16" i="115"/>
  <c r="H16" i="115"/>
  <c r="G16" i="115"/>
  <c r="F16" i="115"/>
  <c r="E16" i="115"/>
  <c r="D16" i="115"/>
  <c r="AG15" i="115"/>
  <c r="AE15" i="115"/>
  <c r="AD15" i="115"/>
  <c r="AC15" i="115"/>
  <c r="AB15" i="115"/>
  <c r="AA15" i="115"/>
  <c r="Z15" i="115"/>
  <c r="Y15" i="115"/>
  <c r="X15" i="115"/>
  <c r="W15" i="115"/>
  <c r="V15" i="115"/>
  <c r="U15" i="115"/>
  <c r="T15" i="115"/>
  <c r="S15" i="115"/>
  <c r="R15" i="115"/>
  <c r="Q15" i="115"/>
  <c r="P15" i="115"/>
  <c r="O15" i="115"/>
  <c r="N15" i="115"/>
  <c r="M15" i="115"/>
  <c r="L15" i="115"/>
  <c r="K15" i="115"/>
  <c r="J15" i="115"/>
  <c r="I15" i="115"/>
  <c r="H15" i="115"/>
  <c r="G15" i="115"/>
  <c r="F15" i="115"/>
  <c r="E15" i="115"/>
  <c r="F17" i="151" l="1"/>
  <c r="I17" i="151" s="1"/>
  <c r="F15" i="152"/>
  <c r="G15" i="152" s="1"/>
  <c r="L14" i="73"/>
  <c r="AS19" i="150"/>
  <c r="AT19" i="150" s="1"/>
  <c r="F15" i="151" s="1"/>
  <c r="I15" i="151" s="1"/>
  <c r="AT20" i="150"/>
  <c r="F16" i="151" s="1"/>
  <c r="I16" i="151" s="1"/>
  <c r="O53" i="139" l="1"/>
  <c r="O52" i="139"/>
  <c r="O51" i="139" s="1"/>
  <c r="M50" i="139"/>
  <c r="O50" i="139" s="1"/>
  <c r="D50" i="139"/>
  <c r="M49" i="139"/>
  <c r="O49" i="139" s="1"/>
  <c r="D49" i="139"/>
  <c r="O48" i="139"/>
  <c r="D47" i="139"/>
  <c r="O47" i="139" s="1"/>
  <c r="D46" i="139"/>
  <c r="O46" i="139" s="1"/>
  <c r="O45" i="139"/>
  <c r="D45" i="139"/>
  <c r="M43" i="139"/>
  <c r="O43" i="139" s="1"/>
  <c r="D43" i="139"/>
  <c r="M39" i="139"/>
  <c r="O39" i="139" s="1"/>
  <c r="D39" i="139"/>
  <c r="O38" i="139"/>
  <c r="D37" i="139"/>
  <c r="O37" i="139" s="1"/>
  <c r="O36" i="139"/>
  <c r="O35" i="139" s="1"/>
  <c r="D36" i="139"/>
  <c r="O34" i="139"/>
  <c r="O33" i="139"/>
  <c r="D33" i="139"/>
  <c r="D32" i="139"/>
  <c r="O32" i="139" s="1"/>
  <c r="O31" i="139" s="1"/>
  <c r="O30" i="139"/>
  <c r="M30" i="139"/>
  <c r="D30" i="139"/>
  <c r="O29" i="139"/>
  <c r="O28" i="139"/>
  <c r="D28" i="139"/>
  <c r="D27" i="139"/>
  <c r="O27" i="139" s="1"/>
  <c r="O26" i="139" s="1"/>
  <c r="O25" i="139"/>
  <c r="S48" i="139" s="1"/>
  <c r="D24" i="139"/>
  <c r="O24" i="139" s="1"/>
  <c r="T46" i="139" s="1"/>
  <c r="O23" i="139"/>
  <c r="D23" i="139"/>
  <c r="O20" i="139"/>
  <c r="O19" i="139"/>
  <c r="O18" i="139"/>
  <c r="O17" i="139"/>
  <c r="O16" i="139"/>
  <c r="O15" i="139" s="1"/>
  <c r="U48" i="139" s="1"/>
  <c r="O57" i="137"/>
  <c r="O55" i="137" s="1"/>
  <c r="T55" i="137" s="1"/>
  <c r="M57" i="137"/>
  <c r="O56" i="137"/>
  <c r="O54" i="137"/>
  <c r="O53" i="137"/>
  <c r="O52" i="137" s="1"/>
  <c r="S55" i="137" s="1"/>
  <c r="O51" i="137"/>
  <c r="D51" i="137"/>
  <c r="D50" i="137"/>
  <c r="O50" i="137" s="1"/>
  <c r="O49" i="137" s="1"/>
  <c r="O48" i="137" s="1"/>
  <c r="M47" i="137"/>
  <c r="D47" i="137"/>
  <c r="O47" i="137" s="1"/>
  <c r="D46" i="137"/>
  <c r="O46" i="137" s="1"/>
  <c r="O45" i="137" s="1"/>
  <c r="O44" i="137"/>
  <c r="D44" i="137"/>
  <c r="O43" i="137"/>
  <c r="D43" i="137"/>
  <c r="O42" i="137"/>
  <c r="O41" i="137" s="1"/>
  <c r="D42" i="137"/>
  <c r="O39" i="137"/>
  <c r="O37" i="137" s="1"/>
  <c r="D39" i="137"/>
  <c r="O38" i="137"/>
  <c r="D38" i="137"/>
  <c r="D36" i="137"/>
  <c r="O36" i="137" s="1"/>
  <c r="D35" i="137"/>
  <c r="O35" i="137" s="1"/>
  <c r="O34" i="137" s="1"/>
  <c r="O33" i="137"/>
  <c r="D33" i="137"/>
  <c r="O32" i="137"/>
  <c r="O31" i="137" s="1"/>
  <c r="D32" i="137"/>
  <c r="D30" i="137"/>
  <c r="O30" i="137" s="1"/>
  <c r="D29" i="137"/>
  <c r="O29" i="137" s="1"/>
  <c r="O28" i="137" s="1"/>
  <c r="O27" i="137"/>
  <c r="D27" i="137"/>
  <c r="O26" i="137"/>
  <c r="U53" i="137" s="1"/>
  <c r="D26" i="137"/>
  <c r="O25" i="137"/>
  <c r="D25" i="137"/>
  <c r="U46" i="139" l="1"/>
  <c r="O44" i="139"/>
  <c r="T48" i="139"/>
  <c r="O22" i="139"/>
  <c r="O21" i="139" s="1"/>
  <c r="O11" i="139" s="1"/>
  <c r="O54" i="139" s="1"/>
  <c r="S46" i="139"/>
  <c r="S51" i="139" s="1"/>
  <c r="O40" i="137"/>
  <c r="S53" i="137"/>
  <c r="T53" i="137"/>
  <c r="O24" i="137"/>
  <c r="O23" i="137" s="1"/>
  <c r="O22" i="137" s="1"/>
  <c r="O11" i="137" s="1"/>
  <c r="O58" i="137" s="1"/>
  <c r="S57" i="137" l="1"/>
  <c r="AF25" i="94" l="1"/>
  <c r="AG25" i="94"/>
  <c r="H50" i="108"/>
  <c r="Q50" i="108"/>
  <c r="D88" i="114"/>
  <c r="P93" i="80"/>
  <c r="J93" i="80"/>
  <c r="D93" i="80"/>
  <c r="D92" i="80"/>
  <c r="AP91" i="80"/>
  <c r="D91" i="80"/>
  <c r="D90" i="80"/>
  <c r="D94" i="80" s="1"/>
  <c r="AI86" i="80"/>
  <c r="AJ86" i="80" s="1"/>
  <c r="AI85" i="80"/>
  <c r="AJ85" i="80" s="1"/>
  <c r="AM85" i="80" s="1"/>
  <c r="AI84" i="80"/>
  <c r="AJ84" i="80" s="1"/>
  <c r="AM84" i="80" s="1"/>
  <c r="AI83" i="80"/>
  <c r="AJ83" i="80" s="1"/>
  <c r="AM83" i="80" s="1"/>
  <c r="AI82" i="80"/>
  <c r="AJ82" i="80" s="1"/>
  <c r="AM82" i="80" s="1"/>
  <c r="AI81" i="80"/>
  <c r="AJ81" i="80" s="1"/>
  <c r="AM81" i="80" s="1"/>
  <c r="AI80" i="80"/>
  <c r="AJ80" i="80" s="1"/>
  <c r="AM80" i="80" s="1"/>
  <c r="AI79" i="80"/>
  <c r="AJ79" i="80" s="1"/>
  <c r="AM79" i="80" s="1"/>
  <c r="AI78" i="80"/>
  <c r="AJ78" i="80" s="1"/>
  <c r="AM78" i="80" s="1"/>
  <c r="AT77" i="80"/>
  <c r="AI77" i="80"/>
  <c r="AJ77" i="80" s="1"/>
  <c r="AM77" i="80" s="1"/>
  <c r="AI76" i="80"/>
  <c r="AJ76" i="80" s="1"/>
  <c r="AM76" i="80" s="1"/>
  <c r="AJ75" i="80"/>
  <c r="AM75" i="80" s="1"/>
  <c r="AI75" i="80"/>
  <c r="AT75" i="80" s="1"/>
  <c r="AT74" i="80"/>
  <c r="AI74" i="80"/>
  <c r="AJ74" i="80" s="1"/>
  <c r="AM74" i="80" s="1"/>
  <c r="AT73" i="80"/>
  <c r="AI73" i="80"/>
  <c r="AJ73" i="80" s="1"/>
  <c r="AM73" i="80" s="1"/>
  <c r="AI72" i="80"/>
  <c r="AI70" i="80" s="1"/>
  <c r="AI71" i="80"/>
  <c r="AT71" i="80" s="1"/>
  <c r="AG70" i="80"/>
  <c r="AF70" i="80"/>
  <c r="AF87" i="80" s="1"/>
  <c r="AE70" i="80"/>
  <c r="AD70" i="80"/>
  <c r="AC70" i="80"/>
  <c r="AB70" i="80"/>
  <c r="AB87" i="80" s="1"/>
  <c r="AA70" i="80"/>
  <c r="Z70" i="80"/>
  <c r="Y70" i="80"/>
  <c r="X70" i="80"/>
  <c r="X87" i="80" s="1"/>
  <c r="W70" i="80"/>
  <c r="V70" i="80"/>
  <c r="U70" i="80"/>
  <c r="T70" i="80"/>
  <c r="T87" i="80" s="1"/>
  <c r="S70" i="80"/>
  <c r="R70" i="80"/>
  <c r="Q70" i="80"/>
  <c r="P70" i="80"/>
  <c r="P87" i="80" s="1"/>
  <c r="O70" i="80"/>
  <c r="N70" i="80"/>
  <c r="M70" i="80"/>
  <c r="L70" i="80"/>
  <c r="L87" i="80" s="1"/>
  <c r="K70" i="80"/>
  <c r="J70" i="80"/>
  <c r="I70" i="80"/>
  <c r="H70" i="80"/>
  <c r="H87" i="80" s="1"/>
  <c r="G70" i="80"/>
  <c r="F70" i="80"/>
  <c r="E70" i="80"/>
  <c r="D70" i="80"/>
  <c r="D87" i="80" s="1"/>
  <c r="AI69" i="80"/>
  <c r="AJ69" i="80" s="1"/>
  <c r="AJ68" i="80"/>
  <c r="AI68" i="80"/>
  <c r="AI67" i="80"/>
  <c r="AJ67" i="80" s="1"/>
  <c r="AI66" i="80"/>
  <c r="AJ66" i="80" s="1"/>
  <c r="AI65" i="80"/>
  <c r="AJ65" i="80" s="1"/>
  <c r="AM65" i="80" s="1"/>
  <c r="AI64" i="80"/>
  <c r="AJ64" i="80" s="1"/>
  <c r="AM64" i="80" s="1"/>
  <c r="AI63" i="80"/>
  <c r="AJ63" i="80" s="1"/>
  <c r="AM63" i="80" s="1"/>
  <c r="AI62" i="80"/>
  <c r="AJ62" i="80" s="1"/>
  <c r="AM62" i="80" s="1"/>
  <c r="AJ61" i="80"/>
  <c r="AM61" i="80" s="1"/>
  <c r="AI61" i="80"/>
  <c r="AJ60" i="80"/>
  <c r="AM60" i="80" s="1"/>
  <c r="AI60" i="80"/>
  <c r="AP59" i="80"/>
  <c r="AO59" i="80"/>
  <c r="AO61" i="80" s="1"/>
  <c r="AI59" i="80"/>
  <c r="AJ59" i="80" s="1"/>
  <c r="AM59" i="80" s="1"/>
  <c r="AI58" i="80"/>
  <c r="AJ58" i="80" s="1"/>
  <c r="AM58" i="80" s="1"/>
  <c r="AI57" i="80"/>
  <c r="AJ57" i="80" s="1"/>
  <c r="AM57" i="80" s="1"/>
  <c r="AI56" i="80"/>
  <c r="AJ56" i="80" s="1"/>
  <c r="AM56" i="80" s="1"/>
  <c r="AI55" i="80"/>
  <c r="AJ55" i="80" s="1"/>
  <c r="AM55" i="80" s="1"/>
  <c r="AI54" i="80"/>
  <c r="AJ54" i="80" s="1"/>
  <c r="AM54" i="80" s="1"/>
  <c r="AI53" i="80"/>
  <c r="AJ53" i="80" s="1"/>
  <c r="AM53" i="80" s="1"/>
  <c r="AI52" i="80"/>
  <c r="AJ52" i="80" s="1"/>
  <c r="AM52" i="80" s="1"/>
  <c r="AI51" i="80"/>
  <c r="AJ51" i="80" s="1"/>
  <c r="AN50" i="80"/>
  <c r="AI50" i="80"/>
  <c r="AH50" i="80"/>
  <c r="AG50" i="80"/>
  <c r="AF50" i="80"/>
  <c r="AE50" i="80"/>
  <c r="AD50" i="80"/>
  <c r="AC50" i="80"/>
  <c r="AB50" i="80"/>
  <c r="AA50" i="80"/>
  <c r="Z50" i="80"/>
  <c r="Y50" i="80"/>
  <c r="X50" i="80"/>
  <c r="W50" i="80"/>
  <c r="V50" i="80"/>
  <c r="U50" i="80"/>
  <c r="T50" i="80"/>
  <c r="S50" i="80"/>
  <c r="R50" i="80"/>
  <c r="Q50" i="80"/>
  <c r="P50" i="80"/>
  <c r="O50" i="80"/>
  <c r="N50" i="80"/>
  <c r="M50" i="80"/>
  <c r="L50" i="80"/>
  <c r="K50" i="80"/>
  <c r="J50" i="80"/>
  <c r="I50" i="80"/>
  <c r="H50" i="80"/>
  <c r="G50" i="80"/>
  <c r="F50" i="80"/>
  <c r="E50" i="80"/>
  <c r="D50" i="80"/>
  <c r="AJ49" i="80"/>
  <c r="AI49" i="80"/>
  <c r="AO48" i="80"/>
  <c r="AI48" i="80"/>
  <c r="AJ48" i="80" s="1"/>
  <c r="AM48" i="80" s="1"/>
  <c r="AO47" i="80"/>
  <c r="AI47" i="80"/>
  <c r="AJ47" i="80" s="1"/>
  <c r="AM47" i="80" s="1"/>
  <c r="AO46" i="80"/>
  <c r="AI46" i="80"/>
  <c r="AJ46" i="80" s="1"/>
  <c r="AM46" i="80" s="1"/>
  <c r="AO45" i="80"/>
  <c r="AJ45" i="80"/>
  <c r="AM45" i="80" s="1"/>
  <c r="AI45" i="80"/>
  <c r="AO44" i="80"/>
  <c r="AI44" i="80"/>
  <c r="AJ44" i="80" s="1"/>
  <c r="AM44" i="80" s="1"/>
  <c r="AO43" i="80"/>
  <c r="AI43" i="80"/>
  <c r="AJ43" i="80" s="1"/>
  <c r="AM43" i="80" s="1"/>
  <c r="AO42" i="80"/>
  <c r="AI42" i="80"/>
  <c r="AJ42" i="80" s="1"/>
  <c r="AM42" i="80" s="1"/>
  <c r="AO41" i="80"/>
  <c r="AJ41" i="80"/>
  <c r="AM41" i="80" s="1"/>
  <c r="AI41" i="80"/>
  <c r="AO40" i="80"/>
  <c r="AI40" i="80"/>
  <c r="AJ40" i="80" s="1"/>
  <c r="AM40" i="80" s="1"/>
  <c r="AO39" i="80"/>
  <c r="AI39" i="80"/>
  <c r="AJ39" i="80" s="1"/>
  <c r="AO38" i="80"/>
  <c r="AI38" i="80"/>
  <c r="AJ38" i="80" s="1"/>
  <c r="AO37" i="80"/>
  <c r="AI37" i="80"/>
  <c r="AJ37" i="80" s="1"/>
  <c r="AO36" i="80"/>
  <c r="AI36" i="80"/>
  <c r="AJ36" i="80" s="1"/>
  <c r="AO35" i="80"/>
  <c r="AI35" i="80"/>
  <c r="AJ35" i="80" s="1"/>
  <c r="AO34" i="80"/>
  <c r="AI34" i="80"/>
  <c r="AJ34" i="80" s="1"/>
  <c r="AO33" i="80"/>
  <c r="AI33" i="80"/>
  <c r="AJ33" i="80" s="1"/>
  <c r="AO32" i="80"/>
  <c r="AI32" i="80"/>
  <c r="AJ32" i="80" s="1"/>
  <c r="AO31" i="80"/>
  <c r="AI31" i="80"/>
  <c r="AJ31" i="80" s="1"/>
  <c r="AO30" i="80"/>
  <c r="AI30" i="80"/>
  <c r="AJ30" i="80" s="1"/>
  <c r="AO29" i="80"/>
  <c r="AI29" i="80"/>
  <c r="AJ29" i="80" s="1"/>
  <c r="AO28" i="80"/>
  <c r="AI28" i="80"/>
  <c r="AJ28" i="80" s="1"/>
  <c r="AO27" i="80"/>
  <c r="AI27" i="80"/>
  <c r="AJ27" i="80" s="1"/>
  <c r="AO26" i="80"/>
  <c r="AI26" i="80"/>
  <c r="AJ26" i="80" s="1"/>
  <c r="AO25" i="80"/>
  <c r="AI25" i="80"/>
  <c r="AJ25" i="80" s="1"/>
  <c r="AO24" i="80"/>
  <c r="AJ24" i="80"/>
  <c r="AM24" i="80" s="1"/>
  <c r="AI24" i="80"/>
  <c r="AO23" i="80"/>
  <c r="AI23" i="80"/>
  <c r="AJ23" i="80" s="1"/>
  <c r="AM23" i="80" s="1"/>
  <c r="AS22" i="80"/>
  <c r="AO22" i="80"/>
  <c r="AI22" i="80"/>
  <c r="AJ22" i="80" s="1"/>
  <c r="AM22" i="80" s="1"/>
  <c r="AO21" i="80"/>
  <c r="AJ21" i="80"/>
  <c r="P92" i="80" s="1"/>
  <c r="AI21" i="80"/>
  <c r="J92" i="80" s="1"/>
  <c r="AO20" i="80"/>
  <c r="AI20" i="80"/>
  <c r="AJ20" i="80" s="1"/>
  <c r="AM20" i="80" s="1"/>
  <c r="AO19" i="80"/>
  <c r="AJ19" i="80"/>
  <c r="AM19" i="80" s="1"/>
  <c r="AI19" i="80"/>
  <c r="AO18" i="80"/>
  <c r="AI18" i="80"/>
  <c r="AJ18" i="80" s="1"/>
  <c r="AM18" i="80" s="1"/>
  <c r="AO17" i="80"/>
  <c r="AJ17" i="80"/>
  <c r="AM17" i="80" s="1"/>
  <c r="AI17" i="80"/>
  <c r="AO16" i="80"/>
  <c r="AI16" i="80"/>
  <c r="AI12" i="80" s="1"/>
  <c r="AI87" i="80" s="1"/>
  <c r="AO15" i="80"/>
  <c r="AJ15" i="80"/>
  <c r="AM15" i="80" s="1"/>
  <c r="AI15" i="80"/>
  <c r="AO14" i="80"/>
  <c r="AI14" i="80"/>
  <c r="J91" i="80" s="1"/>
  <c r="AO13" i="80"/>
  <c r="AO50" i="80" s="1"/>
  <c r="AJ13" i="80"/>
  <c r="AI13" i="80"/>
  <c r="J90" i="80" s="1"/>
  <c r="AH12" i="80"/>
  <c r="AG12" i="80"/>
  <c r="AG87" i="80" s="1"/>
  <c r="AF12" i="80"/>
  <c r="AE12" i="80"/>
  <c r="AE87" i="80" s="1"/>
  <c r="AD12" i="80"/>
  <c r="AD87" i="80" s="1"/>
  <c r="AC12" i="80"/>
  <c r="AC87" i="80" s="1"/>
  <c r="AB12" i="80"/>
  <c r="AA12" i="80"/>
  <c r="AA87" i="80" s="1"/>
  <c r="Z12" i="80"/>
  <c r="Z87" i="80" s="1"/>
  <c r="Y12" i="80"/>
  <c r="Y87" i="80" s="1"/>
  <c r="X12" i="80"/>
  <c r="W12" i="80"/>
  <c r="W87" i="80" s="1"/>
  <c r="V12" i="80"/>
  <c r="V87" i="80" s="1"/>
  <c r="U12" i="80"/>
  <c r="U87" i="80" s="1"/>
  <c r="T12" i="80"/>
  <c r="S12" i="80"/>
  <c r="S87" i="80" s="1"/>
  <c r="R12" i="80"/>
  <c r="R87" i="80" s="1"/>
  <c r="Q12" i="80"/>
  <c r="Q87" i="80" s="1"/>
  <c r="P12" i="80"/>
  <c r="O12" i="80"/>
  <c r="O87" i="80" s="1"/>
  <c r="N12" i="80"/>
  <c r="N87" i="80" s="1"/>
  <c r="M12" i="80"/>
  <c r="M87" i="80" s="1"/>
  <c r="L12" i="80"/>
  <c r="K12" i="80"/>
  <c r="K87" i="80" s="1"/>
  <c r="J12" i="80"/>
  <c r="J87" i="80" s="1"/>
  <c r="I12" i="80"/>
  <c r="I87" i="80" s="1"/>
  <c r="H12" i="80"/>
  <c r="G12" i="80"/>
  <c r="G87" i="80" s="1"/>
  <c r="F12" i="80"/>
  <c r="F87" i="80" s="1"/>
  <c r="E12" i="80"/>
  <c r="E87" i="80" s="1"/>
  <c r="D12" i="80"/>
  <c r="H54" i="58" l="1"/>
  <c r="I54" i="58" s="1"/>
  <c r="L54" i="58" s="1"/>
  <c r="H71" i="3"/>
  <c r="F66" i="114" s="1"/>
  <c r="H57" i="58"/>
  <c r="I57" i="58" s="1"/>
  <c r="L57" i="58" s="1"/>
  <c r="H35" i="146"/>
  <c r="H34" i="146"/>
  <c r="H66" i="58"/>
  <c r="I66" i="58" s="1"/>
  <c r="L66" i="58" s="1"/>
  <c r="H67" i="58"/>
  <c r="I67" i="58" s="1"/>
  <c r="L67" i="58" s="1"/>
  <c r="H72" i="3"/>
  <c r="F67" i="114" s="1"/>
  <c r="H53" i="3"/>
  <c r="F48" i="114" s="1"/>
  <c r="J94" i="80"/>
  <c r="AN71" i="80"/>
  <c r="AP70" i="80"/>
  <c r="AJ50" i="80"/>
  <c r="AM51" i="80"/>
  <c r="AM13" i="80"/>
  <c r="AJ14" i="80"/>
  <c r="AM21" i="80"/>
  <c r="AP62" i="80"/>
  <c r="AJ71" i="80"/>
  <c r="AT72" i="80"/>
  <c r="AT76" i="80"/>
  <c r="AJ16" i="80"/>
  <c r="AM16" i="80" s="1"/>
  <c r="AJ72" i="80"/>
  <c r="AM72" i="80" s="1"/>
  <c r="H47" i="58"/>
  <c r="I47" i="58" s="1"/>
  <c r="L47" i="58" s="1"/>
  <c r="H64" i="58"/>
  <c r="I64" i="58" s="1"/>
  <c r="L64" i="58" s="1"/>
  <c r="H65" i="58"/>
  <c r="I65" i="58" s="1"/>
  <c r="L65" i="58" s="1"/>
  <c r="H55" i="58"/>
  <c r="I55" i="58" s="1"/>
  <c r="L55" i="58" s="1"/>
  <c r="H56" i="58"/>
  <c r="I56" i="58" s="1"/>
  <c r="L56" i="58" s="1"/>
  <c r="D33" i="134"/>
  <c r="H59" i="58" l="1"/>
  <c r="I59" i="58" s="1"/>
  <c r="L59" i="58" s="1"/>
  <c r="H63" i="58"/>
  <c r="I63" i="58" s="1"/>
  <c r="L63" i="58" s="1"/>
  <c r="H58" i="58"/>
  <c r="I58" i="58" s="1"/>
  <c r="L58" i="58" s="1"/>
  <c r="H50" i="58"/>
  <c r="I50" i="58" s="1"/>
  <c r="L50" i="58" s="1"/>
  <c r="H62" i="58"/>
  <c r="I62" i="58" s="1"/>
  <c r="L62" i="58" s="1"/>
  <c r="H51" i="58"/>
  <c r="I51" i="58" s="1"/>
  <c r="L51" i="58" s="1"/>
  <c r="H53" i="58"/>
  <c r="I53" i="58" s="1"/>
  <c r="L53" i="58" s="1"/>
  <c r="H52" i="58"/>
  <c r="I52" i="58" s="1"/>
  <c r="L52" i="58" s="1"/>
  <c r="H60" i="58"/>
  <c r="I60" i="58" s="1"/>
  <c r="L60" i="58" s="1"/>
  <c r="H61" i="58"/>
  <c r="I61" i="58" s="1"/>
  <c r="L61" i="58" s="1"/>
  <c r="Q53" i="3"/>
  <c r="AJ12" i="80"/>
  <c r="AM71" i="80"/>
  <c r="AJ70" i="80"/>
  <c r="P90" i="80"/>
  <c r="P91" i="80"/>
  <c r="AM14" i="80"/>
  <c r="D8" i="134"/>
  <c r="N49" i="134"/>
  <c r="H33" i="134"/>
  <c r="I37" i="134"/>
  <c r="D37" i="134"/>
  <c r="I22" i="134"/>
  <c r="H19" i="134"/>
  <c r="C19" i="134"/>
  <c r="D22" i="134"/>
  <c r="H5" i="134"/>
  <c r="I8" i="134"/>
  <c r="C5" i="134"/>
  <c r="H41" i="134"/>
  <c r="H40" i="134"/>
  <c r="H39" i="134"/>
  <c r="C40" i="134"/>
  <c r="C39" i="134"/>
  <c r="C34" i="134"/>
  <c r="C33" i="134" s="1"/>
  <c r="H26" i="134"/>
  <c r="H25" i="134"/>
  <c r="H24" i="134"/>
  <c r="C25" i="134"/>
  <c r="C26" i="134"/>
  <c r="C24" i="134"/>
  <c r="H12" i="134"/>
  <c r="H11" i="134"/>
  <c r="H10" i="134"/>
  <c r="C12" i="134"/>
  <c r="C11" i="134"/>
  <c r="C10" i="134"/>
  <c r="P94" i="80" l="1"/>
  <c r="W92" i="80" s="1"/>
  <c r="AJ87" i="80"/>
  <c r="R300" i="135"/>
  <c r="F299" i="135"/>
  <c r="F193" i="135"/>
  <c r="H193" i="135"/>
  <c r="M389" i="135"/>
  <c r="M388" i="135"/>
  <c r="K388" i="135"/>
  <c r="K387" i="135" s="1"/>
  <c r="L387" i="135"/>
  <c r="M414" i="135"/>
  <c r="M413" i="135"/>
  <c r="M412" i="135"/>
  <c r="H332" i="135"/>
  <c r="G359" i="135"/>
  <c r="G229" i="135"/>
  <c r="K229" i="135" s="1"/>
  <c r="M229" i="135" s="1"/>
  <c r="K245" i="135"/>
  <c r="M245" i="135" s="1"/>
  <c r="K244" i="135"/>
  <c r="M244" i="135" s="1"/>
  <c r="K243" i="135"/>
  <c r="M243" i="135" s="1"/>
  <c r="K242" i="135"/>
  <c r="M242" i="135" s="1"/>
  <c r="K241" i="135"/>
  <c r="M241" i="135" s="1"/>
  <c r="K240" i="135"/>
  <c r="M240" i="135" s="1"/>
  <c r="K239" i="135"/>
  <c r="M239" i="135" s="1"/>
  <c r="K238" i="135"/>
  <c r="M238" i="135" s="1"/>
  <c r="K237" i="135"/>
  <c r="M237" i="135" s="1"/>
  <c r="K236" i="135"/>
  <c r="M236" i="135" s="1"/>
  <c r="K235" i="135"/>
  <c r="M235" i="135" s="1"/>
  <c r="K234" i="135"/>
  <c r="M234" i="135" s="1"/>
  <c r="K233" i="135"/>
  <c r="M233" i="135" s="1"/>
  <c r="K232" i="135"/>
  <c r="M232" i="135" s="1"/>
  <c r="K231" i="135"/>
  <c r="M231" i="135" s="1"/>
  <c r="K230" i="135"/>
  <c r="M230" i="135" s="1"/>
  <c r="W91" i="80" l="1"/>
  <c r="W90" i="80"/>
  <c r="F133" i="135"/>
  <c r="F132" i="135"/>
  <c r="G86" i="135"/>
  <c r="H30" i="135"/>
  <c r="G13" i="152" l="1"/>
  <c r="K13" i="152" s="1"/>
  <c r="G12" i="152" l="1"/>
  <c r="I15" i="152" s="1"/>
  <c r="K12" i="152" l="1"/>
  <c r="K15" i="152" s="1"/>
  <c r="C25" i="100" l="1"/>
  <c r="D103" i="114" s="1"/>
  <c r="Y27" i="100" l="1"/>
  <c r="Q26" i="100" l="1"/>
  <c r="S26" i="100"/>
  <c r="T26" i="100"/>
  <c r="E25" i="94"/>
  <c r="F25" i="94"/>
  <c r="G25" i="94"/>
  <c r="H25" i="94"/>
  <c r="I25" i="94"/>
  <c r="J25" i="94"/>
  <c r="K25" i="94"/>
  <c r="L25" i="94"/>
  <c r="M25" i="94"/>
  <c r="N25" i="94"/>
  <c r="O25" i="94"/>
  <c r="P25" i="94"/>
  <c r="Q25" i="94"/>
  <c r="R25" i="94"/>
  <c r="S25" i="94"/>
  <c r="T25" i="94"/>
  <c r="U25" i="94"/>
  <c r="V25" i="94"/>
  <c r="W25" i="94"/>
  <c r="X25" i="94"/>
  <c r="Y25" i="94"/>
  <c r="Z25" i="94"/>
  <c r="AA25" i="94"/>
  <c r="AB25" i="94"/>
  <c r="AC25" i="94"/>
  <c r="AD25" i="94"/>
  <c r="AE25" i="94"/>
  <c r="D25" i="94"/>
  <c r="AI24" i="94"/>
  <c r="G25" i="100" s="1"/>
  <c r="M25" i="100" l="1"/>
  <c r="G22" i="59" l="1"/>
  <c r="H21" i="59"/>
  <c r="H20" i="59"/>
  <c r="D15" i="115" l="1"/>
  <c r="AG14" i="115"/>
  <c r="AE14" i="115"/>
  <c r="AD14" i="115"/>
  <c r="AC14" i="115"/>
  <c r="AB14" i="115"/>
  <c r="AA14" i="115"/>
  <c r="Z14" i="115"/>
  <c r="Y14" i="115"/>
  <c r="X14" i="115"/>
  <c r="W14" i="115"/>
  <c r="V14" i="115"/>
  <c r="U14" i="115"/>
  <c r="T14" i="115"/>
  <c r="S14" i="115"/>
  <c r="R14" i="115"/>
  <c r="Q14" i="115"/>
  <c r="P14" i="115"/>
  <c r="O14" i="115"/>
  <c r="N14" i="115"/>
  <c r="M14" i="115"/>
  <c r="L14" i="115"/>
  <c r="K14" i="115"/>
  <c r="J14" i="115"/>
  <c r="I14" i="115"/>
  <c r="H14" i="115"/>
  <c r="G14" i="115"/>
  <c r="F14" i="115"/>
  <c r="E14" i="115"/>
  <c r="D14" i="115"/>
  <c r="AH14" i="115"/>
  <c r="AF13" i="115"/>
  <c r="D11" i="115"/>
  <c r="AF14" i="115" l="1"/>
  <c r="AF21" i="115"/>
  <c r="AF19" i="115"/>
  <c r="AI19" i="115" s="1"/>
  <c r="AF17" i="115"/>
  <c r="AI17" i="115" s="1"/>
  <c r="AF15" i="115"/>
  <c r="AF22" i="115"/>
  <c r="AF20" i="115"/>
  <c r="AI20" i="115" s="1"/>
  <c r="AF18" i="115"/>
  <c r="AI18" i="115" s="1"/>
  <c r="AF16" i="115"/>
  <c r="AI16" i="115"/>
  <c r="AI15" i="115"/>
  <c r="AI22" i="115" l="1"/>
  <c r="AT22" i="115" s="1"/>
  <c r="AI21" i="115"/>
  <c r="AT16" i="115"/>
  <c r="AT17" i="115"/>
  <c r="AT19" i="115"/>
  <c r="AT18" i="115"/>
  <c r="AU22" i="115" l="1"/>
  <c r="AT21" i="115"/>
  <c r="AU21" i="115" s="1"/>
  <c r="AI23" i="115"/>
  <c r="AU19" i="115"/>
  <c r="AU18" i="115"/>
  <c r="AU17" i="115"/>
  <c r="AU16" i="115"/>
  <c r="AT20" i="115"/>
  <c r="AU20" i="115" s="1"/>
  <c r="AT15" i="115"/>
  <c r="AJ23" i="115" l="1"/>
  <c r="AU15" i="115"/>
  <c r="AU23" i="115" s="1"/>
  <c r="M411" i="135"/>
  <c r="M410" i="135"/>
  <c r="M409" i="135"/>
  <c r="M408" i="135"/>
  <c r="M407" i="135"/>
  <c r="M406" i="135"/>
  <c r="M405" i="135"/>
  <c r="M404" i="135"/>
  <c r="M403" i="135"/>
  <c r="M402" i="135"/>
  <c r="M401" i="135"/>
  <c r="M400" i="135"/>
  <c r="M399" i="135"/>
  <c r="M398" i="135"/>
  <c r="M397" i="135"/>
  <c r="M396" i="135"/>
  <c r="AN23" i="115" l="1"/>
  <c r="AQ23" i="115"/>
  <c r="AS23" i="115"/>
  <c r="AM23" i="115"/>
  <c r="AP23" i="115"/>
  <c r="AO23" i="115"/>
  <c r="AR23" i="115"/>
  <c r="AL23" i="115"/>
  <c r="AK23" i="115"/>
  <c r="H213" i="135"/>
  <c r="H29" i="135"/>
  <c r="AT23" i="115" l="1"/>
  <c r="O19" i="151"/>
  <c r="N19" i="151"/>
  <c r="M19" i="151"/>
  <c r="K19" i="151"/>
  <c r="J19" i="151"/>
  <c r="L14" i="151"/>
  <c r="P14" i="151" s="1"/>
  <c r="L13" i="151"/>
  <c r="P13" i="151" s="1"/>
  <c r="L12" i="151"/>
  <c r="P12" i="151" s="1"/>
  <c r="L11" i="151"/>
  <c r="AI17" i="150"/>
  <c r="AS17" i="150" s="1"/>
  <c r="AG14" i="150"/>
  <c r="AE14" i="150"/>
  <c r="AD14" i="150"/>
  <c r="AC14" i="150"/>
  <c r="AB14" i="150"/>
  <c r="AA14" i="150"/>
  <c r="Z14" i="150"/>
  <c r="Y14" i="150"/>
  <c r="X14" i="150"/>
  <c r="W14" i="150"/>
  <c r="V14" i="150"/>
  <c r="U14" i="150"/>
  <c r="T14" i="150"/>
  <c r="S14" i="150"/>
  <c r="R14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AF13" i="150"/>
  <c r="AF14" i="150" s="1"/>
  <c r="D11" i="150"/>
  <c r="X22" i="100"/>
  <c r="L19" i="151" l="1"/>
  <c r="AT17" i="150"/>
  <c r="P11" i="151"/>
  <c r="P19" i="151" s="1"/>
  <c r="AI15" i="150"/>
  <c r="AI18" i="150"/>
  <c r="AS18" i="150" s="1"/>
  <c r="AI16" i="150"/>
  <c r="AS16" i="150" s="1"/>
  <c r="AI22" i="150" l="1"/>
  <c r="AS15" i="150"/>
  <c r="AS22" i="150" s="1"/>
  <c r="F13" i="151"/>
  <c r="I13" i="151" s="1"/>
  <c r="AT18" i="150"/>
  <c r="AT16" i="150"/>
  <c r="AT15" i="150" l="1"/>
  <c r="AT22" i="150" s="1"/>
  <c r="F12" i="151"/>
  <c r="I12" i="151" s="1"/>
  <c r="F14" i="151"/>
  <c r="I14" i="151" s="1"/>
  <c r="F11" i="151"/>
  <c r="F19" i="151" s="1"/>
  <c r="I11" i="151" l="1"/>
  <c r="X19" i="100"/>
  <c r="K26" i="100"/>
  <c r="L26" i="100"/>
  <c r="N26" i="100"/>
  <c r="O26" i="100"/>
  <c r="C15" i="100"/>
  <c r="C16" i="100"/>
  <c r="D94" i="114" s="1"/>
  <c r="C17" i="100"/>
  <c r="D95" i="114" s="1"/>
  <c r="C18" i="100"/>
  <c r="D96" i="114" s="1"/>
  <c r="C19" i="100"/>
  <c r="D97" i="114" s="1"/>
  <c r="C20" i="100"/>
  <c r="D98" i="114" s="1"/>
  <c r="C21" i="100"/>
  <c r="D99" i="114" s="1"/>
  <c r="C22" i="100"/>
  <c r="D100" i="114" s="1"/>
  <c r="C23" i="100"/>
  <c r="D101" i="114" s="1"/>
  <c r="C24" i="100"/>
  <c r="D102" i="114" s="1"/>
  <c r="AI15" i="94"/>
  <c r="G16" i="100" s="1"/>
  <c r="H16" i="100" s="1"/>
  <c r="AI16" i="94"/>
  <c r="G17" i="100" s="1"/>
  <c r="H17" i="100" s="1"/>
  <c r="AI17" i="94"/>
  <c r="G18" i="100" s="1"/>
  <c r="H18" i="100" s="1"/>
  <c r="AI18" i="94"/>
  <c r="G19" i="100" s="1"/>
  <c r="H19" i="100" s="1"/>
  <c r="AI19" i="94"/>
  <c r="G20" i="100" s="1"/>
  <c r="H20" i="100" s="1"/>
  <c r="AI20" i="94"/>
  <c r="G21" i="100" s="1"/>
  <c r="H21" i="100" s="1"/>
  <c r="AI21" i="94"/>
  <c r="G22" i="100" s="1"/>
  <c r="H22" i="100" s="1"/>
  <c r="AI22" i="94"/>
  <c r="G23" i="100" s="1"/>
  <c r="H23" i="100" s="1"/>
  <c r="AI23" i="94"/>
  <c r="G24" i="100" s="1"/>
  <c r="H24" i="100" s="1"/>
  <c r="Y10" i="108"/>
  <c r="I19" i="151" l="1"/>
  <c r="G16" i="142" s="1"/>
  <c r="M20" i="100"/>
  <c r="P20" i="100" s="1"/>
  <c r="U20" i="100" s="1"/>
  <c r="K98" i="114" s="1"/>
  <c r="M21" i="100"/>
  <c r="M17" i="100"/>
  <c r="M23" i="100"/>
  <c r="M19" i="100"/>
  <c r="P19" i="100" s="1"/>
  <c r="U19" i="100" s="1"/>
  <c r="K97" i="114" s="1"/>
  <c r="M24" i="100"/>
  <c r="M16" i="100"/>
  <c r="M22" i="100"/>
  <c r="M18" i="100"/>
  <c r="P18" i="100" s="1"/>
  <c r="U18" i="100" s="1"/>
  <c r="K96" i="114" s="1"/>
  <c r="Q76" i="3"/>
  <c r="T16" i="3"/>
  <c r="T55" i="3"/>
  <c r="T76" i="3"/>
  <c r="M26" i="100" l="1"/>
  <c r="R20" i="100"/>
  <c r="R19" i="100"/>
  <c r="P21" i="100"/>
  <c r="P23" i="100"/>
  <c r="U23" i="100" s="1"/>
  <c r="K101" i="114" s="1"/>
  <c r="R18" i="100"/>
  <c r="P22" i="100"/>
  <c r="P24" i="100"/>
  <c r="P16" i="100"/>
  <c r="P17" i="100"/>
  <c r="T94" i="3"/>
  <c r="R23" i="100" l="1"/>
  <c r="U21" i="100"/>
  <c r="K99" i="114" s="1"/>
  <c r="R21" i="100"/>
  <c r="U17" i="100"/>
  <c r="K95" i="114" s="1"/>
  <c r="R17" i="100"/>
  <c r="U24" i="100"/>
  <c r="K102" i="114" s="1"/>
  <c r="R24" i="100"/>
  <c r="U16" i="100"/>
  <c r="K94" i="114" s="1"/>
  <c r="R16" i="100"/>
  <c r="U22" i="100"/>
  <c r="K100" i="114" s="1"/>
  <c r="R22" i="100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49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11" i="58"/>
  <c r="E87" i="58" l="1"/>
  <c r="I298" i="135" l="1"/>
  <c r="J298" i="135"/>
  <c r="L298" i="135"/>
  <c r="H298" i="135"/>
  <c r="F298" i="135" l="1"/>
  <c r="G298" i="135"/>
  <c r="K300" i="135" l="1"/>
  <c r="M300" i="135" s="1"/>
  <c r="K301" i="135"/>
  <c r="M301" i="135" s="1"/>
  <c r="K302" i="135"/>
  <c r="M302" i="135" s="1"/>
  <c r="K303" i="135"/>
  <c r="M303" i="135" s="1"/>
  <c r="K304" i="135"/>
  <c r="M304" i="135" s="1"/>
  <c r="K305" i="135"/>
  <c r="M305" i="135" s="1"/>
  <c r="K306" i="135"/>
  <c r="M306" i="135" s="1"/>
  <c r="K307" i="135"/>
  <c r="M307" i="135" s="1"/>
  <c r="K308" i="135"/>
  <c r="M308" i="135" s="1"/>
  <c r="K309" i="135"/>
  <c r="M309" i="135" s="1"/>
  <c r="K310" i="135"/>
  <c r="M310" i="135" s="1"/>
  <c r="K311" i="135"/>
  <c r="M311" i="135" s="1"/>
  <c r="K312" i="135"/>
  <c r="M312" i="135" s="1"/>
  <c r="K313" i="135"/>
  <c r="M313" i="135" s="1"/>
  <c r="K314" i="135"/>
  <c r="M314" i="135" s="1"/>
  <c r="K315" i="135"/>
  <c r="M315" i="135" s="1"/>
  <c r="K316" i="135"/>
  <c r="M316" i="135" s="1"/>
  <c r="K317" i="135"/>
  <c r="M317" i="135" s="1"/>
  <c r="K318" i="135"/>
  <c r="M318" i="135" s="1"/>
  <c r="K319" i="135"/>
  <c r="M319" i="135" s="1"/>
  <c r="K320" i="135"/>
  <c r="M320" i="135" s="1"/>
  <c r="K321" i="135"/>
  <c r="M321" i="135" s="1"/>
  <c r="K322" i="135"/>
  <c r="M322" i="135" s="1"/>
  <c r="K323" i="135"/>
  <c r="M323" i="135" s="1"/>
  <c r="K324" i="135"/>
  <c r="M324" i="135" s="1"/>
  <c r="K325" i="135"/>
  <c r="M325" i="135" s="1"/>
  <c r="K326" i="135"/>
  <c r="M326" i="135" s="1"/>
  <c r="K327" i="135"/>
  <c r="M327" i="135" s="1"/>
  <c r="K328" i="135"/>
  <c r="M328" i="135" s="1"/>
  <c r="K329" i="135"/>
  <c r="M329" i="135" s="1"/>
  <c r="K330" i="135"/>
  <c r="M330" i="135" s="1"/>
  <c r="K331" i="135"/>
  <c r="M331" i="135" s="1"/>
  <c r="K332" i="135"/>
  <c r="M332" i="135" s="1"/>
  <c r="K333" i="135"/>
  <c r="M333" i="135" s="1"/>
  <c r="K334" i="135"/>
  <c r="M334" i="135" s="1"/>
  <c r="K335" i="135"/>
  <c r="M335" i="135" s="1"/>
  <c r="K336" i="135"/>
  <c r="M336" i="135" s="1"/>
  <c r="K337" i="135"/>
  <c r="M337" i="135" s="1"/>
  <c r="K338" i="135"/>
  <c r="M338" i="135" s="1"/>
  <c r="K339" i="135"/>
  <c r="M339" i="135" s="1"/>
  <c r="K340" i="135"/>
  <c r="M340" i="135" s="1"/>
  <c r="K341" i="135"/>
  <c r="M341" i="135" s="1"/>
  <c r="K342" i="135"/>
  <c r="M342" i="135" s="1"/>
  <c r="K343" i="135"/>
  <c r="M343" i="135" s="1"/>
  <c r="K344" i="135"/>
  <c r="M344" i="135" s="1"/>
  <c r="K345" i="135"/>
  <c r="M345" i="135" s="1"/>
  <c r="K346" i="135"/>
  <c r="M346" i="135" s="1"/>
  <c r="K347" i="135"/>
  <c r="M347" i="135" s="1"/>
  <c r="K348" i="135"/>
  <c r="M348" i="135" s="1"/>
  <c r="K349" i="135"/>
  <c r="M349" i="135" s="1"/>
  <c r="K350" i="135"/>
  <c r="M350" i="135" s="1"/>
  <c r="K351" i="135"/>
  <c r="M351" i="135" s="1"/>
  <c r="K352" i="135"/>
  <c r="M352" i="135" s="1"/>
  <c r="K353" i="135"/>
  <c r="M353" i="135" s="1"/>
  <c r="K354" i="135"/>
  <c r="M354" i="135" s="1"/>
  <c r="K355" i="135"/>
  <c r="M355" i="135" s="1"/>
  <c r="K356" i="135"/>
  <c r="M356" i="135" s="1"/>
  <c r="K357" i="135"/>
  <c r="M357" i="135" s="1"/>
  <c r="K358" i="135"/>
  <c r="M358" i="135" s="1"/>
  <c r="K359" i="135"/>
  <c r="M359" i="135" s="1"/>
  <c r="K360" i="135"/>
  <c r="M360" i="135" s="1"/>
  <c r="K361" i="135"/>
  <c r="M361" i="135" s="1"/>
  <c r="K362" i="135"/>
  <c r="M362" i="135" s="1"/>
  <c r="K363" i="135"/>
  <c r="M363" i="135" s="1"/>
  <c r="K364" i="135"/>
  <c r="M364" i="135" s="1"/>
  <c r="K365" i="135"/>
  <c r="M365" i="135" s="1"/>
  <c r="K366" i="135"/>
  <c r="M366" i="135" s="1"/>
  <c r="K367" i="135"/>
  <c r="M367" i="135" s="1"/>
  <c r="K368" i="135"/>
  <c r="M368" i="135" s="1"/>
  <c r="K369" i="135"/>
  <c r="M369" i="135" s="1"/>
  <c r="K370" i="135"/>
  <c r="M370" i="135" s="1"/>
  <c r="K371" i="135"/>
  <c r="M371" i="135" s="1"/>
  <c r="K372" i="135"/>
  <c r="M372" i="135" s="1"/>
  <c r="K373" i="135"/>
  <c r="M373" i="135" s="1"/>
  <c r="K374" i="135"/>
  <c r="M374" i="135" s="1"/>
  <c r="K375" i="135"/>
  <c r="M375" i="135" s="1"/>
  <c r="K376" i="135"/>
  <c r="M376" i="135" s="1"/>
  <c r="K377" i="135"/>
  <c r="M377" i="135" s="1"/>
  <c r="K378" i="135"/>
  <c r="M378" i="135" s="1"/>
  <c r="K379" i="135"/>
  <c r="M379" i="135" s="1"/>
  <c r="K380" i="135"/>
  <c r="M380" i="135" s="1"/>
  <c r="K381" i="135"/>
  <c r="M381" i="135" s="1"/>
  <c r="K382" i="135"/>
  <c r="M382" i="135" s="1"/>
  <c r="K383" i="135"/>
  <c r="M383" i="135" s="1"/>
  <c r="K384" i="135"/>
  <c r="M384" i="135" s="1"/>
  <c r="K385" i="135"/>
  <c r="M385" i="135" s="1"/>
  <c r="K386" i="135"/>
  <c r="M386" i="135" s="1"/>
  <c r="K299" i="135"/>
  <c r="K194" i="135"/>
  <c r="M194" i="135" s="1"/>
  <c r="K195" i="135"/>
  <c r="M195" i="135" s="1"/>
  <c r="K196" i="135"/>
  <c r="M196" i="135" s="1"/>
  <c r="K197" i="135"/>
  <c r="M197" i="135" s="1"/>
  <c r="K198" i="135"/>
  <c r="M198" i="135" s="1"/>
  <c r="K199" i="135"/>
  <c r="M199" i="135" s="1"/>
  <c r="K200" i="135"/>
  <c r="M200" i="135" s="1"/>
  <c r="K201" i="135"/>
  <c r="M201" i="135" s="1"/>
  <c r="K202" i="135"/>
  <c r="M202" i="135" s="1"/>
  <c r="K203" i="135"/>
  <c r="M203" i="135" s="1"/>
  <c r="K204" i="135"/>
  <c r="M204" i="135" s="1"/>
  <c r="K205" i="135"/>
  <c r="M205" i="135" s="1"/>
  <c r="K206" i="135"/>
  <c r="M206" i="135" s="1"/>
  <c r="K207" i="135"/>
  <c r="M207" i="135" s="1"/>
  <c r="K208" i="135"/>
  <c r="M208" i="135" s="1"/>
  <c r="K209" i="135"/>
  <c r="M209" i="135" s="1"/>
  <c r="K210" i="135"/>
  <c r="M210" i="135" s="1"/>
  <c r="K211" i="135"/>
  <c r="M211" i="135" s="1"/>
  <c r="K212" i="135"/>
  <c r="M212" i="135" s="1"/>
  <c r="K213" i="135"/>
  <c r="M213" i="135" s="1"/>
  <c r="K214" i="135"/>
  <c r="M214" i="135" s="1"/>
  <c r="K215" i="135"/>
  <c r="M215" i="135" s="1"/>
  <c r="K216" i="135"/>
  <c r="M216" i="135" s="1"/>
  <c r="K217" i="135"/>
  <c r="M217" i="135" s="1"/>
  <c r="K218" i="135"/>
  <c r="M218" i="135" s="1"/>
  <c r="K219" i="135"/>
  <c r="M219" i="135" s="1"/>
  <c r="K220" i="135"/>
  <c r="M220" i="135" s="1"/>
  <c r="K221" i="135"/>
  <c r="M221" i="135" s="1"/>
  <c r="K222" i="135"/>
  <c r="M222" i="135" s="1"/>
  <c r="K223" i="135"/>
  <c r="M223" i="135" s="1"/>
  <c r="K224" i="135"/>
  <c r="M224" i="135" s="1"/>
  <c r="K225" i="135"/>
  <c r="M225" i="135" s="1"/>
  <c r="K226" i="135"/>
  <c r="M226" i="135" s="1"/>
  <c r="K227" i="135"/>
  <c r="M227" i="135" s="1"/>
  <c r="K228" i="135"/>
  <c r="M228" i="135" s="1"/>
  <c r="K246" i="135"/>
  <c r="M246" i="135" s="1"/>
  <c r="K247" i="135"/>
  <c r="M247" i="135" s="1"/>
  <c r="K248" i="135"/>
  <c r="M248" i="135" s="1"/>
  <c r="K249" i="135"/>
  <c r="M249" i="135" s="1"/>
  <c r="K250" i="135"/>
  <c r="M250" i="135" s="1"/>
  <c r="K251" i="135"/>
  <c r="M251" i="135" s="1"/>
  <c r="K252" i="135"/>
  <c r="M252" i="135" s="1"/>
  <c r="K253" i="135"/>
  <c r="M253" i="135" s="1"/>
  <c r="K254" i="135"/>
  <c r="M254" i="135" s="1"/>
  <c r="K255" i="135"/>
  <c r="M255" i="135" s="1"/>
  <c r="K256" i="135"/>
  <c r="M256" i="135" s="1"/>
  <c r="K257" i="135"/>
  <c r="M257" i="135" s="1"/>
  <c r="K258" i="135"/>
  <c r="M258" i="135" s="1"/>
  <c r="K259" i="135"/>
  <c r="M259" i="135" s="1"/>
  <c r="K260" i="135"/>
  <c r="M260" i="135" s="1"/>
  <c r="K261" i="135"/>
  <c r="M261" i="135" s="1"/>
  <c r="K262" i="135"/>
  <c r="M262" i="135" s="1"/>
  <c r="K263" i="135"/>
  <c r="M263" i="135" s="1"/>
  <c r="K264" i="135"/>
  <c r="M264" i="135" s="1"/>
  <c r="K265" i="135"/>
  <c r="M265" i="135" s="1"/>
  <c r="K266" i="135"/>
  <c r="M266" i="135" s="1"/>
  <c r="K267" i="135"/>
  <c r="M267" i="135" s="1"/>
  <c r="K268" i="135"/>
  <c r="M268" i="135" s="1"/>
  <c r="K269" i="135"/>
  <c r="M269" i="135" s="1"/>
  <c r="K270" i="135"/>
  <c r="M270" i="135" s="1"/>
  <c r="K271" i="135"/>
  <c r="M271" i="135" s="1"/>
  <c r="K272" i="135"/>
  <c r="M272" i="135" s="1"/>
  <c r="K273" i="135"/>
  <c r="M273" i="135" s="1"/>
  <c r="K274" i="135"/>
  <c r="M274" i="135" s="1"/>
  <c r="K275" i="135"/>
  <c r="M275" i="135" s="1"/>
  <c r="K276" i="135"/>
  <c r="M276" i="135" s="1"/>
  <c r="K277" i="135"/>
  <c r="M277" i="135" s="1"/>
  <c r="K278" i="135"/>
  <c r="M278" i="135" s="1"/>
  <c r="K279" i="135"/>
  <c r="M279" i="135" s="1"/>
  <c r="K280" i="135"/>
  <c r="M280" i="135" s="1"/>
  <c r="K281" i="135"/>
  <c r="M281" i="135" s="1"/>
  <c r="K282" i="135"/>
  <c r="M282" i="135" s="1"/>
  <c r="K283" i="135"/>
  <c r="M283" i="135" s="1"/>
  <c r="K284" i="135"/>
  <c r="M284" i="135" s="1"/>
  <c r="K285" i="135"/>
  <c r="M285" i="135" s="1"/>
  <c r="K286" i="135"/>
  <c r="M286" i="135" s="1"/>
  <c r="K287" i="135"/>
  <c r="M287" i="135" s="1"/>
  <c r="K288" i="135"/>
  <c r="M288" i="135" s="1"/>
  <c r="K289" i="135"/>
  <c r="M289" i="135" s="1"/>
  <c r="K290" i="135"/>
  <c r="M290" i="135" s="1"/>
  <c r="K291" i="135"/>
  <c r="M291" i="135" s="1"/>
  <c r="K292" i="135"/>
  <c r="M292" i="135" s="1"/>
  <c r="K293" i="135"/>
  <c r="M293" i="135" s="1"/>
  <c r="K294" i="135"/>
  <c r="M294" i="135" s="1"/>
  <c r="K295" i="135"/>
  <c r="M295" i="135" s="1"/>
  <c r="K296" i="135"/>
  <c r="M296" i="135" s="1"/>
  <c r="K297" i="135"/>
  <c r="M297" i="135" s="1"/>
  <c r="K193" i="135"/>
  <c r="K192" i="135" l="1"/>
  <c r="M193" i="135"/>
  <c r="M192" i="135" s="1"/>
  <c r="M299" i="135"/>
  <c r="M298" i="135" s="1"/>
  <c r="K298" i="135"/>
  <c r="K14" i="135"/>
  <c r="M14" i="135" s="1"/>
  <c r="K15" i="135"/>
  <c r="M15" i="135" s="1"/>
  <c r="K16" i="135"/>
  <c r="M16" i="135" s="1"/>
  <c r="K17" i="135"/>
  <c r="M17" i="135" s="1"/>
  <c r="K18" i="135"/>
  <c r="M18" i="135" s="1"/>
  <c r="K19" i="135"/>
  <c r="M19" i="135" s="1"/>
  <c r="K20" i="135"/>
  <c r="M20" i="135" s="1"/>
  <c r="K21" i="135"/>
  <c r="M21" i="135" s="1"/>
  <c r="K22" i="135"/>
  <c r="M22" i="135" s="1"/>
  <c r="K23" i="135"/>
  <c r="M23" i="135" s="1"/>
  <c r="K24" i="135"/>
  <c r="M24" i="135" s="1"/>
  <c r="K25" i="135"/>
  <c r="M25" i="135" s="1"/>
  <c r="K26" i="135"/>
  <c r="M26" i="135" s="1"/>
  <c r="K27" i="135"/>
  <c r="M27" i="135" s="1"/>
  <c r="K28" i="135"/>
  <c r="M28" i="135" s="1"/>
  <c r="K29" i="135"/>
  <c r="M29" i="135" s="1"/>
  <c r="K30" i="135"/>
  <c r="M30" i="135" s="1"/>
  <c r="K31" i="135"/>
  <c r="M31" i="135" s="1"/>
  <c r="K32" i="135"/>
  <c r="M32" i="135" s="1"/>
  <c r="K33" i="135"/>
  <c r="M33" i="135" s="1"/>
  <c r="K34" i="135"/>
  <c r="M34" i="135" s="1"/>
  <c r="K35" i="135"/>
  <c r="M35" i="135" s="1"/>
  <c r="K36" i="135"/>
  <c r="M36" i="135" s="1"/>
  <c r="K37" i="135"/>
  <c r="M37" i="135" s="1"/>
  <c r="K38" i="135"/>
  <c r="M38" i="135" s="1"/>
  <c r="K39" i="135"/>
  <c r="M39" i="135" s="1"/>
  <c r="K40" i="135"/>
  <c r="M40" i="135" s="1"/>
  <c r="K41" i="135"/>
  <c r="M41" i="135" s="1"/>
  <c r="K42" i="135"/>
  <c r="M42" i="135" s="1"/>
  <c r="K43" i="135"/>
  <c r="M43" i="135" s="1"/>
  <c r="K44" i="135"/>
  <c r="M44" i="135" s="1"/>
  <c r="K45" i="135"/>
  <c r="M45" i="135" s="1"/>
  <c r="K46" i="135"/>
  <c r="M46" i="135" s="1"/>
  <c r="K47" i="135"/>
  <c r="M47" i="135" s="1"/>
  <c r="K48" i="135"/>
  <c r="M48" i="135" s="1"/>
  <c r="K49" i="135"/>
  <c r="M49" i="135" s="1"/>
  <c r="K50" i="135"/>
  <c r="M50" i="135" s="1"/>
  <c r="K51" i="135"/>
  <c r="M51" i="135" s="1"/>
  <c r="K52" i="135"/>
  <c r="M52" i="135" s="1"/>
  <c r="K53" i="135"/>
  <c r="M53" i="135" s="1"/>
  <c r="K54" i="135"/>
  <c r="M54" i="135" s="1"/>
  <c r="K55" i="135"/>
  <c r="M55" i="135" s="1"/>
  <c r="K56" i="135"/>
  <c r="M56" i="135" s="1"/>
  <c r="K57" i="135"/>
  <c r="M57" i="135" s="1"/>
  <c r="K58" i="135"/>
  <c r="M58" i="135" s="1"/>
  <c r="K59" i="135"/>
  <c r="M59" i="135" s="1"/>
  <c r="K60" i="135"/>
  <c r="M60" i="135" s="1"/>
  <c r="K61" i="135"/>
  <c r="M61" i="135" s="1"/>
  <c r="K62" i="135"/>
  <c r="M62" i="135" s="1"/>
  <c r="K63" i="135"/>
  <c r="M63" i="135" s="1"/>
  <c r="K64" i="135"/>
  <c r="M64" i="135" s="1"/>
  <c r="K65" i="135"/>
  <c r="M65" i="135" s="1"/>
  <c r="K66" i="135"/>
  <c r="M66" i="135" s="1"/>
  <c r="K67" i="135"/>
  <c r="M67" i="135" s="1"/>
  <c r="K68" i="135"/>
  <c r="M68" i="135" s="1"/>
  <c r="K69" i="135"/>
  <c r="M69" i="135" s="1"/>
  <c r="K70" i="135"/>
  <c r="M70" i="135" s="1"/>
  <c r="K71" i="135"/>
  <c r="M71" i="135" s="1"/>
  <c r="K72" i="135"/>
  <c r="M72" i="135" s="1"/>
  <c r="K73" i="135"/>
  <c r="M73" i="135" s="1"/>
  <c r="K74" i="135"/>
  <c r="M74" i="135" s="1"/>
  <c r="K75" i="135"/>
  <c r="M75" i="135" s="1"/>
  <c r="K76" i="135"/>
  <c r="M76" i="135" s="1"/>
  <c r="K77" i="135"/>
  <c r="M77" i="135" s="1"/>
  <c r="K78" i="135"/>
  <c r="M78" i="135" s="1"/>
  <c r="K79" i="135"/>
  <c r="M79" i="135" s="1"/>
  <c r="K80" i="135"/>
  <c r="M80" i="135" s="1"/>
  <c r="K81" i="135"/>
  <c r="M81" i="135" s="1"/>
  <c r="K82" i="135"/>
  <c r="M82" i="135" s="1"/>
  <c r="K83" i="135"/>
  <c r="M83" i="135" s="1"/>
  <c r="K84" i="135"/>
  <c r="M84" i="135" s="1"/>
  <c r="K85" i="135"/>
  <c r="M85" i="135" s="1"/>
  <c r="K86" i="135"/>
  <c r="M86" i="135" s="1"/>
  <c r="K87" i="135"/>
  <c r="M87" i="135" s="1"/>
  <c r="K88" i="135"/>
  <c r="M88" i="135" s="1"/>
  <c r="K89" i="135"/>
  <c r="M89" i="135" s="1"/>
  <c r="K90" i="135"/>
  <c r="M90" i="135" s="1"/>
  <c r="K91" i="135"/>
  <c r="M91" i="135" s="1"/>
  <c r="K92" i="135"/>
  <c r="M92" i="135" s="1"/>
  <c r="K93" i="135"/>
  <c r="M93" i="135" s="1"/>
  <c r="K94" i="135"/>
  <c r="M94" i="135" s="1"/>
  <c r="K95" i="135"/>
  <c r="M95" i="135" s="1"/>
  <c r="K96" i="135"/>
  <c r="M96" i="135" s="1"/>
  <c r="K97" i="135"/>
  <c r="M97" i="135" s="1"/>
  <c r="K98" i="135"/>
  <c r="M98" i="135" s="1"/>
  <c r="K99" i="135"/>
  <c r="M99" i="135" s="1"/>
  <c r="K100" i="135"/>
  <c r="M100" i="135" s="1"/>
  <c r="K101" i="135"/>
  <c r="M101" i="135" s="1"/>
  <c r="K102" i="135"/>
  <c r="M102" i="135" s="1"/>
  <c r="K103" i="135"/>
  <c r="M103" i="135" s="1"/>
  <c r="K104" i="135"/>
  <c r="M104" i="135" s="1"/>
  <c r="K105" i="135"/>
  <c r="M105" i="135" s="1"/>
  <c r="K106" i="135"/>
  <c r="M106" i="135" s="1"/>
  <c r="K107" i="135"/>
  <c r="M107" i="135" s="1"/>
  <c r="K108" i="135"/>
  <c r="M108" i="135" s="1"/>
  <c r="K109" i="135"/>
  <c r="M109" i="135" s="1"/>
  <c r="K110" i="135"/>
  <c r="M110" i="135" s="1"/>
  <c r="K111" i="135"/>
  <c r="M111" i="135" s="1"/>
  <c r="K112" i="135"/>
  <c r="M112" i="135" s="1"/>
  <c r="K113" i="135"/>
  <c r="M113" i="135" s="1"/>
  <c r="K114" i="135"/>
  <c r="M114" i="135" s="1"/>
  <c r="K115" i="135"/>
  <c r="M115" i="135" s="1"/>
  <c r="K116" i="135"/>
  <c r="M116" i="135" s="1"/>
  <c r="K117" i="135"/>
  <c r="M117" i="135" s="1"/>
  <c r="K118" i="135"/>
  <c r="M118" i="135" s="1"/>
  <c r="K119" i="135"/>
  <c r="M119" i="135" s="1"/>
  <c r="K120" i="135"/>
  <c r="M120" i="135" s="1"/>
  <c r="K121" i="135"/>
  <c r="M121" i="135" s="1"/>
  <c r="K122" i="135"/>
  <c r="M122" i="135" s="1"/>
  <c r="K123" i="135"/>
  <c r="M123" i="135" s="1"/>
  <c r="K124" i="135"/>
  <c r="M124" i="135" s="1"/>
  <c r="K125" i="135"/>
  <c r="M125" i="135" s="1"/>
  <c r="K126" i="135"/>
  <c r="M126" i="135" s="1"/>
  <c r="K127" i="135"/>
  <c r="M127" i="135" s="1"/>
  <c r="K128" i="135"/>
  <c r="M128" i="135" s="1"/>
  <c r="K129" i="135"/>
  <c r="M129" i="135" s="1"/>
  <c r="K130" i="135"/>
  <c r="M130" i="135" s="1"/>
  <c r="K131" i="135"/>
  <c r="M131" i="135" s="1"/>
  <c r="K132" i="135"/>
  <c r="M132" i="135" s="1"/>
  <c r="K133" i="135"/>
  <c r="M133" i="135" s="1"/>
  <c r="K134" i="135"/>
  <c r="M134" i="135" s="1"/>
  <c r="K135" i="135"/>
  <c r="M135" i="135" s="1"/>
  <c r="K136" i="135"/>
  <c r="M136" i="135" s="1"/>
  <c r="K137" i="135"/>
  <c r="M137" i="135" s="1"/>
  <c r="K138" i="135"/>
  <c r="M138" i="135" s="1"/>
  <c r="K139" i="135"/>
  <c r="M139" i="135" s="1"/>
  <c r="K140" i="135"/>
  <c r="M140" i="135" s="1"/>
  <c r="K141" i="135"/>
  <c r="M141" i="135" s="1"/>
  <c r="K142" i="135"/>
  <c r="M142" i="135" s="1"/>
  <c r="K143" i="135"/>
  <c r="M143" i="135" s="1"/>
  <c r="K144" i="135"/>
  <c r="M144" i="135" s="1"/>
  <c r="K145" i="135"/>
  <c r="M145" i="135" s="1"/>
  <c r="K146" i="135"/>
  <c r="M146" i="135" s="1"/>
  <c r="K147" i="135"/>
  <c r="M147" i="135" s="1"/>
  <c r="K148" i="135"/>
  <c r="M148" i="135" s="1"/>
  <c r="K149" i="135"/>
  <c r="M149" i="135" s="1"/>
  <c r="K150" i="135"/>
  <c r="M150" i="135" s="1"/>
  <c r="K151" i="135"/>
  <c r="M151" i="135" s="1"/>
  <c r="K152" i="135"/>
  <c r="M152" i="135" s="1"/>
  <c r="K153" i="135"/>
  <c r="M153" i="135" s="1"/>
  <c r="K154" i="135"/>
  <c r="M154" i="135" s="1"/>
  <c r="K155" i="135"/>
  <c r="M155" i="135" s="1"/>
  <c r="K156" i="135"/>
  <c r="M156" i="135" s="1"/>
  <c r="K157" i="135"/>
  <c r="M157" i="135" s="1"/>
  <c r="K158" i="135"/>
  <c r="M158" i="135" s="1"/>
  <c r="K159" i="135"/>
  <c r="M159" i="135" s="1"/>
  <c r="K160" i="135"/>
  <c r="M160" i="135" s="1"/>
  <c r="K161" i="135"/>
  <c r="M161" i="135" s="1"/>
  <c r="K162" i="135"/>
  <c r="M162" i="135" s="1"/>
  <c r="K163" i="135"/>
  <c r="M163" i="135" s="1"/>
  <c r="K164" i="135"/>
  <c r="M164" i="135" s="1"/>
  <c r="K165" i="135"/>
  <c r="M165" i="135" s="1"/>
  <c r="K166" i="135"/>
  <c r="M166" i="135" s="1"/>
  <c r="K167" i="135"/>
  <c r="M167" i="135" s="1"/>
  <c r="K168" i="135"/>
  <c r="M168" i="135" s="1"/>
  <c r="K169" i="135"/>
  <c r="M169" i="135" s="1"/>
  <c r="K170" i="135"/>
  <c r="M170" i="135" s="1"/>
  <c r="K171" i="135"/>
  <c r="M171" i="135" s="1"/>
  <c r="K172" i="135"/>
  <c r="M172" i="135" s="1"/>
  <c r="K173" i="135"/>
  <c r="M173" i="135" s="1"/>
  <c r="K174" i="135"/>
  <c r="M174" i="135" s="1"/>
  <c r="K175" i="135"/>
  <c r="M175" i="135" s="1"/>
  <c r="K176" i="135"/>
  <c r="M176" i="135" s="1"/>
  <c r="K177" i="135"/>
  <c r="M177" i="135" s="1"/>
  <c r="K178" i="135"/>
  <c r="M178" i="135" s="1"/>
  <c r="K179" i="135"/>
  <c r="M179" i="135" s="1"/>
  <c r="K180" i="135"/>
  <c r="M180" i="135" s="1"/>
  <c r="K181" i="135"/>
  <c r="M181" i="135" s="1"/>
  <c r="K182" i="135"/>
  <c r="M182" i="135" s="1"/>
  <c r="K183" i="135"/>
  <c r="M183" i="135" s="1"/>
  <c r="K184" i="135"/>
  <c r="M184" i="135" s="1"/>
  <c r="K185" i="135"/>
  <c r="M185" i="135" s="1"/>
  <c r="K186" i="135"/>
  <c r="M186" i="135" s="1"/>
  <c r="K187" i="135"/>
  <c r="M187" i="135" s="1"/>
  <c r="K188" i="135"/>
  <c r="M188" i="135" s="1"/>
  <c r="K189" i="135"/>
  <c r="M189" i="135" s="1"/>
  <c r="K190" i="135"/>
  <c r="M190" i="135" s="1"/>
  <c r="K191" i="135"/>
  <c r="M191" i="135" s="1"/>
  <c r="K13" i="135"/>
  <c r="H12" i="135"/>
  <c r="G12" i="135"/>
  <c r="F12" i="135"/>
  <c r="M13" i="135" l="1"/>
  <c r="M12" i="135" s="1"/>
  <c r="K12" i="135"/>
  <c r="G20" i="148" l="1"/>
  <c r="F20" i="148"/>
  <c r="D20" i="148"/>
  <c r="H19" i="148"/>
  <c r="H18" i="148"/>
  <c r="H17" i="148"/>
  <c r="Q16" i="148"/>
  <c r="H16" i="148"/>
  <c r="H15" i="148"/>
  <c r="H14" i="148"/>
  <c r="H13" i="148"/>
  <c r="H12" i="148"/>
  <c r="H11" i="148"/>
  <c r="H20" i="148" l="1"/>
  <c r="D35" i="71" l="1"/>
  <c r="A357" i="125"/>
  <c r="B358" i="125"/>
  <c r="C359" i="125"/>
  <c r="C360" i="125"/>
  <c r="C361" i="125"/>
  <c r="D359" i="125"/>
  <c r="C93" i="3" l="1"/>
  <c r="I93" i="3" s="1"/>
  <c r="P93" i="3" l="1"/>
  <c r="J93" i="3"/>
  <c r="O93" i="3"/>
  <c r="N93" i="3"/>
  <c r="K93" i="3"/>
  <c r="M93" i="3"/>
  <c r="D14" i="147"/>
  <c r="D13" i="147" l="1"/>
  <c r="D12" i="147"/>
  <c r="G93" i="3" l="1"/>
  <c r="H93" i="3" s="1"/>
  <c r="U93" i="3" s="1"/>
  <c r="J92" i="3" l="1"/>
  <c r="H349" i="125" s="1"/>
  <c r="N92" i="3"/>
  <c r="M92" i="3"/>
  <c r="F14" i="147"/>
  <c r="F13" i="147"/>
  <c r="F12" i="147"/>
  <c r="AA4" i="147"/>
  <c r="AB4" i="147" s="1"/>
  <c r="AC4" i="147" s="1"/>
  <c r="F11" i="143" l="1"/>
  <c r="H348" i="125"/>
  <c r="G13" i="147"/>
  <c r="G14" i="147"/>
  <c r="D15" i="147"/>
  <c r="F15" i="147"/>
  <c r="G12" i="147"/>
  <c r="H14" i="147" l="1"/>
  <c r="H13" i="147"/>
  <c r="H12" i="147"/>
  <c r="G15" i="147"/>
  <c r="H11" i="143" l="1"/>
  <c r="H15" i="147"/>
  <c r="P39" i="146" l="1"/>
  <c r="O39" i="146"/>
  <c r="C38" i="146"/>
  <c r="D30" i="146"/>
  <c r="D25" i="146"/>
  <c r="D23" i="146"/>
  <c r="Y17" i="146"/>
  <c r="D21" i="146" l="1"/>
  <c r="D26" i="146"/>
  <c r="D19" i="146"/>
  <c r="D20" i="146"/>
  <c r="D24" i="146"/>
  <c r="D22" i="146"/>
  <c r="D29" i="146"/>
  <c r="K38" i="146"/>
  <c r="L38" i="146" s="1"/>
  <c r="L417" i="135" l="1"/>
  <c r="M395" i="135"/>
  <c r="M387" i="135" s="1"/>
  <c r="I392" i="135"/>
  <c r="K417" i="135"/>
  <c r="N298" i="135"/>
  <c r="N192" i="135"/>
  <c r="L192" i="135"/>
  <c r="H192" i="135"/>
  <c r="G192" i="135"/>
  <c r="F192" i="135"/>
  <c r="N12" i="135"/>
  <c r="L12" i="135"/>
  <c r="K416" i="135" l="1"/>
  <c r="K418" i="135" s="1"/>
  <c r="G416" i="135"/>
  <c r="G418" i="135" s="1"/>
  <c r="M416" i="135"/>
  <c r="M417" i="135"/>
  <c r="H416" i="135"/>
  <c r="H418" i="135" s="1"/>
  <c r="N416" i="135"/>
  <c r="N418" i="135" s="1"/>
  <c r="F416" i="135"/>
  <c r="F418" i="135" s="1"/>
  <c r="L416" i="135"/>
  <c r="L418" i="135" s="1"/>
  <c r="M418" i="135" l="1"/>
  <c r="U20" i="110"/>
  <c r="D17" i="110"/>
  <c r="L71" i="114"/>
  <c r="M31" i="110" l="1"/>
  <c r="N31" i="110"/>
  <c r="D16" i="110"/>
  <c r="D18" i="110"/>
  <c r="T32" i="110" l="1"/>
  <c r="AP31" i="145"/>
  <c r="AH27" i="145"/>
  <c r="AG27" i="145"/>
  <c r="AF27" i="145"/>
  <c r="AE27" i="145"/>
  <c r="AD27" i="145"/>
  <c r="AC27" i="145"/>
  <c r="AB27" i="145"/>
  <c r="AA27" i="145"/>
  <c r="Z27" i="145"/>
  <c r="Y27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D27" i="145"/>
  <c r="AJ26" i="145"/>
  <c r="AM26" i="145" s="1"/>
  <c r="C26" i="145"/>
  <c r="AK25" i="145"/>
  <c r="AI25" i="145"/>
  <c r="AJ25" i="145" s="1"/>
  <c r="AM25" i="145" s="1"/>
  <c r="C25" i="145"/>
  <c r="AK24" i="145"/>
  <c r="AI24" i="145"/>
  <c r="AJ24" i="145" s="1"/>
  <c r="AM24" i="145" s="1"/>
  <c r="C24" i="145"/>
  <c r="AK23" i="145"/>
  <c r="AI23" i="145"/>
  <c r="AJ23" i="145" s="1"/>
  <c r="AM23" i="145" s="1"/>
  <c r="C23" i="145"/>
  <c r="AK22" i="145"/>
  <c r="AI22" i="145"/>
  <c r="AJ22" i="145" s="1"/>
  <c r="AM22" i="145" s="1"/>
  <c r="C22" i="145"/>
  <c r="AK21" i="145"/>
  <c r="AI21" i="145"/>
  <c r="AJ21" i="145" s="1"/>
  <c r="AM21" i="145" s="1"/>
  <c r="C21" i="145"/>
  <c r="AK20" i="145"/>
  <c r="AI20" i="145"/>
  <c r="AJ20" i="145" s="1"/>
  <c r="AM20" i="145" s="1"/>
  <c r="C20" i="145"/>
  <c r="AK19" i="145"/>
  <c r="AI19" i="145"/>
  <c r="AJ19" i="145" s="1"/>
  <c r="AM19" i="145" s="1"/>
  <c r="C19" i="145"/>
  <c r="AK18" i="145"/>
  <c r="AI18" i="145"/>
  <c r="AJ18" i="145" s="1"/>
  <c r="AM18" i="145" s="1"/>
  <c r="C18" i="145"/>
  <c r="AK17" i="145"/>
  <c r="AI17" i="145"/>
  <c r="AT17" i="145" s="1"/>
  <c r="C17" i="145"/>
  <c r="AK16" i="145"/>
  <c r="AI16" i="145"/>
  <c r="AT16" i="145" s="1"/>
  <c r="C16" i="145"/>
  <c r="AK15" i="145"/>
  <c r="AI15" i="145"/>
  <c r="AJ15" i="145" s="1"/>
  <c r="AM15" i="145" s="1"/>
  <c r="C15" i="145"/>
  <c r="AK14" i="145"/>
  <c r="AI14" i="145"/>
  <c r="AT14" i="145" s="1"/>
  <c r="C14" i="145"/>
  <c r="AX13" i="145"/>
  <c r="AK13" i="145"/>
  <c r="AI13" i="145"/>
  <c r="AT13" i="145" s="1"/>
  <c r="C13" i="145"/>
  <c r="AN12" i="145"/>
  <c r="AK12" i="145"/>
  <c r="AI12" i="145"/>
  <c r="AJ12" i="145" s="1"/>
  <c r="AM12" i="145" s="1"/>
  <c r="C12" i="145"/>
  <c r="AJ16" i="145" l="1"/>
  <c r="AM16" i="145" s="1"/>
  <c r="AT18" i="145"/>
  <c r="J33" i="145"/>
  <c r="AI27" i="145"/>
  <c r="AJ14" i="145"/>
  <c r="AT12" i="145"/>
  <c r="AT15" i="145"/>
  <c r="AJ13" i="145"/>
  <c r="AM13" i="145" s="1"/>
  <c r="AX15" i="145"/>
  <c r="AJ17" i="145"/>
  <c r="AM17" i="145" s="1"/>
  <c r="J32" i="145"/>
  <c r="P33" i="145"/>
  <c r="J30" i="145"/>
  <c r="P32" i="145"/>
  <c r="J31" i="145"/>
  <c r="D33" i="145"/>
  <c r="D34" i="145" s="1"/>
  <c r="P30" i="145"/>
  <c r="AM14" i="145"/>
  <c r="AX16" i="145" l="1"/>
  <c r="P31" i="145"/>
  <c r="P34" i="145" s="1"/>
  <c r="AJ27" i="145"/>
  <c r="J34" i="145"/>
  <c r="AY16" i="145"/>
  <c r="AX17" i="145"/>
  <c r="AY17" i="145" s="1"/>
  <c r="M91" i="3" l="1"/>
  <c r="H91" i="3"/>
  <c r="H30" i="110"/>
  <c r="O91" i="3"/>
  <c r="P91" i="3"/>
  <c r="N91" i="3"/>
  <c r="N30" i="110" l="1"/>
  <c r="M30" i="110"/>
  <c r="P30" i="110" l="1"/>
  <c r="H14" i="59"/>
  <c r="I20" i="134" l="1"/>
  <c r="I311" i="125" l="1"/>
  <c r="K3" i="125"/>
  <c r="D22" i="59" l="1"/>
  <c r="P42" i="141" l="1"/>
  <c r="P36" i="141"/>
  <c r="M35" i="141"/>
  <c r="P32" i="141"/>
  <c r="D32" i="141"/>
  <c r="F27" i="141"/>
  <c r="F26" i="141"/>
  <c r="F25" i="141"/>
  <c r="F24" i="141"/>
  <c r="I23" i="141"/>
  <c r="F22" i="141"/>
  <c r="F21" i="141"/>
  <c r="F20" i="141"/>
  <c r="F19" i="141"/>
  <c r="F18" i="141"/>
  <c r="M17" i="141"/>
  <c r="F17" i="141"/>
  <c r="F16" i="141"/>
  <c r="F15" i="141"/>
  <c r="I14" i="141"/>
  <c r="I13" i="141" l="1"/>
  <c r="I12" i="141" s="1"/>
  <c r="I35" i="141" s="1"/>
  <c r="M27" i="141" s="1"/>
  <c r="N40" i="141"/>
  <c r="H12" i="141" l="1"/>
  <c r="H35" i="141" s="1"/>
  <c r="N36" i="141" s="1"/>
  <c r="I29" i="136" l="1"/>
  <c r="AJ26" i="138"/>
  <c r="E27" i="138"/>
  <c r="F27" i="138"/>
  <c r="G27" i="138"/>
  <c r="H27" i="138"/>
  <c r="I27" i="138"/>
  <c r="J27" i="138"/>
  <c r="K27" i="138"/>
  <c r="L27" i="138"/>
  <c r="M27" i="138"/>
  <c r="N27" i="138"/>
  <c r="O27" i="138"/>
  <c r="P27" i="138"/>
  <c r="Q27" i="138"/>
  <c r="R27" i="138"/>
  <c r="S27" i="138"/>
  <c r="T27" i="138"/>
  <c r="U27" i="138"/>
  <c r="V27" i="138"/>
  <c r="W27" i="138"/>
  <c r="X27" i="138"/>
  <c r="Y27" i="138"/>
  <c r="Z27" i="138"/>
  <c r="AA27" i="138"/>
  <c r="AB27" i="138"/>
  <c r="AC27" i="138"/>
  <c r="AD27" i="138"/>
  <c r="AE27" i="138"/>
  <c r="AF27" i="138"/>
  <c r="AG27" i="138"/>
  <c r="AH27" i="138"/>
  <c r="D27" i="138"/>
  <c r="AP31" i="138" l="1"/>
  <c r="AM26" i="138"/>
  <c r="C26" i="138"/>
  <c r="C29" i="136" s="1"/>
  <c r="AI25" i="138"/>
  <c r="C25" i="138"/>
  <c r="C28" i="136" s="1"/>
  <c r="AI24" i="138"/>
  <c r="C24" i="138"/>
  <c r="C27" i="136" s="1"/>
  <c r="AI23" i="138"/>
  <c r="C23" i="138"/>
  <c r="C26" i="136" s="1"/>
  <c r="AI22" i="138"/>
  <c r="C22" i="138"/>
  <c r="C25" i="136" s="1"/>
  <c r="AI21" i="138"/>
  <c r="C21" i="138"/>
  <c r="C24" i="136" s="1"/>
  <c r="AI20" i="138"/>
  <c r="C20" i="138"/>
  <c r="C23" i="136" s="1"/>
  <c r="AI19" i="138"/>
  <c r="C19" i="138"/>
  <c r="C22" i="136" s="1"/>
  <c r="AI18" i="138"/>
  <c r="C18" i="138"/>
  <c r="C21" i="136" s="1"/>
  <c r="AI17" i="138"/>
  <c r="C17" i="138"/>
  <c r="C20" i="136" s="1"/>
  <c r="AI16" i="138"/>
  <c r="C16" i="138"/>
  <c r="C19" i="136" s="1"/>
  <c r="AI15" i="138"/>
  <c r="C15" i="138"/>
  <c r="C18" i="136" s="1"/>
  <c r="AI14" i="138"/>
  <c r="C14" i="138"/>
  <c r="C17" i="136" s="1"/>
  <c r="AX13" i="138"/>
  <c r="AI13" i="138"/>
  <c r="C13" i="138"/>
  <c r="C16" i="136" s="1"/>
  <c r="AI12" i="138"/>
  <c r="C12" i="138"/>
  <c r="C15" i="136" s="1"/>
  <c r="AT12" i="138" l="1"/>
  <c r="AI27" i="138"/>
  <c r="AJ12" i="138"/>
  <c r="I15" i="136"/>
  <c r="J15" i="136" s="1"/>
  <c r="AT18" i="138"/>
  <c r="AJ18" i="138"/>
  <c r="AM18" i="138" s="1"/>
  <c r="I21" i="136"/>
  <c r="J21" i="136" s="1"/>
  <c r="AT16" i="138"/>
  <c r="I19" i="136"/>
  <c r="J19" i="136" s="1"/>
  <c r="AJ16" i="138"/>
  <c r="AM16" i="138" s="1"/>
  <c r="AT17" i="138"/>
  <c r="I20" i="136"/>
  <c r="J20" i="136" s="1"/>
  <c r="AJ17" i="138"/>
  <c r="AM17" i="138" s="1"/>
  <c r="I24" i="136"/>
  <c r="J24" i="136" s="1"/>
  <c r="AJ21" i="138"/>
  <c r="AM21" i="138" s="1"/>
  <c r="I28" i="136"/>
  <c r="J28" i="136" s="1"/>
  <c r="AJ25" i="138"/>
  <c r="AM25" i="138" s="1"/>
  <c r="AJ22" i="138"/>
  <c r="AM22" i="138" s="1"/>
  <c r="I25" i="136"/>
  <c r="J25" i="136" s="1"/>
  <c r="AT15" i="138"/>
  <c r="AJ15" i="138"/>
  <c r="AM15" i="138" s="1"/>
  <c r="I18" i="136"/>
  <c r="J18" i="136" s="1"/>
  <c r="AJ20" i="138"/>
  <c r="AM20" i="138" s="1"/>
  <c r="I23" i="136"/>
  <c r="J23" i="136" s="1"/>
  <c r="I27" i="136"/>
  <c r="J27" i="136" s="1"/>
  <c r="AJ24" i="138"/>
  <c r="AM24" i="138" s="1"/>
  <c r="AT13" i="138"/>
  <c r="I16" i="136"/>
  <c r="J16" i="136" s="1"/>
  <c r="AJ13" i="138"/>
  <c r="AM13" i="138" s="1"/>
  <c r="AT14" i="138"/>
  <c r="AJ14" i="138"/>
  <c r="AM14" i="138" s="1"/>
  <c r="I17" i="136"/>
  <c r="J17" i="136" s="1"/>
  <c r="G21" i="136"/>
  <c r="H21" i="136" s="1"/>
  <c r="M21" i="136"/>
  <c r="N21" i="136"/>
  <c r="AJ19" i="138"/>
  <c r="AM19" i="138" s="1"/>
  <c r="I22" i="136"/>
  <c r="J22" i="136" s="1"/>
  <c r="AJ23" i="138"/>
  <c r="AM23" i="138" s="1"/>
  <c r="I26" i="136"/>
  <c r="J26" i="136" s="1"/>
  <c r="AX15" i="138"/>
  <c r="Q21" i="136" l="1"/>
  <c r="AJ27" i="138"/>
  <c r="AX16" i="138"/>
  <c r="AX17" i="138" s="1"/>
  <c r="AY17" i="138" s="1"/>
  <c r="AM12" i="138"/>
  <c r="AN12" i="138"/>
  <c r="AY16" i="138" l="1"/>
  <c r="G38" i="146" l="1"/>
  <c r="H38" i="146" s="1"/>
  <c r="I30" i="136" l="1"/>
  <c r="J29" i="136"/>
  <c r="L29" i="136" s="1"/>
  <c r="J30" i="136" l="1"/>
  <c r="P30" i="136"/>
  <c r="O30" i="136"/>
  <c r="G26" i="136"/>
  <c r="H26" i="136" s="1"/>
  <c r="M26" i="136"/>
  <c r="N19" i="136"/>
  <c r="M18" i="136"/>
  <c r="G19" i="136" l="1"/>
  <c r="H19" i="136" s="1"/>
  <c r="G18" i="136"/>
  <c r="H18" i="136" s="1"/>
  <c r="M19" i="136"/>
  <c r="Q19" i="136" s="1"/>
  <c r="M20" i="136"/>
  <c r="M16" i="136"/>
  <c r="N18" i="136"/>
  <c r="Q18" i="136" s="1"/>
  <c r="N26" i="136"/>
  <c r="Q26" i="136" s="1"/>
  <c r="M15" i="136"/>
  <c r="D15" i="136"/>
  <c r="N15" i="136"/>
  <c r="N16" i="136"/>
  <c r="N20" i="136"/>
  <c r="M17" i="136"/>
  <c r="D16" i="136"/>
  <c r="D17" i="136"/>
  <c r="N17" i="136"/>
  <c r="G15" i="136"/>
  <c r="G16" i="136"/>
  <c r="H16" i="136" s="1"/>
  <c r="G17" i="136"/>
  <c r="H17" i="136" s="1"/>
  <c r="G20" i="136"/>
  <c r="H20" i="136" s="1"/>
  <c r="Q20" i="136" l="1"/>
  <c r="N30" i="136"/>
  <c r="Q16" i="136"/>
  <c r="G30" i="136"/>
  <c r="H15" i="136"/>
  <c r="H30" i="136" s="1"/>
  <c r="Q17" i="136"/>
  <c r="M30" i="136"/>
  <c r="Q15" i="136"/>
  <c r="Q30" i="136" s="1"/>
  <c r="B29" i="99" l="1"/>
  <c r="Y32" i="132" l="1"/>
  <c r="V28" i="132" l="1"/>
  <c r="U27" i="132"/>
  <c r="T27" i="132"/>
  <c r="M53" i="132"/>
  <c r="M38" i="132"/>
  <c r="M37" i="132"/>
  <c r="M31" i="132"/>
  <c r="D33" i="71" l="1"/>
  <c r="K4" i="125" l="1"/>
  <c r="I41" i="134" l="1"/>
  <c r="I40" i="134"/>
  <c r="I39" i="134"/>
  <c r="D41" i="134"/>
  <c r="D40" i="134"/>
  <c r="D39" i="134"/>
  <c r="I26" i="134"/>
  <c r="I25" i="134"/>
  <c r="I24" i="134"/>
  <c r="D26" i="134"/>
  <c r="D25" i="134"/>
  <c r="D24" i="134"/>
  <c r="I12" i="134"/>
  <c r="I11" i="134"/>
  <c r="I10" i="134"/>
  <c r="I35" i="134"/>
  <c r="I34" i="134"/>
  <c r="D35" i="134"/>
  <c r="D34" i="134"/>
  <c r="I21" i="134"/>
  <c r="I19" i="134" s="1"/>
  <c r="D21" i="134"/>
  <c r="D20" i="134"/>
  <c r="D19" i="134" s="1"/>
  <c r="I7" i="134"/>
  <c r="I6" i="134"/>
  <c r="I5" i="134" s="1"/>
  <c r="D6" i="134"/>
  <c r="D7" i="134"/>
  <c r="D10" i="134"/>
  <c r="D11" i="134"/>
  <c r="D12" i="134"/>
  <c r="I403" i="125"/>
  <c r="I400" i="125"/>
  <c r="H400" i="125"/>
  <c r="I399" i="125"/>
  <c r="H399" i="125"/>
  <c r="H398" i="125"/>
  <c r="I398" i="125" s="1"/>
  <c r="D403" i="125"/>
  <c r="D400" i="125"/>
  <c r="C400" i="125"/>
  <c r="D399" i="125"/>
  <c r="C399" i="125"/>
  <c r="C398" i="125"/>
  <c r="D398" i="125" s="1"/>
  <c r="I392" i="125"/>
  <c r="I389" i="125"/>
  <c r="H389" i="125"/>
  <c r="I388" i="125"/>
  <c r="H388" i="125"/>
  <c r="H387" i="125"/>
  <c r="I387" i="125" s="1"/>
  <c r="D392" i="125"/>
  <c r="D389" i="125"/>
  <c r="C389" i="125"/>
  <c r="D388" i="125"/>
  <c r="C388" i="125"/>
  <c r="C387" i="125"/>
  <c r="D387" i="125" s="1"/>
  <c r="I381" i="125"/>
  <c r="I378" i="125"/>
  <c r="H378" i="125"/>
  <c r="I377" i="125"/>
  <c r="H377" i="125"/>
  <c r="H376" i="125"/>
  <c r="I376" i="125" s="1"/>
  <c r="D381" i="125"/>
  <c r="D378" i="125"/>
  <c r="C378" i="125"/>
  <c r="D377" i="125"/>
  <c r="C377" i="125"/>
  <c r="C376" i="125"/>
  <c r="D376" i="125" s="1"/>
  <c r="I364" i="125"/>
  <c r="I361" i="125"/>
  <c r="H361" i="125"/>
  <c r="I360" i="125"/>
  <c r="H360" i="125"/>
  <c r="I359" i="125"/>
  <c r="H359" i="125"/>
  <c r="G358" i="125"/>
  <c r="F357" i="125"/>
  <c r="D364" i="125"/>
  <c r="D361" i="125"/>
  <c r="D360" i="125"/>
  <c r="P23" i="64"/>
  <c r="P22" i="64" s="1"/>
  <c r="D5" i="134" l="1"/>
  <c r="D382" i="125"/>
  <c r="I393" i="125"/>
  <c r="I382" i="125"/>
  <c r="I404" i="125"/>
  <c r="Q23" i="64"/>
  <c r="Q22" i="64" s="1"/>
  <c r="D393" i="125"/>
  <c r="D404" i="125"/>
  <c r="I42" i="134"/>
  <c r="H42" i="134" s="1"/>
  <c r="D27" i="134"/>
  <c r="C27" i="134" s="1"/>
  <c r="I13" i="134"/>
  <c r="D42" i="134"/>
  <c r="C42" i="134" s="1"/>
  <c r="I27" i="134"/>
  <c r="H27" i="134" s="1"/>
  <c r="D13" i="134"/>
  <c r="C13" i="134" s="1"/>
  <c r="I365" i="125"/>
  <c r="D365" i="125"/>
  <c r="H13" i="134" l="1"/>
  <c r="H14" i="134" s="1"/>
  <c r="I15" i="134" s="1"/>
  <c r="I14" i="134"/>
  <c r="C14" i="134"/>
  <c r="D15" i="134" s="1"/>
  <c r="D28" i="134"/>
  <c r="C28" i="134"/>
  <c r="D29" i="134" s="1"/>
  <c r="I28" i="134"/>
  <c r="H28" i="134"/>
  <c r="I29" i="134" s="1"/>
  <c r="D14" i="134"/>
  <c r="I43" i="134"/>
  <c r="M42" i="134"/>
  <c r="L43" i="134" l="1"/>
  <c r="M43" i="134" s="1"/>
  <c r="O43" i="134" s="1"/>
  <c r="D299" i="125" l="1"/>
  <c r="I289" i="125"/>
  <c r="D289" i="125"/>
  <c r="I279" i="125"/>
  <c r="D279" i="125"/>
  <c r="K74" i="133" l="1"/>
  <c r="K72" i="133"/>
  <c r="G13" i="125" l="1"/>
  <c r="G23" i="125"/>
  <c r="G33" i="125"/>
  <c r="B53" i="125"/>
  <c r="D38" i="3"/>
  <c r="B118" i="125"/>
  <c r="B141" i="125"/>
  <c r="D44" i="3"/>
  <c r="G151" i="125"/>
  <c r="D52" i="3"/>
  <c r="C54" i="3"/>
  <c r="D56" i="3"/>
  <c r="D59" i="3"/>
  <c r="B224" i="125"/>
  <c r="G234" i="125"/>
  <c r="D66" i="3"/>
  <c r="C75" i="3"/>
  <c r="L75" i="3" s="1"/>
  <c r="G70" i="114" s="1"/>
  <c r="L16" i="136"/>
  <c r="L17" i="136"/>
  <c r="L18" i="136"/>
  <c r="L19" i="136"/>
  <c r="L20" i="136"/>
  <c r="L21" i="136"/>
  <c r="L22" i="136"/>
  <c r="L23" i="136"/>
  <c r="L24" i="136"/>
  <c r="L25" i="136"/>
  <c r="D332" i="125" s="1"/>
  <c r="L26" i="136"/>
  <c r="I332" i="125" s="1"/>
  <c r="L27" i="136"/>
  <c r="D342" i="125" s="1"/>
  <c r="L28" i="136"/>
  <c r="K91" i="3"/>
  <c r="G346" i="125"/>
  <c r="F21" i="71"/>
  <c r="F22" i="71"/>
  <c r="P45" i="3"/>
  <c r="D71" i="133"/>
  <c r="E71" i="133" s="1"/>
  <c r="F71" i="133" s="1"/>
  <c r="H14" i="97"/>
  <c r="K14" i="97" s="1"/>
  <c r="H14" i="116"/>
  <c r="G14" i="120"/>
  <c r="I14" i="120"/>
  <c r="G14" i="124"/>
  <c r="H14" i="124" s="1"/>
  <c r="G14" i="122"/>
  <c r="H14" i="122" s="1"/>
  <c r="H15" i="97"/>
  <c r="H15" i="116"/>
  <c r="G15" i="120"/>
  <c r="I15" i="120"/>
  <c r="G15" i="124"/>
  <c r="H15" i="124" s="1"/>
  <c r="G15" i="122"/>
  <c r="H15" i="122" s="1"/>
  <c r="H16" i="97"/>
  <c r="H16" i="116"/>
  <c r="G16" i="120"/>
  <c r="I16" i="120"/>
  <c r="G16" i="124"/>
  <c r="H16" i="124" s="1"/>
  <c r="K16" i="124" s="1"/>
  <c r="G16" i="122"/>
  <c r="H16" i="122" s="1"/>
  <c r="H17" i="97"/>
  <c r="H17" i="116"/>
  <c r="G17" i="120"/>
  <c r="I17" i="120"/>
  <c r="G17" i="124"/>
  <c r="H17" i="124" s="1"/>
  <c r="G17" i="122"/>
  <c r="H17" i="122" s="1"/>
  <c r="H18" i="97"/>
  <c r="H18" i="116"/>
  <c r="K18" i="116" s="1"/>
  <c r="G18" i="120"/>
  <c r="I18" i="120"/>
  <c r="G18" i="124"/>
  <c r="H18" i="124" s="1"/>
  <c r="G18" i="122"/>
  <c r="H18" i="122" s="1"/>
  <c r="K18" i="122" s="1"/>
  <c r="H19" i="97"/>
  <c r="H19" i="116"/>
  <c r="G19" i="120"/>
  <c r="I19" i="120"/>
  <c r="G19" i="124"/>
  <c r="H19" i="124" s="1"/>
  <c r="G19" i="122"/>
  <c r="H19" i="122" s="1"/>
  <c r="H20" i="97"/>
  <c r="H20" i="116"/>
  <c r="K20" i="116" s="1"/>
  <c r="G20" i="120"/>
  <c r="I20" i="120"/>
  <c r="G20" i="124"/>
  <c r="H20" i="124" s="1"/>
  <c r="G20" i="122"/>
  <c r="H20" i="122" s="1"/>
  <c r="H21" i="97"/>
  <c r="H21" i="116"/>
  <c r="G21" i="120"/>
  <c r="I21" i="120"/>
  <c r="G21" i="124"/>
  <c r="H21" i="124" s="1"/>
  <c r="G21" i="122"/>
  <c r="H21" i="122" s="1"/>
  <c r="K21" i="122" s="1"/>
  <c r="H22" i="97"/>
  <c r="H22" i="116"/>
  <c r="G22" i="120"/>
  <c r="I22" i="120"/>
  <c r="G22" i="124"/>
  <c r="H22" i="124" s="1"/>
  <c r="G22" i="122"/>
  <c r="H22" i="122" s="1"/>
  <c r="H23" i="97"/>
  <c r="H23" i="116"/>
  <c r="G23" i="120"/>
  <c r="I23" i="120"/>
  <c r="G23" i="124"/>
  <c r="H23" i="124" s="1"/>
  <c r="G23" i="122"/>
  <c r="H23" i="122" s="1"/>
  <c r="H24" i="97"/>
  <c r="H24" i="116"/>
  <c r="K24" i="116" s="1"/>
  <c r="G24" i="120"/>
  <c r="I24" i="120"/>
  <c r="G24" i="124"/>
  <c r="H24" i="124" s="1"/>
  <c r="K24" i="124" s="1"/>
  <c r="G24" i="122"/>
  <c r="H24" i="122" s="1"/>
  <c r="H25" i="97"/>
  <c r="H25" i="116"/>
  <c r="G25" i="120"/>
  <c r="I25" i="120"/>
  <c r="G25" i="124"/>
  <c r="H25" i="124" s="1"/>
  <c r="G25" i="122"/>
  <c r="H25" i="122" s="1"/>
  <c r="H26" i="97"/>
  <c r="H26" i="116"/>
  <c r="K26" i="116" s="1"/>
  <c r="G26" i="120"/>
  <c r="I26" i="120"/>
  <c r="G26" i="124"/>
  <c r="H26" i="124" s="1"/>
  <c r="G26" i="122"/>
  <c r="H26" i="122" s="1"/>
  <c r="K26" i="122" s="1"/>
  <c r="H27" i="97"/>
  <c r="H27" i="116"/>
  <c r="G27" i="120"/>
  <c r="I27" i="120"/>
  <c r="G27" i="124"/>
  <c r="H27" i="124" s="1"/>
  <c r="G27" i="122"/>
  <c r="H27" i="122" s="1"/>
  <c r="H28" i="97"/>
  <c r="H28" i="116"/>
  <c r="K28" i="116" s="1"/>
  <c r="G28" i="120"/>
  <c r="I28" i="120"/>
  <c r="G28" i="124"/>
  <c r="H28" i="124" s="1"/>
  <c r="G28" i="122"/>
  <c r="H28" i="122" s="1"/>
  <c r="K28" i="122" s="1"/>
  <c r="H29" i="97"/>
  <c r="H29" i="116"/>
  <c r="G29" i="120"/>
  <c r="I29" i="120"/>
  <c r="G29" i="124"/>
  <c r="H29" i="124" s="1"/>
  <c r="K29" i="124" s="1"/>
  <c r="G29" i="122"/>
  <c r="H29" i="122" s="1"/>
  <c r="K29" i="122" s="1"/>
  <c r="H30" i="97"/>
  <c r="H30" i="116"/>
  <c r="K30" i="116" s="1"/>
  <c r="G30" i="120"/>
  <c r="I30" i="120"/>
  <c r="G30" i="124"/>
  <c r="H30" i="124" s="1"/>
  <c r="G30" i="122"/>
  <c r="H30" i="122" s="1"/>
  <c r="K30" i="122" s="1"/>
  <c r="H31" i="97"/>
  <c r="H31" i="116"/>
  <c r="G31" i="120"/>
  <c r="I31" i="120"/>
  <c r="J31" i="120" s="1"/>
  <c r="M31" i="120" s="1"/>
  <c r="G31" i="124"/>
  <c r="H31" i="124" s="1"/>
  <c r="G31" i="122"/>
  <c r="H31" i="122" s="1"/>
  <c r="H32" i="97"/>
  <c r="H32" i="116"/>
  <c r="G32" i="120"/>
  <c r="I32" i="120"/>
  <c r="G32" i="124"/>
  <c r="H32" i="124" s="1"/>
  <c r="G32" i="122"/>
  <c r="H32" i="122" s="1"/>
  <c r="H33" i="97"/>
  <c r="H33" i="116"/>
  <c r="G33" i="120"/>
  <c r="I33" i="120"/>
  <c r="G33" i="124"/>
  <c r="H33" i="124" s="1"/>
  <c r="K33" i="124" s="1"/>
  <c r="G33" i="122"/>
  <c r="H33" i="122" s="1"/>
  <c r="K33" i="122" s="1"/>
  <c r="H34" i="97"/>
  <c r="H34" i="116"/>
  <c r="K34" i="116" s="1"/>
  <c r="G34" i="120"/>
  <c r="I34" i="120"/>
  <c r="G34" i="124"/>
  <c r="H34" i="124" s="1"/>
  <c r="G34" i="122"/>
  <c r="H34" i="122" s="1"/>
  <c r="H35" i="97"/>
  <c r="H35" i="116"/>
  <c r="K35" i="116" s="1"/>
  <c r="G35" i="120"/>
  <c r="I35" i="120"/>
  <c r="G35" i="124"/>
  <c r="H35" i="124" s="1"/>
  <c r="G35" i="122"/>
  <c r="H35" i="122" s="1"/>
  <c r="H36" i="97"/>
  <c r="H36" i="116"/>
  <c r="K36" i="116" s="1"/>
  <c r="G36" i="120"/>
  <c r="I36" i="120"/>
  <c r="J36" i="120" s="1"/>
  <c r="G36" i="124"/>
  <c r="H36" i="124" s="1"/>
  <c r="G36" i="122"/>
  <c r="H36" i="122" s="1"/>
  <c r="H37" i="97"/>
  <c r="H37" i="116"/>
  <c r="G37" i="120"/>
  <c r="I37" i="120"/>
  <c r="G37" i="124"/>
  <c r="H37" i="124" s="1"/>
  <c r="K37" i="124" s="1"/>
  <c r="G37" i="122"/>
  <c r="H37" i="122" s="1"/>
  <c r="K37" i="122" s="1"/>
  <c r="H38" i="97"/>
  <c r="H38" i="116"/>
  <c r="K38" i="116" s="1"/>
  <c r="G38" i="120"/>
  <c r="I38" i="120"/>
  <c r="G38" i="124"/>
  <c r="H38" i="124" s="1"/>
  <c r="G38" i="122"/>
  <c r="H38" i="122" s="1"/>
  <c r="H39" i="97"/>
  <c r="H39" i="116"/>
  <c r="K39" i="116" s="1"/>
  <c r="G39" i="120"/>
  <c r="I39" i="120"/>
  <c r="G39" i="124"/>
  <c r="H39" i="124" s="1"/>
  <c r="G39" i="122"/>
  <c r="H39" i="122" s="1"/>
  <c r="H40" i="97"/>
  <c r="H40" i="116"/>
  <c r="K40" i="116" s="1"/>
  <c r="G40" i="120"/>
  <c r="I40" i="120"/>
  <c r="G40" i="124"/>
  <c r="H40" i="124" s="1"/>
  <c r="G40" i="122"/>
  <c r="H40" i="122" s="1"/>
  <c r="K40" i="122" s="1"/>
  <c r="H41" i="97"/>
  <c r="H41" i="116"/>
  <c r="K41" i="116" s="1"/>
  <c r="G41" i="120"/>
  <c r="I41" i="120"/>
  <c r="G41" i="124"/>
  <c r="H41" i="124" s="1"/>
  <c r="G41" i="122"/>
  <c r="H41" i="122" s="1"/>
  <c r="H42" i="97"/>
  <c r="H42" i="116"/>
  <c r="K42" i="116" s="1"/>
  <c r="G42" i="120"/>
  <c r="I42" i="120"/>
  <c r="G42" i="124"/>
  <c r="H42" i="124" s="1"/>
  <c r="G42" i="122"/>
  <c r="H42" i="122" s="1"/>
  <c r="H43" i="97"/>
  <c r="H43" i="116"/>
  <c r="K43" i="116" s="1"/>
  <c r="G43" i="120"/>
  <c r="I43" i="120"/>
  <c r="G43" i="124"/>
  <c r="H43" i="124" s="1"/>
  <c r="G43" i="122"/>
  <c r="H43" i="122" s="1"/>
  <c r="K43" i="122" s="1"/>
  <c r="H44" i="97"/>
  <c r="H44" i="116"/>
  <c r="G44" i="120"/>
  <c r="I44" i="120"/>
  <c r="G44" i="124"/>
  <c r="H44" i="124" s="1"/>
  <c r="K44" i="124" s="1"/>
  <c r="G44" i="122"/>
  <c r="H44" i="122" s="1"/>
  <c r="H45" i="97"/>
  <c r="H45" i="116"/>
  <c r="K45" i="116" s="1"/>
  <c r="G45" i="120"/>
  <c r="I45" i="120"/>
  <c r="G45" i="124"/>
  <c r="H45" i="124" s="1"/>
  <c r="K45" i="124" s="1"/>
  <c r="G45" i="122"/>
  <c r="H45" i="122" s="1"/>
  <c r="K45" i="122" s="1"/>
  <c r="H46" i="97"/>
  <c r="H46" i="116"/>
  <c r="K46" i="116" s="1"/>
  <c r="G46" i="120"/>
  <c r="I46" i="120"/>
  <c r="G46" i="124"/>
  <c r="H46" i="124" s="1"/>
  <c r="K46" i="124" s="1"/>
  <c r="G46" i="122"/>
  <c r="H46" i="122" s="1"/>
  <c r="K46" i="122" s="1"/>
  <c r="H47" i="97"/>
  <c r="H47" i="116"/>
  <c r="K47" i="116" s="1"/>
  <c r="G47" i="120"/>
  <c r="I47" i="120"/>
  <c r="G47" i="124"/>
  <c r="H47" i="124" s="1"/>
  <c r="G47" i="122"/>
  <c r="H47" i="122" s="1"/>
  <c r="K47" i="122" s="1"/>
  <c r="H48" i="97"/>
  <c r="H48" i="116"/>
  <c r="G48" i="120"/>
  <c r="I48" i="120"/>
  <c r="G48" i="124"/>
  <c r="H48" i="124" s="1"/>
  <c r="G48" i="122"/>
  <c r="H48" i="122" s="1"/>
  <c r="H49" i="97"/>
  <c r="H49" i="116"/>
  <c r="K49" i="116" s="1"/>
  <c r="G49" i="120"/>
  <c r="I49" i="120"/>
  <c r="G49" i="124"/>
  <c r="H49" i="124" s="1"/>
  <c r="G49" i="122"/>
  <c r="H49" i="122" s="1"/>
  <c r="K49" i="122" s="1"/>
  <c r="H14" i="98"/>
  <c r="G14" i="121"/>
  <c r="H14" i="121" s="1"/>
  <c r="G14" i="123"/>
  <c r="H14" i="123" s="1"/>
  <c r="H15" i="98"/>
  <c r="G15" i="121"/>
  <c r="H15" i="121" s="1"/>
  <c r="G15" i="123"/>
  <c r="H15" i="123" s="1"/>
  <c r="H16" i="98"/>
  <c r="G16" i="121"/>
  <c r="H16" i="121" s="1"/>
  <c r="J16" i="121" s="1"/>
  <c r="G16" i="123"/>
  <c r="H16" i="123" s="1"/>
  <c r="H17" i="98"/>
  <c r="G17" i="121"/>
  <c r="H17" i="121" s="1"/>
  <c r="G17" i="123"/>
  <c r="H17" i="123" s="1"/>
  <c r="H18" i="98"/>
  <c r="G18" i="121"/>
  <c r="H18" i="121" s="1"/>
  <c r="G18" i="123"/>
  <c r="H18" i="123" s="1"/>
  <c r="H19" i="98"/>
  <c r="G19" i="121"/>
  <c r="H19" i="121" s="1"/>
  <c r="G19" i="123"/>
  <c r="H19" i="123" s="1"/>
  <c r="H20" i="98"/>
  <c r="G20" i="121"/>
  <c r="H20" i="121" s="1"/>
  <c r="G20" i="123"/>
  <c r="H20" i="123" s="1"/>
  <c r="H21" i="98"/>
  <c r="G21" i="121"/>
  <c r="H21" i="121" s="1"/>
  <c r="G21" i="123"/>
  <c r="H21" i="123" s="1"/>
  <c r="H22" i="98"/>
  <c r="G22" i="121"/>
  <c r="H22" i="121" s="1"/>
  <c r="G22" i="123"/>
  <c r="H22" i="123" s="1"/>
  <c r="H23" i="98"/>
  <c r="G23" i="121"/>
  <c r="H23" i="121" s="1"/>
  <c r="G23" i="123"/>
  <c r="H23" i="123" s="1"/>
  <c r="H24" i="98"/>
  <c r="G24" i="121"/>
  <c r="H24" i="121" s="1"/>
  <c r="G24" i="123"/>
  <c r="H24" i="123" s="1"/>
  <c r="H25" i="98"/>
  <c r="G25" i="121"/>
  <c r="H25" i="121" s="1"/>
  <c r="G25" i="123"/>
  <c r="H25" i="123" s="1"/>
  <c r="H26" i="98"/>
  <c r="G26" i="121"/>
  <c r="H26" i="121" s="1"/>
  <c r="G26" i="123"/>
  <c r="H26" i="123" s="1"/>
  <c r="H27" i="98"/>
  <c r="G27" i="121"/>
  <c r="H27" i="121" s="1"/>
  <c r="G27" i="123"/>
  <c r="H27" i="123" s="1"/>
  <c r="H28" i="98"/>
  <c r="G28" i="121"/>
  <c r="H28" i="121" s="1"/>
  <c r="G28" i="123"/>
  <c r="H28" i="123" s="1"/>
  <c r="H14" i="99"/>
  <c r="G14" i="119"/>
  <c r="H14" i="119" s="1"/>
  <c r="G14" i="130"/>
  <c r="H14" i="130" s="1"/>
  <c r="H15" i="99"/>
  <c r="G15" i="119"/>
  <c r="H15" i="119" s="1"/>
  <c r="G15" i="130"/>
  <c r="H15" i="130" s="1"/>
  <c r="H16" i="99"/>
  <c r="G16" i="119"/>
  <c r="H16" i="119" s="1"/>
  <c r="G16" i="130"/>
  <c r="H16" i="130" s="1"/>
  <c r="H17" i="99"/>
  <c r="G17" i="119"/>
  <c r="H17" i="119" s="1"/>
  <c r="G17" i="130"/>
  <c r="H17" i="130" s="1"/>
  <c r="H18" i="99"/>
  <c r="G18" i="119"/>
  <c r="H18" i="119" s="1"/>
  <c r="G18" i="130"/>
  <c r="H18" i="130" s="1"/>
  <c r="J18" i="130" s="1"/>
  <c r="H19" i="99"/>
  <c r="G19" i="119"/>
  <c r="H19" i="119" s="1"/>
  <c r="G19" i="130"/>
  <c r="H19" i="130" s="1"/>
  <c r="H20" i="99"/>
  <c r="G20" i="119"/>
  <c r="H20" i="119" s="1"/>
  <c r="G20" i="130"/>
  <c r="H20" i="130" s="1"/>
  <c r="H21" i="99"/>
  <c r="G21" i="119"/>
  <c r="H21" i="119" s="1"/>
  <c r="K21" i="119" s="1"/>
  <c r="G21" i="130"/>
  <c r="H21" i="130" s="1"/>
  <c r="J21" i="130" s="1"/>
  <c r="H22" i="99"/>
  <c r="G22" i="119"/>
  <c r="H22" i="119" s="1"/>
  <c r="G22" i="130"/>
  <c r="H22" i="130" s="1"/>
  <c r="H23" i="99"/>
  <c r="G23" i="119"/>
  <c r="H23" i="119" s="1"/>
  <c r="G23" i="130"/>
  <c r="H23" i="130" s="1"/>
  <c r="H24" i="99"/>
  <c r="G24" i="119"/>
  <c r="H24" i="119" s="1"/>
  <c r="G24" i="130"/>
  <c r="H24" i="130" s="1"/>
  <c r="H25" i="99"/>
  <c r="G25" i="119"/>
  <c r="H25" i="119" s="1"/>
  <c r="K25" i="119" s="1"/>
  <c r="G25" i="130"/>
  <c r="H25" i="130" s="1"/>
  <c r="H26" i="99"/>
  <c r="G26" i="119"/>
  <c r="H26" i="119" s="1"/>
  <c r="G26" i="130"/>
  <c r="H26" i="130" s="1"/>
  <c r="H27" i="99"/>
  <c r="G27" i="119"/>
  <c r="H27" i="119" s="1"/>
  <c r="G27" i="130"/>
  <c r="H27" i="130" s="1"/>
  <c r="J27" i="130" s="1"/>
  <c r="H28" i="99"/>
  <c r="G28" i="119"/>
  <c r="H28" i="119" s="1"/>
  <c r="K28" i="119" s="1"/>
  <c r="G28" i="130"/>
  <c r="H28" i="130" s="1"/>
  <c r="J28" i="130" s="1"/>
  <c r="H29" i="99"/>
  <c r="G29" i="119"/>
  <c r="H29" i="119" s="1"/>
  <c r="G29" i="130"/>
  <c r="H29" i="130" s="1"/>
  <c r="G30" i="130"/>
  <c r="H30" i="130" s="1"/>
  <c r="G16" i="86"/>
  <c r="D31" i="141" s="1"/>
  <c r="E11" i="105"/>
  <c r="E10" i="3"/>
  <c r="C17" i="91"/>
  <c r="I9" i="125"/>
  <c r="I78" i="114"/>
  <c r="I79" i="114"/>
  <c r="I80" i="114"/>
  <c r="I81" i="114"/>
  <c r="I82" i="114"/>
  <c r="I83" i="114"/>
  <c r="I84" i="114"/>
  <c r="I85" i="114"/>
  <c r="I86" i="114"/>
  <c r="I77" i="114"/>
  <c r="I73" i="114"/>
  <c r="I74" i="114"/>
  <c r="I75" i="114"/>
  <c r="I76" i="114"/>
  <c r="I72" i="114"/>
  <c r="D18" i="133"/>
  <c r="D55" i="133"/>
  <c r="E55" i="133" s="1"/>
  <c r="F55" i="133" s="1"/>
  <c r="D74" i="133"/>
  <c r="E74" i="133" s="1"/>
  <c r="F74" i="133" s="1"/>
  <c r="D78" i="133"/>
  <c r="E78" i="133" s="1"/>
  <c r="F78" i="133" s="1"/>
  <c r="B65" i="133"/>
  <c r="H65" i="133" s="1"/>
  <c r="B66" i="133"/>
  <c r="H66" i="133" s="1"/>
  <c r="B67" i="133"/>
  <c r="H67" i="133" s="1"/>
  <c r="B68" i="133"/>
  <c r="H68" i="133" s="1"/>
  <c r="B69" i="133"/>
  <c r="H69" i="133" s="1"/>
  <c r="B70" i="133"/>
  <c r="H70" i="133" s="1"/>
  <c r="B71" i="133"/>
  <c r="H71" i="133" s="1"/>
  <c r="B72" i="133"/>
  <c r="H72" i="133" s="1"/>
  <c r="B73" i="133"/>
  <c r="H73" i="133" s="1"/>
  <c r="B74" i="133"/>
  <c r="H74" i="133" s="1"/>
  <c r="B75" i="133"/>
  <c r="H75" i="133" s="1"/>
  <c r="B76" i="133"/>
  <c r="H76" i="133" s="1"/>
  <c r="B77" i="133"/>
  <c r="H77" i="133" s="1"/>
  <c r="B78" i="133"/>
  <c r="B64" i="133"/>
  <c r="H64" i="133" s="1"/>
  <c r="B49" i="133"/>
  <c r="H49" i="133" s="1"/>
  <c r="B50" i="133"/>
  <c r="H50" i="133" s="1"/>
  <c r="B51" i="133"/>
  <c r="H51" i="133" s="1"/>
  <c r="B52" i="133"/>
  <c r="H52" i="133" s="1"/>
  <c r="B53" i="133"/>
  <c r="H53" i="133" s="1"/>
  <c r="B54" i="133"/>
  <c r="H54" i="133" s="1"/>
  <c r="B55" i="133"/>
  <c r="H55" i="133" s="1"/>
  <c r="B56" i="133"/>
  <c r="H56" i="133" s="1"/>
  <c r="B57" i="133"/>
  <c r="H57" i="133" s="1"/>
  <c r="B58" i="133"/>
  <c r="H58" i="133" s="1"/>
  <c r="B59" i="133"/>
  <c r="H59" i="133" s="1"/>
  <c r="B60" i="133"/>
  <c r="H60" i="133" s="1"/>
  <c r="B61" i="133"/>
  <c r="H61" i="133" s="1"/>
  <c r="B62" i="133"/>
  <c r="H62" i="133" s="1"/>
  <c r="B48" i="133"/>
  <c r="H48" i="133" s="1"/>
  <c r="B12" i="133"/>
  <c r="H12" i="133" s="1"/>
  <c r="B13" i="133"/>
  <c r="H13" i="133" s="1"/>
  <c r="B14" i="133"/>
  <c r="H14" i="133" s="1"/>
  <c r="B15" i="133"/>
  <c r="H15" i="133" s="1"/>
  <c r="B16" i="133"/>
  <c r="H16" i="133" s="1"/>
  <c r="B17" i="133"/>
  <c r="H17" i="133" s="1"/>
  <c r="B18" i="133"/>
  <c r="H18" i="133" s="1"/>
  <c r="B19" i="133"/>
  <c r="H19" i="133" s="1"/>
  <c r="B20" i="133"/>
  <c r="H20" i="133" s="1"/>
  <c r="B21" i="133"/>
  <c r="H21" i="133" s="1"/>
  <c r="B22" i="133"/>
  <c r="H22" i="133" s="1"/>
  <c r="B23" i="133"/>
  <c r="H23" i="133" s="1"/>
  <c r="B24" i="133"/>
  <c r="H24" i="133" s="1"/>
  <c r="B25" i="133"/>
  <c r="H25" i="133" s="1"/>
  <c r="B26" i="133"/>
  <c r="H26" i="133" s="1"/>
  <c r="B27" i="133"/>
  <c r="H27" i="133" s="1"/>
  <c r="B28" i="133"/>
  <c r="H28" i="133" s="1"/>
  <c r="B29" i="133"/>
  <c r="H29" i="133" s="1"/>
  <c r="B30" i="133"/>
  <c r="H30" i="133" s="1"/>
  <c r="B31" i="133"/>
  <c r="H31" i="133" s="1"/>
  <c r="B32" i="133"/>
  <c r="H32" i="133" s="1"/>
  <c r="B33" i="133"/>
  <c r="H33" i="133" s="1"/>
  <c r="B34" i="133"/>
  <c r="H34" i="133" s="1"/>
  <c r="B35" i="133"/>
  <c r="H35" i="133" s="1"/>
  <c r="B36" i="133"/>
  <c r="H36" i="133" s="1"/>
  <c r="B37" i="133"/>
  <c r="H37" i="133" s="1"/>
  <c r="B38" i="133"/>
  <c r="H38" i="133" s="1"/>
  <c r="B39" i="133"/>
  <c r="H39" i="133" s="1"/>
  <c r="B40" i="133"/>
  <c r="H40" i="133" s="1"/>
  <c r="B41" i="133"/>
  <c r="H41" i="133" s="1"/>
  <c r="B42" i="133"/>
  <c r="H42" i="133" s="1"/>
  <c r="B43" i="133"/>
  <c r="H43" i="133" s="1"/>
  <c r="B44" i="133"/>
  <c r="H44" i="133" s="1"/>
  <c r="B45" i="133"/>
  <c r="H45" i="133" s="1"/>
  <c r="B46" i="133"/>
  <c r="H46" i="133" s="1"/>
  <c r="B11" i="133"/>
  <c r="H11" i="133" s="1"/>
  <c r="N9" i="133"/>
  <c r="D29" i="131"/>
  <c r="O29" i="131" s="1"/>
  <c r="D26" i="131"/>
  <c r="O26" i="131" s="1"/>
  <c r="O59" i="132"/>
  <c r="O58" i="132"/>
  <c r="O57" i="132" s="1"/>
  <c r="V56" i="132"/>
  <c r="M56" i="132"/>
  <c r="D56" i="132"/>
  <c r="H55" i="132"/>
  <c r="F55" i="132"/>
  <c r="M55" i="132" s="1"/>
  <c r="X27" i="132" s="1"/>
  <c r="V54" i="132"/>
  <c r="M54" i="132"/>
  <c r="O54" i="132" s="1"/>
  <c r="V53" i="132"/>
  <c r="V52" i="132"/>
  <c r="O51" i="132"/>
  <c r="V50" i="132"/>
  <c r="F50" i="132"/>
  <c r="V49" i="132"/>
  <c r="L49" i="132"/>
  <c r="J49" i="132"/>
  <c r="H49" i="132"/>
  <c r="F49" i="132"/>
  <c r="V48" i="132"/>
  <c r="L48" i="132"/>
  <c r="J48" i="132"/>
  <c r="H48" i="132"/>
  <c r="F48" i="132"/>
  <c r="V47" i="132"/>
  <c r="M43" i="132"/>
  <c r="U25" i="132" s="1"/>
  <c r="U28" i="132" s="1"/>
  <c r="O42" i="132"/>
  <c r="S41" i="132"/>
  <c r="S40" i="132"/>
  <c r="F39" i="132"/>
  <c r="H39" i="132"/>
  <c r="S38" i="132"/>
  <c r="O38" i="132"/>
  <c r="O37" i="132"/>
  <c r="O36" i="132"/>
  <c r="F34" i="132"/>
  <c r="M34" i="132" s="1"/>
  <c r="O34" i="132" s="1"/>
  <c r="O31" i="132"/>
  <c r="O30" i="132"/>
  <c r="D29" i="132"/>
  <c r="O29" i="132" s="1"/>
  <c r="J27" i="132"/>
  <c r="H27" i="132"/>
  <c r="F27" i="132"/>
  <c r="M26" i="132"/>
  <c r="M25" i="132"/>
  <c r="T25" i="132" s="1"/>
  <c r="O24" i="132"/>
  <c r="O20" i="132"/>
  <c r="O19" i="132"/>
  <c r="O18" i="132"/>
  <c r="O17" i="132"/>
  <c r="O16" i="132"/>
  <c r="O35" i="131"/>
  <c r="O34" i="131"/>
  <c r="O33" i="131" s="1"/>
  <c r="S16" i="131" s="1"/>
  <c r="M32" i="131"/>
  <c r="D32" i="131"/>
  <c r="O30" i="131"/>
  <c r="O27" i="131"/>
  <c r="D25" i="131"/>
  <c r="O25" i="131" s="1"/>
  <c r="U13" i="131" s="1"/>
  <c r="U14" i="131" s="1"/>
  <c r="O23" i="131"/>
  <c r="O53" i="132"/>
  <c r="AE11" i="113"/>
  <c r="AD11" i="113"/>
  <c r="AG12" i="105"/>
  <c r="AG13" i="105"/>
  <c r="F30" i="99"/>
  <c r="B14" i="130"/>
  <c r="B15" i="130"/>
  <c r="B16" i="130"/>
  <c r="B17" i="130"/>
  <c r="B18" i="130"/>
  <c r="B19" i="130"/>
  <c r="B20" i="130"/>
  <c r="B21" i="130"/>
  <c r="B22" i="130"/>
  <c r="B23" i="130"/>
  <c r="B24" i="130"/>
  <c r="B25" i="130"/>
  <c r="B26" i="130"/>
  <c r="B27" i="130"/>
  <c r="B28" i="130"/>
  <c r="B29" i="130"/>
  <c r="J20" i="130"/>
  <c r="F31" i="130"/>
  <c r="X12" i="113"/>
  <c r="M12" i="113"/>
  <c r="N12" i="113"/>
  <c r="P12" i="113"/>
  <c r="U12" i="113"/>
  <c r="Z12" i="113"/>
  <c r="AA12" i="113"/>
  <c r="AC12" i="113"/>
  <c r="Y13" i="113"/>
  <c r="J13" i="113"/>
  <c r="H11" i="113"/>
  <c r="I11" i="113"/>
  <c r="G34" i="71"/>
  <c r="G33" i="71" s="1"/>
  <c r="G13" i="77"/>
  <c r="G14" i="77" s="1"/>
  <c r="AD12" i="105"/>
  <c r="AD11" i="105"/>
  <c r="C12" i="105"/>
  <c r="D12" i="105"/>
  <c r="E12" i="105"/>
  <c r="G12" i="105"/>
  <c r="I12" i="105"/>
  <c r="K12" i="105"/>
  <c r="L12" i="105"/>
  <c r="M12" i="105"/>
  <c r="O12" i="105"/>
  <c r="Q12" i="105"/>
  <c r="S12" i="105"/>
  <c r="T12" i="105"/>
  <c r="U12" i="105"/>
  <c r="W12" i="105"/>
  <c r="X12" i="105"/>
  <c r="Y12" i="105"/>
  <c r="Z12" i="105"/>
  <c r="O54" i="129"/>
  <c r="O53" i="129" s="1"/>
  <c r="M52" i="129"/>
  <c r="D52" i="129"/>
  <c r="O51" i="129"/>
  <c r="D50" i="129"/>
  <c r="O50" i="129" s="1"/>
  <c r="D49" i="129"/>
  <c r="O49" i="129" s="1"/>
  <c r="M48" i="129"/>
  <c r="D48" i="129"/>
  <c r="M45" i="129"/>
  <c r="O45" i="129" s="1"/>
  <c r="T14" i="129" s="1"/>
  <c r="T15" i="129" s="1"/>
  <c r="O44" i="129"/>
  <c r="M42" i="129"/>
  <c r="V13" i="129" s="1"/>
  <c r="M40" i="129"/>
  <c r="D40" i="129"/>
  <c r="M39" i="129"/>
  <c r="D39" i="129"/>
  <c r="M38" i="129"/>
  <c r="O38" i="129" s="1"/>
  <c r="O25" i="129"/>
  <c r="M37" i="129"/>
  <c r="X13" i="129" s="1"/>
  <c r="D37" i="129"/>
  <c r="D36" i="129"/>
  <c r="O36" i="129" s="1"/>
  <c r="D35" i="129"/>
  <c r="O35" i="129" s="1"/>
  <c r="D34" i="129"/>
  <c r="O34" i="129" s="1"/>
  <c r="AD14" i="129" s="1"/>
  <c r="AD15" i="129" s="1"/>
  <c r="M33" i="129"/>
  <c r="M23" i="129"/>
  <c r="D33" i="129"/>
  <c r="M30" i="129"/>
  <c r="O30" i="129" s="1"/>
  <c r="M29" i="129"/>
  <c r="O29" i="129" s="1"/>
  <c r="M26" i="129"/>
  <c r="D26" i="129"/>
  <c r="D24" i="129"/>
  <c r="O24" i="129" s="1"/>
  <c r="D23" i="129"/>
  <c r="AA15" i="129"/>
  <c r="AD13" i="129"/>
  <c r="AB13" i="129"/>
  <c r="Z13" i="129"/>
  <c r="G15" i="128"/>
  <c r="G16" i="128"/>
  <c r="H16" i="128" s="1"/>
  <c r="J16" i="128" s="1"/>
  <c r="G17" i="128"/>
  <c r="H17" i="128" s="1"/>
  <c r="J17" i="128" s="1"/>
  <c r="G18" i="128"/>
  <c r="H18" i="128" s="1"/>
  <c r="J18" i="128" s="1"/>
  <c r="G19" i="128"/>
  <c r="H19" i="128" s="1"/>
  <c r="J19" i="128" s="1"/>
  <c r="G20" i="128"/>
  <c r="H20" i="128" s="1"/>
  <c r="J20" i="128" s="1"/>
  <c r="G21" i="128"/>
  <c r="H21" i="128" s="1"/>
  <c r="G22" i="128"/>
  <c r="H22" i="128" s="1"/>
  <c r="J22" i="128" s="1"/>
  <c r="G23" i="128"/>
  <c r="H23" i="128" s="1"/>
  <c r="J23" i="128" s="1"/>
  <c r="G24" i="128"/>
  <c r="H24" i="128" s="1"/>
  <c r="J24" i="128" s="1"/>
  <c r="G25" i="128"/>
  <c r="H25" i="128" s="1"/>
  <c r="G26" i="128"/>
  <c r="H26" i="128" s="1"/>
  <c r="J26" i="128" s="1"/>
  <c r="G27" i="128"/>
  <c r="G28" i="128"/>
  <c r="H28" i="128" s="1"/>
  <c r="J28" i="128" s="1"/>
  <c r="G29" i="128"/>
  <c r="G30" i="128"/>
  <c r="H30" i="128" s="1"/>
  <c r="J30" i="128" s="1"/>
  <c r="G14" i="128"/>
  <c r="H14" i="128" s="1"/>
  <c r="G29" i="123"/>
  <c r="H29" i="123" s="1"/>
  <c r="J29" i="123" s="1"/>
  <c r="G50" i="122"/>
  <c r="H50" i="122" s="1"/>
  <c r="K50" i="122" s="1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B27" i="128"/>
  <c r="B28" i="128"/>
  <c r="B29" i="128"/>
  <c r="B14" i="128"/>
  <c r="F31" i="128"/>
  <c r="H27" i="128"/>
  <c r="J27" i="128" s="1"/>
  <c r="J25" i="128"/>
  <c r="J21" i="128"/>
  <c r="H15" i="128"/>
  <c r="J15" i="128" s="1"/>
  <c r="G29" i="121"/>
  <c r="H29" i="121" s="1"/>
  <c r="J29" i="121" s="1"/>
  <c r="G50" i="120"/>
  <c r="I50" i="120"/>
  <c r="D13" i="105"/>
  <c r="F13" i="105"/>
  <c r="G13" i="105"/>
  <c r="H13" i="105"/>
  <c r="I13" i="105"/>
  <c r="J13" i="105"/>
  <c r="K13" i="105"/>
  <c r="L13" i="105"/>
  <c r="M13" i="105"/>
  <c r="N13" i="105"/>
  <c r="O13" i="105"/>
  <c r="Q13" i="105"/>
  <c r="R13" i="105"/>
  <c r="S13" i="105"/>
  <c r="T13" i="105"/>
  <c r="U13" i="105"/>
  <c r="V13" i="105"/>
  <c r="W13" i="105"/>
  <c r="X13" i="105"/>
  <c r="X11" i="105"/>
  <c r="Y13" i="105"/>
  <c r="Z13" i="105"/>
  <c r="AA13" i="105"/>
  <c r="AA12" i="105"/>
  <c r="AB11" i="105"/>
  <c r="AE13" i="105"/>
  <c r="AE11" i="105"/>
  <c r="AE12" i="105"/>
  <c r="E13" i="113"/>
  <c r="F13" i="113"/>
  <c r="I13" i="113"/>
  <c r="K13" i="113"/>
  <c r="N13" i="113"/>
  <c r="O13" i="113"/>
  <c r="R13" i="113"/>
  <c r="S13" i="113"/>
  <c r="T13" i="113"/>
  <c r="U13" i="113"/>
  <c r="V13" i="113"/>
  <c r="Z13" i="113"/>
  <c r="AA13" i="113"/>
  <c r="AB13" i="113"/>
  <c r="AF12" i="113"/>
  <c r="AG13" i="113"/>
  <c r="D11" i="113"/>
  <c r="E11" i="113"/>
  <c r="G11" i="113"/>
  <c r="K11" i="113"/>
  <c r="L11" i="113"/>
  <c r="O11" i="113"/>
  <c r="P11" i="113"/>
  <c r="Q11" i="113"/>
  <c r="R11" i="113"/>
  <c r="S11" i="113"/>
  <c r="U11" i="113"/>
  <c r="W11" i="113"/>
  <c r="Z11" i="113"/>
  <c r="AB11" i="113"/>
  <c r="AC11" i="113"/>
  <c r="AG11" i="113"/>
  <c r="E12" i="113"/>
  <c r="H12" i="113"/>
  <c r="I12" i="113"/>
  <c r="I352" i="125"/>
  <c r="D352" i="125"/>
  <c r="D271" i="125"/>
  <c r="I261" i="125"/>
  <c r="D261" i="125"/>
  <c r="I250" i="125"/>
  <c r="D250" i="125"/>
  <c r="I240" i="125"/>
  <c r="D240" i="125"/>
  <c r="I230" i="125"/>
  <c r="D230" i="125"/>
  <c r="I220" i="125"/>
  <c r="D220" i="125"/>
  <c r="I210" i="125"/>
  <c r="D210" i="125"/>
  <c r="I200" i="125"/>
  <c r="D200" i="125"/>
  <c r="O47" i="127"/>
  <c r="O46" i="127" s="1"/>
  <c r="M45" i="127"/>
  <c r="D45" i="127"/>
  <c r="M44" i="127"/>
  <c r="O44" i="127" s="1"/>
  <c r="M42" i="127"/>
  <c r="Q42" i="127" s="1"/>
  <c r="M39" i="127"/>
  <c r="Q39" i="127" s="1"/>
  <c r="O38" i="127"/>
  <c r="D37" i="127"/>
  <c r="O37" i="127" s="1"/>
  <c r="Q32" i="127"/>
  <c r="M31" i="127"/>
  <c r="O30" i="127"/>
  <c r="M29" i="127"/>
  <c r="D29" i="127"/>
  <c r="O29" i="127" s="1"/>
  <c r="D28" i="127"/>
  <c r="O28" i="127" s="1"/>
  <c r="O27" i="127"/>
  <c r="M24" i="127"/>
  <c r="Q24" i="127" s="1"/>
  <c r="O23" i="127"/>
  <c r="W20" i="127"/>
  <c r="V20" i="127"/>
  <c r="U20" i="127"/>
  <c r="O20" i="127"/>
  <c r="O19" i="127"/>
  <c r="O18" i="127"/>
  <c r="O16" i="127"/>
  <c r="O17" i="127"/>
  <c r="B346" i="125"/>
  <c r="I187" i="125"/>
  <c r="D187" i="125"/>
  <c r="I177" i="125"/>
  <c r="D177" i="125"/>
  <c r="I167" i="125"/>
  <c r="D167" i="125"/>
  <c r="I157" i="125"/>
  <c r="D157" i="125"/>
  <c r="I147" i="125"/>
  <c r="D147" i="125"/>
  <c r="I137" i="125"/>
  <c r="D137" i="125"/>
  <c r="I124" i="125"/>
  <c r="D124" i="125"/>
  <c r="I114" i="125"/>
  <c r="D114" i="125"/>
  <c r="I84" i="125"/>
  <c r="I74" i="125"/>
  <c r="D74" i="125"/>
  <c r="I59" i="125"/>
  <c r="D59" i="125"/>
  <c r="I49" i="125"/>
  <c r="D49" i="125"/>
  <c r="I39" i="125"/>
  <c r="D39" i="125"/>
  <c r="I29" i="125"/>
  <c r="I19" i="125"/>
  <c r="D9" i="125"/>
  <c r="F2" i="125"/>
  <c r="A12" i="125" s="1"/>
  <c r="F12" i="125" s="1"/>
  <c r="J50" i="124"/>
  <c r="F50" i="124"/>
  <c r="B49" i="124"/>
  <c r="B48" i="124"/>
  <c r="B47" i="124"/>
  <c r="B46" i="124"/>
  <c r="B45" i="124"/>
  <c r="B44" i="124"/>
  <c r="B43" i="124"/>
  <c r="B42" i="124"/>
  <c r="B41" i="124"/>
  <c r="B40" i="124"/>
  <c r="B39" i="124"/>
  <c r="B38" i="124"/>
  <c r="B37" i="124"/>
  <c r="B36" i="124"/>
  <c r="B35" i="124"/>
  <c r="B34" i="124"/>
  <c r="B33" i="124"/>
  <c r="B32" i="124"/>
  <c r="B31" i="124"/>
  <c r="B30" i="124"/>
  <c r="B29" i="124"/>
  <c r="B28" i="124"/>
  <c r="B27" i="124"/>
  <c r="B26" i="124"/>
  <c r="B25" i="124"/>
  <c r="B24" i="124"/>
  <c r="B23" i="124"/>
  <c r="B22" i="124"/>
  <c r="B21" i="124"/>
  <c r="B20" i="124"/>
  <c r="B19" i="124"/>
  <c r="B18" i="124"/>
  <c r="B17" i="124"/>
  <c r="B16" i="124"/>
  <c r="B15" i="124"/>
  <c r="B14" i="124"/>
  <c r="H51" i="120"/>
  <c r="F30" i="123"/>
  <c r="B28" i="123"/>
  <c r="B27" i="123"/>
  <c r="B26" i="123"/>
  <c r="B25" i="123"/>
  <c r="B24" i="123"/>
  <c r="B23" i="123"/>
  <c r="B22" i="123"/>
  <c r="B21" i="123"/>
  <c r="B20" i="123"/>
  <c r="B19" i="123"/>
  <c r="B18" i="123"/>
  <c r="B17" i="123"/>
  <c r="B16" i="123"/>
  <c r="B15" i="123"/>
  <c r="B14" i="123"/>
  <c r="J51" i="122"/>
  <c r="F51" i="122"/>
  <c r="B49" i="122"/>
  <c r="B48" i="122"/>
  <c r="B47" i="122"/>
  <c r="B46" i="122"/>
  <c r="B45" i="122"/>
  <c r="B44" i="122"/>
  <c r="B43" i="122"/>
  <c r="B42" i="122"/>
  <c r="B41" i="122"/>
  <c r="B40" i="122"/>
  <c r="B39" i="122"/>
  <c r="B38" i="122"/>
  <c r="B37" i="122"/>
  <c r="B36" i="122"/>
  <c r="B35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B22" i="122"/>
  <c r="B21" i="122"/>
  <c r="B20" i="122"/>
  <c r="B19" i="122"/>
  <c r="B18" i="122"/>
  <c r="B17" i="122"/>
  <c r="B16" i="122"/>
  <c r="B15" i="122"/>
  <c r="B14" i="122"/>
  <c r="F30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L51" i="120"/>
  <c r="F51" i="120"/>
  <c r="B49" i="120"/>
  <c r="B48" i="120"/>
  <c r="B47" i="120"/>
  <c r="B46" i="120"/>
  <c r="B45" i="120"/>
  <c r="B44" i="120"/>
  <c r="B43" i="120"/>
  <c r="B42" i="120"/>
  <c r="B41" i="120"/>
  <c r="B40" i="120"/>
  <c r="B39" i="120"/>
  <c r="B38" i="120"/>
  <c r="B37" i="120"/>
  <c r="B36" i="120"/>
  <c r="B35" i="120"/>
  <c r="B34" i="120"/>
  <c r="B33" i="120"/>
  <c r="B32" i="120"/>
  <c r="B31" i="120"/>
  <c r="B30" i="120"/>
  <c r="B29" i="120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K17" i="122"/>
  <c r="K25" i="122"/>
  <c r="K27" i="122"/>
  <c r="K23" i="122"/>
  <c r="K15" i="122"/>
  <c r="K32" i="122"/>
  <c r="K38" i="122"/>
  <c r="K35" i="124"/>
  <c r="K42" i="124"/>
  <c r="K30" i="124"/>
  <c r="K26" i="124"/>
  <c r="K22" i="124"/>
  <c r="K23" i="124"/>
  <c r="K31" i="124"/>
  <c r="K17" i="124"/>
  <c r="K36" i="124"/>
  <c r="K19" i="124"/>
  <c r="K39" i="124"/>
  <c r="J30" i="119"/>
  <c r="F30" i="119"/>
  <c r="D16" i="108"/>
  <c r="D29" i="108"/>
  <c r="D33" i="108"/>
  <c r="D38" i="108"/>
  <c r="D41" i="108"/>
  <c r="D45" i="108"/>
  <c r="D14" i="108"/>
  <c r="K29" i="116"/>
  <c r="J22" i="98"/>
  <c r="K16" i="99"/>
  <c r="S40" i="58"/>
  <c r="S44" i="58"/>
  <c r="C63" i="5"/>
  <c r="C68" i="5"/>
  <c r="C22" i="89"/>
  <c r="D51" i="118"/>
  <c r="O48" i="118"/>
  <c r="O47" i="118"/>
  <c r="O46" i="118" s="1"/>
  <c r="M45" i="118"/>
  <c r="D45" i="118"/>
  <c r="M44" i="118"/>
  <c r="D44" i="118"/>
  <c r="M41" i="118"/>
  <c r="O41" i="118" s="1"/>
  <c r="M40" i="118"/>
  <c r="D40" i="118"/>
  <c r="O39" i="118"/>
  <c r="D38" i="118"/>
  <c r="O38" i="118" s="1"/>
  <c r="M36" i="118"/>
  <c r="O36" i="118" s="1"/>
  <c r="V30" i="118" s="1"/>
  <c r="V31" i="118" s="1"/>
  <c r="M35" i="118"/>
  <c r="S35" i="118" s="1"/>
  <c r="M32" i="118"/>
  <c r="D32" i="118"/>
  <c r="O31" i="118"/>
  <c r="D30" i="118"/>
  <c r="O30" i="118" s="1"/>
  <c r="T29" i="118"/>
  <c r="S29" i="118"/>
  <c r="M28" i="118"/>
  <c r="D28" i="118"/>
  <c r="M26" i="118"/>
  <c r="D26" i="118"/>
  <c r="F25" i="118"/>
  <c r="M24" i="118" s="1"/>
  <c r="D24" i="118"/>
  <c r="O23" i="118"/>
  <c r="D22" i="118"/>
  <c r="O22" i="118" s="1"/>
  <c r="O15" i="118"/>
  <c r="O61" i="117"/>
  <c r="O60" i="117" s="1"/>
  <c r="M58" i="117"/>
  <c r="O58" i="117" s="1"/>
  <c r="O57" i="117" s="1"/>
  <c r="M55" i="117"/>
  <c r="R55" i="117" s="1"/>
  <c r="M54" i="117"/>
  <c r="D54" i="117"/>
  <c r="O53" i="117"/>
  <c r="D52" i="117"/>
  <c r="O52" i="117" s="1"/>
  <c r="D51" i="117"/>
  <c r="O51" i="117" s="1"/>
  <c r="M50" i="117"/>
  <c r="O50" i="117" s="1"/>
  <c r="M42" i="117"/>
  <c r="R45" i="117" s="1"/>
  <c r="M39" i="117"/>
  <c r="O39" i="117" s="1"/>
  <c r="M37" i="117"/>
  <c r="M41" i="117" s="1"/>
  <c r="O41" i="117" s="1"/>
  <c r="D37" i="117"/>
  <c r="M36" i="117"/>
  <c r="D36" i="117"/>
  <c r="O35" i="117"/>
  <c r="D34" i="117"/>
  <c r="O34" i="117" s="1"/>
  <c r="D33" i="117"/>
  <c r="O33" i="117" s="1"/>
  <c r="O32" i="117"/>
  <c r="D31" i="117"/>
  <c r="O31" i="117" s="1"/>
  <c r="M28" i="117"/>
  <c r="O28" i="117" s="1"/>
  <c r="M25" i="117"/>
  <c r="D25" i="117"/>
  <c r="O24" i="117"/>
  <c r="D23" i="117"/>
  <c r="O23" i="117" s="1"/>
  <c r="AA22" i="117"/>
  <c r="Z22" i="117"/>
  <c r="Y22" i="117"/>
  <c r="X22" i="117"/>
  <c r="D22" i="117"/>
  <c r="O22" i="117" s="1"/>
  <c r="O19" i="117"/>
  <c r="O18" i="117"/>
  <c r="O16" i="117"/>
  <c r="O17" i="117"/>
  <c r="AD13" i="113"/>
  <c r="L13" i="113"/>
  <c r="H13" i="113"/>
  <c r="D13" i="113"/>
  <c r="C13" i="113"/>
  <c r="AE12" i="113"/>
  <c r="AB12" i="113"/>
  <c r="S12" i="113"/>
  <c r="R12" i="113"/>
  <c r="L12" i="113"/>
  <c r="K12" i="113"/>
  <c r="J12" i="113"/>
  <c r="D12" i="113"/>
  <c r="C12" i="113"/>
  <c r="AA11" i="113"/>
  <c r="V11" i="113"/>
  <c r="N11" i="113"/>
  <c r="C11" i="113"/>
  <c r="P37" i="58"/>
  <c r="P36" i="58"/>
  <c r="P35" i="58"/>
  <c r="J51" i="116"/>
  <c r="P13" i="100"/>
  <c r="R13" i="100" s="1"/>
  <c r="U13" i="100" s="1"/>
  <c r="P14" i="100"/>
  <c r="P15" i="100"/>
  <c r="U15" i="100" s="1"/>
  <c r="P12" i="100"/>
  <c r="C13" i="100"/>
  <c r="D91" i="114" s="1"/>
  <c r="C14" i="100"/>
  <c r="D92" i="114" s="1"/>
  <c r="D93" i="114"/>
  <c r="C12" i="100"/>
  <c r="D90" i="114" s="1"/>
  <c r="D70" i="114"/>
  <c r="L105" i="114"/>
  <c r="M71" i="114"/>
  <c r="L11" i="114"/>
  <c r="L50" i="114"/>
  <c r="M50" i="114"/>
  <c r="C49" i="114"/>
  <c r="C47" i="114"/>
  <c r="C46" i="114"/>
  <c r="C45" i="114"/>
  <c r="C44" i="114"/>
  <c r="C43" i="114"/>
  <c r="C42" i="114"/>
  <c r="C41" i="114"/>
  <c r="C40" i="114"/>
  <c r="C39" i="114"/>
  <c r="C38" i="114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M11" i="114"/>
  <c r="C66" i="5"/>
  <c r="M66" i="5" s="1"/>
  <c r="F12" i="105"/>
  <c r="H12" i="105"/>
  <c r="J12" i="105"/>
  <c r="N12" i="105"/>
  <c r="P12" i="105"/>
  <c r="R12" i="105"/>
  <c r="V12" i="105"/>
  <c r="AB12" i="105"/>
  <c r="AC12" i="105"/>
  <c r="AF12" i="105"/>
  <c r="AC13" i="113"/>
  <c r="AF13" i="113"/>
  <c r="Y12" i="113"/>
  <c r="AD12" i="113"/>
  <c r="AI11" i="94"/>
  <c r="AI12" i="94"/>
  <c r="G13" i="100" s="1"/>
  <c r="H13" i="100" s="1"/>
  <c r="AI13" i="94"/>
  <c r="AI14" i="94"/>
  <c r="G15" i="100" s="1"/>
  <c r="H15" i="100" s="1"/>
  <c r="AK11" i="94"/>
  <c r="D15" i="112"/>
  <c r="W6" i="112"/>
  <c r="X6" i="112" s="1"/>
  <c r="Y6" i="112" s="1"/>
  <c r="G25" i="86"/>
  <c r="H25" i="86" s="1"/>
  <c r="L25" i="86" s="1"/>
  <c r="N25" i="86"/>
  <c r="O25" i="86"/>
  <c r="H26" i="86"/>
  <c r="L26" i="86" s="1"/>
  <c r="P26" i="86" s="1"/>
  <c r="S26" i="86" s="1"/>
  <c r="V26" i="86" s="1"/>
  <c r="H29" i="86"/>
  <c r="L29" i="86" s="1"/>
  <c r="P29" i="86" s="1"/>
  <c r="S29" i="86" s="1"/>
  <c r="I18" i="86"/>
  <c r="I21" i="86"/>
  <c r="I23" i="86"/>
  <c r="J18" i="86"/>
  <c r="J21" i="86"/>
  <c r="J23" i="86"/>
  <c r="K18" i="86"/>
  <c r="K21" i="86"/>
  <c r="K23" i="86"/>
  <c r="M18" i="86"/>
  <c r="M21" i="86"/>
  <c r="M23" i="86"/>
  <c r="Q18" i="86"/>
  <c r="Q21" i="86"/>
  <c r="Q23" i="86"/>
  <c r="R18" i="86"/>
  <c r="R21" i="86"/>
  <c r="R23" i="86"/>
  <c r="T18" i="86"/>
  <c r="T21" i="86"/>
  <c r="T23" i="86"/>
  <c r="U18" i="86"/>
  <c r="U21" i="86"/>
  <c r="U23" i="86"/>
  <c r="Y27" i="86"/>
  <c r="O14" i="106"/>
  <c r="P14" i="106"/>
  <c r="J14" i="106"/>
  <c r="L14" i="106"/>
  <c r="G14" i="106"/>
  <c r="C19" i="89"/>
  <c r="J20" i="98"/>
  <c r="Y11" i="106"/>
  <c r="C23" i="91"/>
  <c r="C26" i="5"/>
  <c r="C28" i="5"/>
  <c r="C45" i="91"/>
  <c r="C45" i="5"/>
  <c r="C59" i="5"/>
  <c r="C64" i="5"/>
  <c r="C22" i="91"/>
  <c r="C25" i="5"/>
  <c r="C27" i="5"/>
  <c r="C33" i="91"/>
  <c r="C33" i="5"/>
  <c r="G33" i="5" s="1"/>
  <c r="K33" i="5" s="1"/>
  <c r="C34" i="5"/>
  <c r="C35" i="5"/>
  <c r="C41" i="5"/>
  <c r="C43" i="5"/>
  <c r="C76" i="5"/>
  <c r="L76" i="5" s="1"/>
  <c r="C77" i="5"/>
  <c r="L77" i="5" s="1"/>
  <c r="C80" i="5"/>
  <c r="L80" i="5" s="1"/>
  <c r="C81" i="5"/>
  <c r="L81" i="5" s="1"/>
  <c r="C74" i="5"/>
  <c r="Z27" i="106"/>
  <c r="V27" i="106"/>
  <c r="V29" i="106" s="1"/>
  <c r="Y23" i="106"/>
  <c r="Y22" i="106"/>
  <c r="Y21" i="106"/>
  <c r="Z16" i="106"/>
  <c r="Z15" i="106"/>
  <c r="Z14" i="106"/>
  <c r="M13" i="106"/>
  <c r="I13" i="106"/>
  <c r="I14" i="106" s="1"/>
  <c r="H13" i="106"/>
  <c r="H14" i="106" s="1"/>
  <c r="U13" i="89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15" i="90"/>
  <c r="Y19" i="106"/>
  <c r="N14" i="106"/>
  <c r="R13" i="106"/>
  <c r="R14" i="106" s="1"/>
  <c r="D11" i="105"/>
  <c r="E13" i="105"/>
  <c r="F11" i="105"/>
  <c r="G11" i="105"/>
  <c r="H11" i="105"/>
  <c r="I11" i="105"/>
  <c r="J11" i="105"/>
  <c r="K11" i="105"/>
  <c r="L11" i="105"/>
  <c r="M11" i="105"/>
  <c r="N11" i="105"/>
  <c r="O11" i="105"/>
  <c r="P11" i="105"/>
  <c r="Q11" i="105"/>
  <c r="R11" i="105"/>
  <c r="S11" i="105"/>
  <c r="T11" i="105"/>
  <c r="U11" i="105"/>
  <c r="V11" i="105"/>
  <c r="AC11" i="105"/>
  <c r="AF11" i="105"/>
  <c r="AG11" i="105"/>
  <c r="C13" i="105"/>
  <c r="C37" i="91"/>
  <c r="C21" i="89"/>
  <c r="H11" i="59"/>
  <c r="H12" i="59"/>
  <c r="H13" i="59"/>
  <c r="H15" i="59"/>
  <c r="H16" i="59"/>
  <c r="H17" i="59"/>
  <c r="H18" i="59"/>
  <c r="H19" i="59"/>
  <c r="E9" i="88"/>
  <c r="E10" i="88"/>
  <c r="E11" i="88"/>
  <c r="E12" i="88"/>
  <c r="E13" i="88"/>
  <c r="C16" i="91"/>
  <c r="C18" i="91"/>
  <c r="C19" i="91"/>
  <c r="C20" i="91"/>
  <c r="C21" i="91"/>
  <c r="C24" i="91"/>
  <c r="C25" i="91"/>
  <c r="C26" i="91"/>
  <c r="C27" i="91"/>
  <c r="C28" i="91"/>
  <c r="C29" i="91"/>
  <c r="C30" i="91"/>
  <c r="C31" i="91"/>
  <c r="C32" i="91"/>
  <c r="C34" i="91"/>
  <c r="C35" i="91"/>
  <c r="C36" i="91"/>
  <c r="C38" i="91"/>
  <c r="C39" i="91"/>
  <c r="C40" i="91"/>
  <c r="C41" i="91"/>
  <c r="C42" i="91"/>
  <c r="C43" i="91"/>
  <c r="C44" i="91"/>
  <c r="C46" i="91"/>
  <c r="C47" i="91"/>
  <c r="C48" i="91"/>
  <c r="C49" i="91"/>
  <c r="C50" i="91"/>
  <c r="C51" i="91"/>
  <c r="C52" i="91"/>
  <c r="C16" i="89"/>
  <c r="C17" i="89"/>
  <c r="C18" i="89"/>
  <c r="C20" i="89"/>
  <c r="C69" i="5"/>
  <c r="C70" i="5"/>
  <c r="C71" i="5"/>
  <c r="C72" i="5"/>
  <c r="C73" i="5"/>
  <c r="C75" i="5"/>
  <c r="L75" i="5" s="1"/>
  <c r="C78" i="5"/>
  <c r="L78" i="5" s="1"/>
  <c r="C79" i="5"/>
  <c r="L79" i="5" s="1"/>
  <c r="C82" i="5"/>
  <c r="L82" i="5" s="1"/>
  <c r="N53" i="91"/>
  <c r="C13" i="5"/>
  <c r="C14" i="5"/>
  <c r="C15" i="5"/>
  <c r="C16" i="5"/>
  <c r="C17" i="5"/>
  <c r="C18" i="5"/>
  <c r="C19" i="5"/>
  <c r="C20" i="5"/>
  <c r="C21" i="5"/>
  <c r="C22" i="5"/>
  <c r="C23" i="5"/>
  <c r="C24" i="5"/>
  <c r="C29" i="5"/>
  <c r="C30" i="5"/>
  <c r="C31" i="5"/>
  <c r="C32" i="5"/>
  <c r="C36" i="5"/>
  <c r="C37" i="5"/>
  <c r="C38" i="5"/>
  <c r="C39" i="5"/>
  <c r="C40" i="5"/>
  <c r="C42" i="5"/>
  <c r="C44" i="5"/>
  <c r="C46" i="5"/>
  <c r="C47" i="5"/>
  <c r="C48" i="5"/>
  <c r="C49" i="5"/>
  <c r="O12" i="5"/>
  <c r="Q12" i="5"/>
  <c r="R12" i="5"/>
  <c r="M24" i="89"/>
  <c r="C22" i="105"/>
  <c r="D22" i="105"/>
  <c r="E22" i="105"/>
  <c r="F22" i="105"/>
  <c r="G22" i="105"/>
  <c r="H22" i="105"/>
  <c r="I22" i="105"/>
  <c r="J22" i="105"/>
  <c r="K22" i="105"/>
  <c r="L22" i="105"/>
  <c r="M22" i="105"/>
  <c r="N22" i="105"/>
  <c r="O22" i="105"/>
  <c r="P22" i="105"/>
  <c r="Q22" i="105"/>
  <c r="R22" i="105"/>
  <c r="S22" i="105"/>
  <c r="T22" i="105"/>
  <c r="U22" i="105"/>
  <c r="V22" i="105"/>
  <c r="W22" i="105"/>
  <c r="X22" i="105"/>
  <c r="Y22" i="105"/>
  <c r="Z22" i="105"/>
  <c r="AA22" i="105"/>
  <c r="AB22" i="105"/>
  <c r="AC22" i="105"/>
  <c r="AD22" i="105"/>
  <c r="AE22" i="105"/>
  <c r="AG22" i="105"/>
  <c r="AH21" i="105"/>
  <c r="AH20" i="105"/>
  <c r="AH19" i="105"/>
  <c r="P63" i="58"/>
  <c r="AC39" i="100"/>
  <c r="AB35" i="100"/>
  <c r="AB34" i="100"/>
  <c r="AB33" i="100"/>
  <c r="AC28" i="100"/>
  <c r="AC27" i="100"/>
  <c r="AA12" i="100"/>
  <c r="AB10" i="100"/>
  <c r="B19" i="98"/>
  <c r="B20" i="98"/>
  <c r="B15" i="99"/>
  <c r="B16" i="99"/>
  <c r="B17" i="99"/>
  <c r="B18" i="99"/>
  <c r="B19" i="99"/>
  <c r="B20" i="99"/>
  <c r="B21" i="99"/>
  <c r="B22" i="99"/>
  <c r="B23" i="99"/>
  <c r="B24" i="99"/>
  <c r="B25" i="99"/>
  <c r="B26" i="99"/>
  <c r="B27" i="99"/>
  <c r="B28" i="99"/>
  <c r="B14" i="99"/>
  <c r="J30" i="99"/>
  <c r="B15" i="98"/>
  <c r="B16" i="98"/>
  <c r="B17" i="98"/>
  <c r="B18" i="98"/>
  <c r="B21" i="98"/>
  <c r="B22" i="98"/>
  <c r="B23" i="98"/>
  <c r="B24" i="98"/>
  <c r="B25" i="98"/>
  <c r="B26" i="98"/>
  <c r="B27" i="98"/>
  <c r="B28" i="98"/>
  <c r="B14" i="98"/>
  <c r="F29" i="98"/>
  <c r="F50" i="97"/>
  <c r="K37" i="97"/>
  <c r="K45" i="97"/>
  <c r="B15" i="97"/>
  <c r="B17" i="104" s="1"/>
  <c r="B16" i="97"/>
  <c r="B22" i="101" s="1"/>
  <c r="B17" i="97"/>
  <c r="B27" i="104" s="1"/>
  <c r="B18" i="97"/>
  <c r="B32" i="104" s="1"/>
  <c r="B19" i="97"/>
  <c r="B37" i="104" s="1"/>
  <c r="B20" i="97"/>
  <c r="B42" i="101" s="1"/>
  <c r="B21" i="97"/>
  <c r="B47" i="104" s="1"/>
  <c r="B22" i="97"/>
  <c r="B52" i="104" s="1"/>
  <c r="B23" i="97"/>
  <c r="B57" i="101" s="1"/>
  <c r="B24" i="97"/>
  <c r="B62" i="104" s="1"/>
  <c r="B25" i="97"/>
  <c r="B67" i="104" s="1"/>
  <c r="B26" i="97"/>
  <c r="B72" i="104" s="1"/>
  <c r="B27" i="97"/>
  <c r="B77" i="101" s="1"/>
  <c r="B28" i="97"/>
  <c r="B82" i="104" s="1"/>
  <c r="B29" i="97"/>
  <c r="B87" i="104" s="1"/>
  <c r="B30" i="97"/>
  <c r="B92" i="104" s="1"/>
  <c r="B31" i="97"/>
  <c r="B97" i="104" s="1"/>
  <c r="B32" i="97"/>
  <c r="B102" i="104" s="1"/>
  <c r="B33" i="97"/>
  <c r="B107" i="101" s="1"/>
  <c r="B34" i="97"/>
  <c r="B112" i="104" s="1"/>
  <c r="B35" i="97"/>
  <c r="B117" i="104" s="1"/>
  <c r="B36" i="97"/>
  <c r="B122" i="101" s="1"/>
  <c r="B37" i="97"/>
  <c r="B127" i="104" s="1"/>
  <c r="B38" i="97"/>
  <c r="B132" i="104" s="1"/>
  <c r="B39" i="97"/>
  <c r="B137" i="101" s="1"/>
  <c r="B40" i="97"/>
  <c r="B142" i="104" s="1"/>
  <c r="B41" i="97"/>
  <c r="B147" i="101" s="1"/>
  <c r="B42" i="97"/>
  <c r="B152" i="101" s="1"/>
  <c r="B43" i="97"/>
  <c r="B157" i="101" s="1"/>
  <c r="B44" i="97"/>
  <c r="B162" i="104" s="1"/>
  <c r="B45" i="97"/>
  <c r="B167" i="104" s="1"/>
  <c r="B46" i="97"/>
  <c r="B172" i="104" s="1"/>
  <c r="B47" i="97"/>
  <c r="B177" i="104" s="1"/>
  <c r="B48" i="97"/>
  <c r="B182" i="101" s="1"/>
  <c r="B49" i="97"/>
  <c r="B187" i="101" s="1"/>
  <c r="B14" i="97"/>
  <c r="B12" i="101" s="1"/>
  <c r="J50" i="97"/>
  <c r="P46" i="58"/>
  <c r="G13" i="113"/>
  <c r="M13" i="113"/>
  <c r="Q13" i="113"/>
  <c r="G12" i="113"/>
  <c r="O12" i="113"/>
  <c r="W12" i="113"/>
  <c r="H85" i="5"/>
  <c r="P45" i="58"/>
  <c r="P44" i="58"/>
  <c r="P43" i="58"/>
  <c r="S43" i="58"/>
  <c r="C90" i="5"/>
  <c r="C86" i="5"/>
  <c r="C87" i="5"/>
  <c r="C88" i="5"/>
  <c r="C85" i="5"/>
  <c r="AK14" i="94"/>
  <c r="AK13" i="94"/>
  <c r="C52" i="5"/>
  <c r="C53" i="5"/>
  <c r="C54" i="5"/>
  <c r="C55" i="5"/>
  <c r="C56" i="5"/>
  <c r="C57" i="5"/>
  <c r="C58" i="5"/>
  <c r="C60" i="5"/>
  <c r="C61" i="5"/>
  <c r="C62" i="5"/>
  <c r="C65" i="5"/>
  <c r="C51" i="5"/>
  <c r="P42" i="58"/>
  <c r="P38" i="58"/>
  <c r="P20" i="58"/>
  <c r="P33" i="58"/>
  <c r="P31" i="58"/>
  <c r="P27" i="58"/>
  <c r="P26" i="58"/>
  <c r="P23" i="58"/>
  <c r="P22" i="58"/>
  <c r="P18" i="58"/>
  <c r="N30" i="90"/>
  <c r="P62" i="58"/>
  <c r="P61" i="58"/>
  <c r="P60" i="58"/>
  <c r="P59" i="58"/>
  <c r="P58" i="58"/>
  <c r="P57" i="58"/>
  <c r="P56" i="58"/>
  <c r="P55" i="58"/>
  <c r="P54" i="58"/>
  <c r="P53" i="58"/>
  <c r="P52" i="58"/>
  <c r="P51" i="58"/>
  <c r="P50" i="58"/>
  <c r="P49" i="58"/>
  <c r="F16" i="87"/>
  <c r="M16" i="87"/>
  <c r="T16" i="87"/>
  <c r="AA16" i="87"/>
  <c r="AH16" i="87"/>
  <c r="E10" i="90"/>
  <c r="E11" i="90"/>
  <c r="E9" i="90"/>
  <c r="J30" i="90"/>
  <c r="W56" i="91"/>
  <c r="V56" i="91"/>
  <c r="X55" i="91"/>
  <c r="X54" i="91"/>
  <c r="T54" i="91"/>
  <c r="I53" i="91"/>
  <c r="AF16" i="87"/>
  <c r="AB16" i="87"/>
  <c r="W16" i="87"/>
  <c r="R16" i="87"/>
  <c r="N16" i="87"/>
  <c r="I16" i="87"/>
  <c r="AE16" i="87"/>
  <c r="Z16" i="87"/>
  <c r="V16" i="87"/>
  <c r="Q16" i="87"/>
  <c r="L16" i="87"/>
  <c r="H16" i="87"/>
  <c r="AD16" i="87"/>
  <c r="Y16" i="87"/>
  <c r="U16" i="87"/>
  <c r="P16" i="87"/>
  <c r="K16" i="87"/>
  <c r="G16" i="87"/>
  <c r="AG16" i="87"/>
  <c r="AC16" i="87"/>
  <c r="X16" i="87"/>
  <c r="S16" i="87"/>
  <c r="O16" i="87"/>
  <c r="J16" i="87"/>
  <c r="E16" i="87"/>
  <c r="I25" i="86"/>
  <c r="J25" i="86"/>
  <c r="K25" i="86"/>
  <c r="M25" i="86"/>
  <c r="Q25" i="86"/>
  <c r="R25" i="86"/>
  <c r="T25" i="86"/>
  <c r="U25" i="86"/>
  <c r="Q15" i="89"/>
  <c r="W18" i="90"/>
  <c r="S18" i="90"/>
  <c r="S20" i="90" s="1"/>
  <c r="X26" i="91"/>
  <c r="T26" i="91"/>
  <c r="T28" i="91" s="1"/>
  <c r="W22" i="91"/>
  <c r="W21" i="91"/>
  <c r="W20" i="91"/>
  <c r="W16" i="91"/>
  <c r="V16" i="91"/>
  <c r="X15" i="91"/>
  <c r="G89" i="5"/>
  <c r="G92" i="5" s="1"/>
  <c r="D16" i="87"/>
  <c r="D8" i="87"/>
  <c r="AI15" i="87"/>
  <c r="AI13" i="87"/>
  <c r="AI12" i="87"/>
  <c r="AI14" i="87"/>
  <c r="AI11" i="87"/>
  <c r="C14" i="88"/>
  <c r="F11" i="86"/>
  <c r="D10" i="86"/>
  <c r="D9" i="86"/>
  <c r="F16" i="64"/>
  <c r="F18" i="63"/>
  <c r="F15" i="63" s="1"/>
  <c r="C16" i="63"/>
  <c r="E19" i="64"/>
  <c r="F19" i="64"/>
  <c r="G19" i="64"/>
  <c r="H19" i="64"/>
  <c r="I19" i="64"/>
  <c r="L19" i="64"/>
  <c r="J15" i="64"/>
  <c r="K15" i="64"/>
  <c r="L15" i="64"/>
  <c r="M15" i="64"/>
  <c r="N15" i="64"/>
  <c r="R15" i="64"/>
  <c r="S15" i="64"/>
  <c r="J16" i="63"/>
  <c r="D15" i="64"/>
  <c r="K16" i="63"/>
  <c r="U20" i="64"/>
  <c r="U19" i="64" s="1"/>
  <c r="V20" i="64"/>
  <c r="V19" i="64" s="1"/>
  <c r="W20" i="64"/>
  <c r="W19" i="64" s="1"/>
  <c r="G13" i="85"/>
  <c r="I13" i="85"/>
  <c r="J13" i="85"/>
  <c r="J12" i="85" s="1"/>
  <c r="K13" i="85"/>
  <c r="L13" i="85"/>
  <c r="L12" i="85" s="1"/>
  <c r="V17" i="64"/>
  <c r="W17" i="64"/>
  <c r="P17" i="64"/>
  <c r="E18" i="63"/>
  <c r="E15" i="63" s="1"/>
  <c r="V18" i="64"/>
  <c r="W18" i="64"/>
  <c r="P18" i="64"/>
  <c r="Q18" i="64" s="1"/>
  <c r="U18" i="64" s="1"/>
  <c r="H86" i="5"/>
  <c r="H87" i="5"/>
  <c r="N90" i="5"/>
  <c r="N91" i="5" s="1"/>
  <c r="H13" i="83"/>
  <c r="G28" i="86"/>
  <c r="H28" i="86" s="1"/>
  <c r="I28" i="86"/>
  <c r="J28" i="86"/>
  <c r="K28" i="86"/>
  <c r="M28" i="86"/>
  <c r="N28" i="86"/>
  <c r="O28" i="86"/>
  <c r="Q28" i="86"/>
  <c r="R28" i="86"/>
  <c r="T28" i="86"/>
  <c r="U28" i="86"/>
  <c r="F28" i="86"/>
  <c r="F21" i="86"/>
  <c r="F17" i="86" s="1"/>
  <c r="F30" i="86" s="1"/>
  <c r="W17" i="86"/>
  <c r="Z28" i="86"/>
  <c r="W28" i="86"/>
  <c r="Y23" i="86"/>
  <c r="H17" i="64"/>
  <c r="H18" i="64"/>
  <c r="I17" i="64"/>
  <c r="I18" i="64"/>
  <c r="I12" i="85"/>
  <c r="K12" i="85"/>
  <c r="H12" i="85"/>
  <c r="F13" i="85"/>
  <c r="E12" i="85" s="1"/>
  <c r="D12" i="85"/>
  <c r="J17" i="63"/>
  <c r="F19" i="63"/>
  <c r="F61" i="84"/>
  <c r="F57" i="84"/>
  <c r="F51" i="84"/>
  <c r="F22" i="84"/>
  <c r="F17" i="84"/>
  <c r="M20" i="64"/>
  <c r="M19" i="64" s="1"/>
  <c r="B12" i="83"/>
  <c r="B11" i="83"/>
  <c r="B10" i="83"/>
  <c r="D19" i="64"/>
  <c r="R19" i="64"/>
  <c r="S19" i="64"/>
  <c r="T19" i="64"/>
  <c r="J90" i="5"/>
  <c r="L15" i="63"/>
  <c r="M15" i="63"/>
  <c r="P15" i="63"/>
  <c r="J17" i="79"/>
  <c r="J16" i="79" s="1"/>
  <c r="I16" i="79"/>
  <c r="H16" i="79"/>
  <c r="E19" i="63"/>
  <c r="AE19" i="64"/>
  <c r="F14" i="77"/>
  <c r="O67" i="5"/>
  <c r="Q67" i="5"/>
  <c r="R67" i="5"/>
  <c r="V91" i="5"/>
  <c r="P41" i="58"/>
  <c r="P40" i="58"/>
  <c r="P39" i="58"/>
  <c r="H8" i="2"/>
  <c r="M19" i="63"/>
  <c r="P32" i="58"/>
  <c r="P34" i="58"/>
  <c r="R50" i="5"/>
  <c r="Q50" i="5"/>
  <c r="O50" i="5"/>
  <c r="P19" i="63"/>
  <c r="D8" i="63"/>
  <c r="K30" i="63" s="1"/>
  <c r="K91" i="5"/>
  <c r="R89" i="5"/>
  <c r="R91" i="5" s="1"/>
  <c r="D9" i="63"/>
  <c r="F38" i="2"/>
  <c r="F39" i="2" s="1"/>
  <c r="AB9" i="58"/>
  <c r="Q16" i="59"/>
  <c r="AB105" i="5"/>
  <c r="X88" i="5"/>
  <c r="Z85" i="5"/>
  <c r="X105" i="5"/>
  <c r="X107" i="5" s="1"/>
  <c r="AA101" i="5"/>
  <c r="AA100" i="5"/>
  <c r="AA99" i="5"/>
  <c r="AB92" i="5"/>
  <c r="AB93" i="5"/>
  <c r="AB94" i="5"/>
  <c r="AB91" i="5"/>
  <c r="Z95" i="5"/>
  <c r="AA95" i="5"/>
  <c r="AA97" i="5" s="1"/>
  <c r="AA10" i="5"/>
  <c r="E32" i="76"/>
  <c r="I32" i="76" s="1"/>
  <c r="C32" i="76"/>
  <c r="G8" i="2"/>
  <c r="E10" i="68"/>
  <c r="H10" i="68" s="1"/>
  <c r="I10" i="68" s="1"/>
  <c r="J3" i="2"/>
  <c r="J4" i="2"/>
  <c r="J5" i="2"/>
  <c r="J6" i="2"/>
  <c r="J7" i="2"/>
  <c r="J2" i="2"/>
  <c r="H7" i="2"/>
  <c r="G7" i="2"/>
  <c r="H3" i="2"/>
  <c r="H4" i="2"/>
  <c r="H5" i="2"/>
  <c r="H6" i="2"/>
  <c r="H2" i="2"/>
  <c r="G6" i="2"/>
  <c r="G5" i="2"/>
  <c r="G4" i="2"/>
  <c r="G3" i="2"/>
  <c r="G2" i="2"/>
  <c r="K12" i="1"/>
  <c r="K15" i="1" s="1"/>
  <c r="K13" i="1"/>
  <c r="I13" i="1"/>
  <c r="J13" i="1" s="1"/>
  <c r="E12" i="72"/>
  <c r="E13" i="72"/>
  <c r="E14" i="72"/>
  <c r="E15" i="72"/>
  <c r="E16" i="72"/>
  <c r="E17" i="72"/>
  <c r="E11" i="72"/>
  <c r="D18" i="72"/>
  <c r="P25" i="58"/>
  <c r="O89" i="5"/>
  <c r="O91" i="5" s="1"/>
  <c r="Q89" i="5"/>
  <c r="Q91" i="5" s="1"/>
  <c r="AG18" i="4"/>
  <c r="AH28" i="4"/>
  <c r="AH10" i="4"/>
  <c r="AH12" i="4"/>
  <c r="AH21" i="4"/>
  <c r="AH42" i="4"/>
  <c r="AH40" i="4"/>
  <c r="AH32" i="4"/>
  <c r="AH33" i="4"/>
  <c r="AH35" i="4"/>
  <c r="AH41" i="4"/>
  <c r="AH43" i="4"/>
  <c r="AH52" i="4"/>
  <c r="AH13" i="4"/>
  <c r="L89" i="5"/>
  <c r="M89" i="5"/>
  <c r="M91" i="5" s="1"/>
  <c r="L91" i="5"/>
  <c r="U11" i="1"/>
  <c r="I12" i="1"/>
  <c r="J12" i="1" s="1"/>
  <c r="D14" i="1"/>
  <c r="I14" i="1"/>
  <c r="J14" i="1" s="1"/>
  <c r="K14" i="1"/>
  <c r="F15" i="1"/>
  <c r="G15" i="1"/>
  <c r="U20" i="1"/>
  <c r="F11" i="68"/>
  <c r="S4" i="28"/>
  <c r="S5" i="28"/>
  <c r="T11" i="28"/>
  <c r="G12" i="28"/>
  <c r="N12" i="28" s="1"/>
  <c r="P12" i="28" s="1"/>
  <c r="O13" i="28"/>
  <c r="S13" i="28"/>
  <c r="T15" i="28"/>
  <c r="T19" i="28"/>
  <c r="U10" i="29"/>
  <c r="G12" i="29"/>
  <c r="G13" i="29" s="1"/>
  <c r="T12" i="29"/>
  <c r="E13" i="29"/>
  <c r="O13" i="29"/>
  <c r="U13" i="29"/>
  <c r="T18" i="29"/>
  <c r="E6" i="6"/>
  <c r="E7" i="6"/>
  <c r="E12" i="6"/>
  <c r="E15" i="6" s="1"/>
  <c r="E13" i="6"/>
  <c r="F13" i="6" s="1"/>
  <c r="H13" i="6" s="1"/>
  <c r="I13" i="6" s="1"/>
  <c r="K13" i="6" s="1"/>
  <c r="N13" i="6" s="1"/>
  <c r="E14" i="6"/>
  <c r="F14" i="6" s="1"/>
  <c r="F15" i="6" s="1"/>
  <c r="G15" i="6"/>
  <c r="J15" i="6"/>
  <c r="L15" i="6"/>
  <c r="M15" i="6"/>
  <c r="T8" i="21"/>
  <c r="E11" i="21"/>
  <c r="G11" i="21" s="1"/>
  <c r="W12" i="21"/>
  <c r="U14" i="21"/>
  <c r="K9" i="4"/>
  <c r="S9" i="4"/>
  <c r="X9" i="4"/>
  <c r="AF9" i="4"/>
  <c r="AJ9" i="4"/>
  <c r="AJ60" i="4" s="1"/>
  <c r="AK9" i="4"/>
  <c r="AK60" i="4" s="1"/>
  <c r="AS9" i="4"/>
  <c r="AT9" i="4" s="1"/>
  <c r="K10" i="4"/>
  <c r="S10" i="4"/>
  <c r="X10" i="4"/>
  <c r="AF10" i="4"/>
  <c r="AJ10" i="4"/>
  <c r="AK10" i="4"/>
  <c r="AS10" i="4"/>
  <c r="AT10" i="4" s="1"/>
  <c r="K11" i="4"/>
  <c r="S11" i="4"/>
  <c r="X11" i="4"/>
  <c r="AF11" i="4"/>
  <c r="AJ11" i="4"/>
  <c r="AK11" i="4"/>
  <c r="AS11" i="4"/>
  <c r="AT11" i="4" s="1"/>
  <c r="K12" i="4"/>
  <c r="S12" i="4"/>
  <c r="X12" i="4"/>
  <c r="AF12" i="4"/>
  <c r="AJ12" i="4"/>
  <c r="AK12" i="4"/>
  <c r="AS12" i="4"/>
  <c r="AT12" i="4" s="1"/>
  <c r="K13" i="4"/>
  <c r="S13" i="4"/>
  <c r="X13" i="4"/>
  <c r="AF13" i="4"/>
  <c r="AJ13" i="4"/>
  <c r="AK13" i="4"/>
  <c r="AQ13" i="4"/>
  <c r="AS13" i="4"/>
  <c r="AT13" i="4" s="1"/>
  <c r="K14" i="4"/>
  <c r="S14" i="4"/>
  <c r="X14" i="4"/>
  <c r="AF14" i="4"/>
  <c r="AG14" i="4"/>
  <c r="AH14" i="4"/>
  <c r="AJ14" i="4"/>
  <c r="AK14" i="4"/>
  <c r="AQ14" i="4"/>
  <c r="AS14" i="4"/>
  <c r="AT14" i="4" s="1"/>
  <c r="K15" i="4"/>
  <c r="S15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7" i="4"/>
  <c r="X59" i="4"/>
  <c r="AF15" i="4"/>
  <c r="AJ15" i="4"/>
  <c r="AK15" i="4"/>
  <c r="AS15" i="4"/>
  <c r="AT15" i="4" s="1"/>
  <c r="K16" i="4"/>
  <c r="S16" i="4"/>
  <c r="AF16" i="4"/>
  <c r="AJ16" i="4"/>
  <c r="AK16" i="4"/>
  <c r="AM16" i="4"/>
  <c r="AS16" i="4"/>
  <c r="AT16" i="4" s="1"/>
  <c r="K17" i="4"/>
  <c r="S17" i="4"/>
  <c r="AF17" i="4"/>
  <c r="AJ17" i="4"/>
  <c r="AK17" i="4"/>
  <c r="AS17" i="4"/>
  <c r="AT17" i="4" s="1"/>
  <c r="K18" i="4"/>
  <c r="S18" i="4"/>
  <c r="AF18" i="4"/>
  <c r="AJ18" i="4"/>
  <c r="AK18" i="4"/>
  <c r="AS18" i="4"/>
  <c r="AT18" i="4" s="1"/>
  <c r="K19" i="4"/>
  <c r="S19" i="4"/>
  <c r="AF19" i="4"/>
  <c r="AJ19" i="4"/>
  <c r="AK19" i="4"/>
  <c r="AS19" i="4"/>
  <c r="AT19" i="4" s="1"/>
  <c r="K20" i="4"/>
  <c r="S20" i="4"/>
  <c r="AF20" i="4"/>
  <c r="AJ20" i="4"/>
  <c r="AK20" i="4"/>
  <c r="AS20" i="4"/>
  <c r="AT20" i="4" s="1"/>
  <c r="K21" i="4"/>
  <c r="S21" i="4"/>
  <c r="AF21" i="4"/>
  <c r="AJ21" i="4"/>
  <c r="AK21" i="4"/>
  <c r="AS21" i="4"/>
  <c r="AT21" i="4" s="1"/>
  <c r="K22" i="4"/>
  <c r="S22" i="4"/>
  <c r="AF22" i="4"/>
  <c r="AJ22" i="4"/>
  <c r="AK22" i="4"/>
  <c r="AS22" i="4"/>
  <c r="AT22" i="4" s="1"/>
  <c r="K23" i="4"/>
  <c r="S23" i="4"/>
  <c r="AF23" i="4"/>
  <c r="AJ23" i="4"/>
  <c r="AK23" i="4"/>
  <c r="AS23" i="4"/>
  <c r="AT23" i="4" s="1"/>
  <c r="K24" i="4"/>
  <c r="S24" i="4"/>
  <c r="AF24" i="4"/>
  <c r="AJ24" i="4"/>
  <c r="AK24" i="4"/>
  <c r="AS24" i="4"/>
  <c r="AT24" i="4" s="1"/>
  <c r="K25" i="4"/>
  <c r="S25" i="4"/>
  <c r="AF25" i="4"/>
  <c r="AJ25" i="4"/>
  <c r="AK25" i="4"/>
  <c r="AS25" i="4"/>
  <c r="AT25" i="4" s="1"/>
  <c r="K26" i="4"/>
  <c r="S26" i="4"/>
  <c r="AF26" i="4"/>
  <c r="AJ26" i="4"/>
  <c r="AK26" i="4"/>
  <c r="AS26" i="4"/>
  <c r="AT26" i="4" s="1"/>
  <c r="K27" i="4"/>
  <c r="S27" i="4"/>
  <c r="AF27" i="4"/>
  <c r="AJ27" i="4"/>
  <c r="AK27" i="4"/>
  <c r="AM27" i="4"/>
  <c r="AS27" i="4"/>
  <c r="AT27" i="4" s="1"/>
  <c r="K28" i="4"/>
  <c r="S28" i="4"/>
  <c r="AF28" i="4"/>
  <c r="AJ28" i="4"/>
  <c r="AK28" i="4"/>
  <c r="AS28" i="4"/>
  <c r="AT28" i="4" s="1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F57" i="4"/>
  <c r="K57" i="4" s="1"/>
  <c r="K58" i="4"/>
  <c r="K59" i="4"/>
  <c r="S29" i="4"/>
  <c r="AF29" i="4"/>
  <c r="AJ29" i="4"/>
  <c r="AK29" i="4"/>
  <c r="AS29" i="4"/>
  <c r="AT29" i="4" s="1"/>
  <c r="S30" i="4"/>
  <c r="AF30" i="4"/>
  <c r="AJ30" i="4"/>
  <c r="AK30" i="4"/>
  <c r="AS30" i="4"/>
  <c r="AT30" i="4" s="1"/>
  <c r="S31" i="4"/>
  <c r="AF31" i="4"/>
  <c r="AJ31" i="4"/>
  <c r="AK31" i="4"/>
  <c r="AS31" i="4"/>
  <c r="AT31" i="4" s="1"/>
  <c r="S32" i="4"/>
  <c r="AF32" i="4"/>
  <c r="AJ32" i="4"/>
  <c r="AK32" i="4"/>
  <c r="AS32" i="4"/>
  <c r="AT32" i="4" s="1"/>
  <c r="S33" i="4"/>
  <c r="AF33" i="4"/>
  <c r="AJ33" i="4"/>
  <c r="AK33" i="4"/>
  <c r="AS33" i="4"/>
  <c r="AT33" i="4" s="1"/>
  <c r="S34" i="4"/>
  <c r="AF34" i="4"/>
  <c r="AJ34" i="4"/>
  <c r="AK34" i="4"/>
  <c r="AS34" i="4"/>
  <c r="AT34" i="4" s="1"/>
  <c r="S35" i="4"/>
  <c r="AF35" i="4"/>
  <c r="AJ35" i="4"/>
  <c r="AK35" i="4"/>
  <c r="AS35" i="4"/>
  <c r="AT35" i="4" s="1"/>
  <c r="S36" i="4"/>
  <c r="AF36" i="4"/>
  <c r="AJ36" i="4"/>
  <c r="AK36" i="4"/>
  <c r="AM36" i="4"/>
  <c r="AS36" i="4"/>
  <c r="AT36" i="4" s="1"/>
  <c r="AF37" i="4"/>
  <c r="AJ37" i="4"/>
  <c r="AK37" i="4"/>
  <c r="AS37" i="4"/>
  <c r="AT37" i="4" s="1"/>
  <c r="S38" i="4"/>
  <c r="AF38" i="4"/>
  <c r="AG38" i="4"/>
  <c r="AH38" i="4"/>
  <c r="AJ38" i="4"/>
  <c r="AK38" i="4"/>
  <c r="AS38" i="4"/>
  <c r="AT38" i="4" s="1"/>
  <c r="S39" i="4"/>
  <c r="AF39" i="4"/>
  <c r="AJ39" i="4"/>
  <c r="AK39" i="4"/>
  <c r="AS39" i="4"/>
  <c r="AT39" i="4" s="1"/>
  <c r="S40" i="4"/>
  <c r="AF40" i="4"/>
  <c r="AJ40" i="4"/>
  <c r="AK40" i="4"/>
  <c r="AS40" i="4"/>
  <c r="AT40" i="4" s="1"/>
  <c r="S41" i="4"/>
  <c r="S42" i="4"/>
  <c r="S43" i="4"/>
  <c r="S57" i="4"/>
  <c r="S58" i="4"/>
  <c r="S59" i="4"/>
  <c r="AF41" i="4"/>
  <c r="AJ41" i="4"/>
  <c r="AK41" i="4"/>
  <c r="AS41" i="4"/>
  <c r="AT41" i="4" s="1"/>
  <c r="AF42" i="4"/>
  <c r="AJ42" i="4"/>
  <c r="AK42" i="4"/>
  <c r="AS42" i="4"/>
  <c r="AT42" i="4" s="1"/>
  <c r="AF43" i="4"/>
  <c r="AJ43" i="4"/>
  <c r="AK43" i="4"/>
  <c r="AM43" i="4"/>
  <c r="AS43" i="4"/>
  <c r="AT43" i="4" s="1"/>
  <c r="AF44" i="4"/>
  <c r="AJ44" i="4"/>
  <c r="AK44" i="4"/>
  <c r="AS44" i="4"/>
  <c r="AT44" i="4" s="1"/>
  <c r="AF45" i="4"/>
  <c r="AJ45" i="4"/>
  <c r="AK45" i="4"/>
  <c r="AS45" i="4"/>
  <c r="AT45" i="4" s="1"/>
  <c r="AF46" i="4"/>
  <c r="AJ46" i="4"/>
  <c r="AK46" i="4"/>
  <c r="AS46" i="4"/>
  <c r="AT46" i="4" s="1"/>
  <c r="AF47" i="4"/>
  <c r="AJ47" i="4"/>
  <c r="AK47" i="4"/>
  <c r="AS47" i="4"/>
  <c r="AT47" i="4" s="1"/>
  <c r="AF48" i="4"/>
  <c r="AJ48" i="4"/>
  <c r="AK48" i="4"/>
  <c r="AS48" i="4"/>
  <c r="AT48" i="4" s="1"/>
  <c r="AF49" i="4"/>
  <c r="AJ49" i="4"/>
  <c r="AK49" i="4"/>
  <c r="AS49" i="4"/>
  <c r="AT49" i="4" s="1"/>
  <c r="AF50" i="4"/>
  <c r="AG50" i="4"/>
  <c r="AH50" i="4"/>
  <c r="AJ50" i="4"/>
  <c r="AK50" i="4"/>
  <c r="AS50" i="4"/>
  <c r="AT50" i="4" s="1"/>
  <c r="AF51" i="4"/>
  <c r="AG51" i="4"/>
  <c r="AH51" i="4"/>
  <c r="AJ51" i="4"/>
  <c r="AK51" i="4"/>
  <c r="AS51" i="4"/>
  <c r="AT51" i="4" s="1"/>
  <c r="AF52" i="4"/>
  <c r="AJ52" i="4"/>
  <c r="AK52" i="4"/>
  <c r="AS52" i="4"/>
  <c r="AT52" i="4" s="1"/>
  <c r="AF53" i="4"/>
  <c r="AG53" i="4"/>
  <c r="AH53" i="4"/>
  <c r="AJ53" i="4"/>
  <c r="AK53" i="4"/>
  <c r="AS53" i="4"/>
  <c r="AT53" i="4" s="1"/>
  <c r="AF54" i="4"/>
  <c r="AG54" i="4"/>
  <c r="AH54" i="4"/>
  <c r="AJ54" i="4"/>
  <c r="AK54" i="4"/>
  <c r="AS54" i="4"/>
  <c r="AT54" i="4" s="1"/>
  <c r="AF55" i="4"/>
  <c r="AG55" i="4"/>
  <c r="AH55" i="4"/>
  <c r="AJ55" i="4"/>
  <c r="AK55" i="4"/>
  <c r="AS55" i="4"/>
  <c r="AT55" i="4" s="1"/>
  <c r="AF56" i="4"/>
  <c r="AG56" i="4"/>
  <c r="AH56" i="4"/>
  <c r="AJ56" i="4"/>
  <c r="AK56" i="4"/>
  <c r="AS56" i="4"/>
  <c r="AT56" i="4" s="1"/>
  <c r="AE57" i="4"/>
  <c r="AE60" i="4" s="1"/>
  <c r="AI57" i="4"/>
  <c r="AS57" i="4"/>
  <c r="AT57" i="4" s="1"/>
  <c r="AF58" i="4"/>
  <c r="AI58" i="4"/>
  <c r="AS58" i="4"/>
  <c r="AT58" i="4" s="1"/>
  <c r="AC59" i="4"/>
  <c r="AC60" i="4" s="1"/>
  <c r="AD59" i="4"/>
  <c r="AD60" i="4" s="1"/>
  <c r="AI59" i="4"/>
  <c r="AS59" i="4"/>
  <c r="AT59" i="4" s="1"/>
  <c r="E60" i="4"/>
  <c r="G60" i="4"/>
  <c r="H60" i="4"/>
  <c r="I60" i="4"/>
  <c r="J60" i="4"/>
  <c r="L60" i="4"/>
  <c r="M60" i="4"/>
  <c r="N60" i="4"/>
  <c r="O60" i="4"/>
  <c r="P60" i="4"/>
  <c r="Q60" i="4"/>
  <c r="R60" i="4"/>
  <c r="T60" i="4"/>
  <c r="U60" i="4"/>
  <c r="V60" i="4"/>
  <c r="W60" i="4"/>
  <c r="Y60" i="4"/>
  <c r="Z60" i="4"/>
  <c r="AA60" i="4"/>
  <c r="AB60" i="4"/>
  <c r="AL60" i="4"/>
  <c r="U75" i="4"/>
  <c r="B88" i="4"/>
  <c r="E10" i="26"/>
  <c r="E11" i="26" s="1"/>
  <c r="C11" i="26"/>
  <c r="G11" i="42"/>
  <c r="G12" i="42"/>
  <c r="G13" i="42"/>
  <c r="G14" i="42"/>
  <c r="G15" i="42"/>
  <c r="G16" i="42"/>
  <c r="G17" i="42"/>
  <c r="G18" i="42"/>
  <c r="G19" i="42"/>
  <c r="E20" i="42"/>
  <c r="F20" i="42"/>
  <c r="E9" i="37"/>
  <c r="H9" i="37" s="1"/>
  <c r="P9" i="37"/>
  <c r="K9" i="37"/>
  <c r="E10" i="37"/>
  <c r="H10" i="37" s="1"/>
  <c r="I10" i="37" s="1"/>
  <c r="K10" i="37"/>
  <c r="P10" i="37"/>
  <c r="E11" i="37"/>
  <c r="H11" i="37" s="1"/>
  <c r="O11" i="37" s="1"/>
  <c r="P11" i="37"/>
  <c r="K11" i="37"/>
  <c r="E12" i="37"/>
  <c r="H12" i="37" s="1"/>
  <c r="I12" i="37" s="1"/>
  <c r="P12" i="37"/>
  <c r="K12" i="37"/>
  <c r="E13" i="37"/>
  <c r="H13" i="37" s="1"/>
  <c r="I13" i="37" s="1"/>
  <c r="K13" i="37"/>
  <c r="P13" i="37"/>
  <c r="E14" i="37"/>
  <c r="H14" i="37" s="1"/>
  <c r="I14" i="37" s="1"/>
  <c r="P14" i="37"/>
  <c r="K14" i="37"/>
  <c r="E15" i="37"/>
  <c r="H15" i="37" s="1"/>
  <c r="I15" i="37" s="1"/>
  <c r="K15" i="37"/>
  <c r="P15" i="37"/>
  <c r="E16" i="37"/>
  <c r="H16" i="37" s="1"/>
  <c r="I16" i="37" s="1"/>
  <c r="K16" i="37"/>
  <c r="P16" i="37"/>
  <c r="E17" i="37"/>
  <c r="H17" i="37" s="1"/>
  <c r="K17" i="37"/>
  <c r="P17" i="37"/>
  <c r="E18" i="37"/>
  <c r="H18" i="37" s="1"/>
  <c r="P18" i="37"/>
  <c r="K18" i="37"/>
  <c r="E19" i="37"/>
  <c r="H19" i="37" s="1"/>
  <c r="K19" i="37"/>
  <c r="P19" i="37"/>
  <c r="E20" i="37"/>
  <c r="H20" i="37" s="1"/>
  <c r="O20" i="37" s="1"/>
  <c r="P20" i="37"/>
  <c r="K20" i="37"/>
  <c r="E21" i="37"/>
  <c r="H21" i="37" s="1"/>
  <c r="O21" i="37" s="1"/>
  <c r="P21" i="37"/>
  <c r="K21" i="37"/>
  <c r="E22" i="37"/>
  <c r="H22" i="37" s="1"/>
  <c r="O22" i="37" s="1"/>
  <c r="K22" i="37"/>
  <c r="P22" i="37"/>
  <c r="E23" i="37"/>
  <c r="H23" i="37" s="1"/>
  <c r="K23" i="37"/>
  <c r="P23" i="37"/>
  <c r="E24" i="37"/>
  <c r="H24" i="37" s="1"/>
  <c r="O24" i="37" s="1"/>
  <c r="P24" i="37"/>
  <c r="K24" i="37"/>
  <c r="E25" i="37"/>
  <c r="H25" i="37" s="1"/>
  <c r="I25" i="37" s="1"/>
  <c r="K25" i="37"/>
  <c r="P25" i="37"/>
  <c r="E26" i="37"/>
  <c r="H26" i="37" s="1"/>
  <c r="O26" i="37" s="1"/>
  <c r="P26" i="37"/>
  <c r="K26" i="37"/>
  <c r="E27" i="37"/>
  <c r="H27" i="37" s="1"/>
  <c r="I27" i="37" s="1"/>
  <c r="K27" i="37"/>
  <c r="P27" i="37"/>
  <c r="E28" i="37"/>
  <c r="H28" i="37" s="1"/>
  <c r="P28" i="37"/>
  <c r="K28" i="37"/>
  <c r="E29" i="37"/>
  <c r="H29" i="37" s="1"/>
  <c r="O29" i="37" s="1"/>
  <c r="K29" i="37"/>
  <c r="P29" i="37"/>
  <c r="E30" i="37"/>
  <c r="H30" i="37" s="1"/>
  <c r="K30" i="37"/>
  <c r="P30" i="37"/>
  <c r="E31" i="37"/>
  <c r="H31" i="37" s="1"/>
  <c r="P31" i="37"/>
  <c r="K31" i="37"/>
  <c r="E32" i="37"/>
  <c r="H32" i="37" s="1"/>
  <c r="O32" i="37" s="1"/>
  <c r="K32" i="37"/>
  <c r="P32" i="37"/>
  <c r="E33" i="37"/>
  <c r="H33" i="37" s="1"/>
  <c r="O33" i="37" s="1"/>
  <c r="P33" i="37"/>
  <c r="K33" i="37"/>
  <c r="E34" i="37"/>
  <c r="H34" i="37" s="1"/>
  <c r="O34" i="37" s="1"/>
  <c r="P34" i="37"/>
  <c r="K34" i="37"/>
  <c r="E35" i="37"/>
  <c r="H35" i="37" s="1"/>
  <c r="O35" i="37" s="1"/>
  <c r="K35" i="37"/>
  <c r="P35" i="37"/>
  <c r="E36" i="37"/>
  <c r="H36" i="37" s="1"/>
  <c r="P36" i="37"/>
  <c r="K36" i="37"/>
  <c r="E37" i="37"/>
  <c r="H37" i="37" s="1"/>
  <c r="P37" i="37"/>
  <c r="K37" i="37"/>
  <c r="E38" i="37"/>
  <c r="H38" i="37" s="1"/>
  <c r="O38" i="37" s="1"/>
  <c r="P38" i="37"/>
  <c r="K38" i="37"/>
  <c r="E39" i="37"/>
  <c r="H39" i="37" s="1"/>
  <c r="K39" i="37"/>
  <c r="P39" i="37"/>
  <c r="E40" i="37"/>
  <c r="H40" i="37" s="1"/>
  <c r="K40" i="37"/>
  <c r="P40" i="37"/>
  <c r="E41" i="37"/>
  <c r="H41" i="37" s="1"/>
  <c r="O41" i="37" s="1"/>
  <c r="K41" i="37"/>
  <c r="P41" i="37"/>
  <c r="E42" i="37"/>
  <c r="H42" i="37" s="1"/>
  <c r="I42" i="37" s="1"/>
  <c r="K42" i="37"/>
  <c r="P42" i="37"/>
  <c r="E43" i="37"/>
  <c r="H43" i="37" s="1"/>
  <c r="I43" i="37" s="1"/>
  <c r="K43" i="37"/>
  <c r="P43" i="37"/>
  <c r="E44" i="37"/>
  <c r="H44" i="37" s="1"/>
  <c r="I44" i="37" s="1"/>
  <c r="P44" i="37"/>
  <c r="K44" i="37"/>
  <c r="E45" i="37"/>
  <c r="H45" i="37" s="1"/>
  <c r="P45" i="37"/>
  <c r="K45" i="37"/>
  <c r="E46" i="37"/>
  <c r="H46" i="37" s="1"/>
  <c r="I46" i="37" s="1"/>
  <c r="L46" i="37" s="1"/>
  <c r="M46" i="37" s="1"/>
  <c r="AM46" i="4" s="1"/>
  <c r="K46" i="37"/>
  <c r="P46" i="37"/>
  <c r="E47" i="37"/>
  <c r="H47" i="37"/>
  <c r="I47" i="37" s="1"/>
  <c r="P47" i="37"/>
  <c r="K47" i="37"/>
  <c r="E48" i="37"/>
  <c r="H48" i="37" s="1"/>
  <c r="I48" i="37" s="1"/>
  <c r="K48" i="37"/>
  <c r="P48" i="37"/>
  <c r="E49" i="37"/>
  <c r="H49" i="37" s="1"/>
  <c r="K49" i="37"/>
  <c r="P49" i="37"/>
  <c r="E50" i="37"/>
  <c r="H50" i="37" s="1"/>
  <c r="I50" i="37" s="1"/>
  <c r="K50" i="37"/>
  <c r="P50" i="37"/>
  <c r="E51" i="37"/>
  <c r="H51" i="37" s="1"/>
  <c r="K51" i="37"/>
  <c r="P51" i="37"/>
  <c r="E52" i="37"/>
  <c r="H52" i="37" s="1"/>
  <c r="K52" i="37"/>
  <c r="P52" i="37"/>
  <c r="E53" i="37"/>
  <c r="H53" i="37" s="1"/>
  <c r="O53" i="37" s="1"/>
  <c r="K53" i="37"/>
  <c r="P53" i="37"/>
  <c r="E54" i="37"/>
  <c r="H54" i="37" s="1"/>
  <c r="K54" i="37"/>
  <c r="P54" i="37"/>
  <c r="E55" i="37"/>
  <c r="H55" i="37" s="1"/>
  <c r="P55" i="37"/>
  <c r="K55" i="37"/>
  <c r="E56" i="37"/>
  <c r="H56" i="37" s="1"/>
  <c r="I56" i="37" s="1"/>
  <c r="P56" i="37"/>
  <c r="K56" i="37"/>
  <c r="I9" i="20"/>
  <c r="I10" i="20"/>
  <c r="K10" i="20" s="1"/>
  <c r="L10" i="20" s="1"/>
  <c r="K11" i="20"/>
  <c r="L11" i="20" s="1"/>
  <c r="K12" i="20"/>
  <c r="L12" i="20" s="1"/>
  <c r="K13" i="20"/>
  <c r="L13" i="20" s="1"/>
  <c r="K14" i="20"/>
  <c r="L14" i="20" s="1"/>
  <c r="K15" i="20"/>
  <c r="L15" i="20" s="1"/>
  <c r="I16" i="20"/>
  <c r="K16" i="20" s="1"/>
  <c r="L16" i="20" s="1"/>
  <c r="I17" i="20"/>
  <c r="K17" i="20" s="1"/>
  <c r="L17" i="20" s="1"/>
  <c r="I18" i="20"/>
  <c r="K18" i="20" s="1"/>
  <c r="L18" i="20" s="1"/>
  <c r="I19" i="20"/>
  <c r="K19" i="20" s="1"/>
  <c r="L19" i="20" s="1"/>
  <c r="K20" i="20"/>
  <c r="L20" i="20" s="1"/>
  <c r="K21" i="20"/>
  <c r="L21" i="20" s="1"/>
  <c r="I22" i="20"/>
  <c r="K22" i="20" s="1"/>
  <c r="L22" i="20" s="1"/>
  <c r="I23" i="20"/>
  <c r="K23" i="20" s="1"/>
  <c r="L23" i="20" s="1"/>
  <c r="I24" i="20"/>
  <c r="K24" i="20" s="1"/>
  <c r="L24" i="20" s="1"/>
  <c r="I25" i="20"/>
  <c r="K25" i="20" s="1"/>
  <c r="L25" i="20" s="1"/>
  <c r="I26" i="20"/>
  <c r="K26" i="20" s="1"/>
  <c r="L26" i="20" s="1"/>
  <c r="I27" i="20"/>
  <c r="K27" i="20" s="1"/>
  <c r="L27" i="20" s="1"/>
  <c r="I28" i="20"/>
  <c r="K28" i="20" s="1"/>
  <c r="L28" i="20" s="1"/>
  <c r="I29" i="20"/>
  <c r="K29" i="20" s="1"/>
  <c r="L29" i="20" s="1"/>
  <c r="K30" i="20"/>
  <c r="L30" i="20" s="1"/>
  <c r="I31" i="20"/>
  <c r="K31" i="20" s="1"/>
  <c r="L31" i="20" s="1"/>
  <c r="I32" i="20"/>
  <c r="K32" i="20" s="1"/>
  <c r="L32" i="20" s="1"/>
  <c r="I33" i="20"/>
  <c r="K33" i="20" s="1"/>
  <c r="L33" i="20" s="1"/>
  <c r="I34" i="20"/>
  <c r="K34" i="20" s="1"/>
  <c r="L34" i="20"/>
  <c r="I35" i="20"/>
  <c r="K35" i="20" s="1"/>
  <c r="L35" i="20" s="1"/>
  <c r="I36" i="20"/>
  <c r="K36" i="20" s="1"/>
  <c r="L36" i="20" s="1"/>
  <c r="I37" i="20"/>
  <c r="K37" i="20" s="1"/>
  <c r="L37" i="20" s="1"/>
  <c r="I38" i="20"/>
  <c r="K38" i="20" s="1"/>
  <c r="L38" i="20" s="1"/>
  <c r="C39" i="20"/>
  <c r="E39" i="20"/>
  <c r="F39" i="20"/>
  <c r="H39" i="20"/>
  <c r="E38" i="2"/>
  <c r="C11" i="41"/>
  <c r="B11" i="41" s="1"/>
  <c r="G11" i="41"/>
  <c r="J11" i="41"/>
  <c r="M11" i="41"/>
  <c r="P11" i="41"/>
  <c r="C12" i="41"/>
  <c r="B12" i="41" s="1"/>
  <c r="G12" i="41"/>
  <c r="J12" i="41"/>
  <c r="M12" i="41"/>
  <c r="P12" i="41"/>
  <c r="C13" i="41"/>
  <c r="B13" i="41" s="1"/>
  <c r="G13" i="41"/>
  <c r="J13" i="41"/>
  <c r="M13" i="41"/>
  <c r="P13" i="41"/>
  <c r="C14" i="41"/>
  <c r="B14" i="41" s="1"/>
  <c r="G14" i="41"/>
  <c r="J14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4" i="41"/>
  <c r="M35" i="41"/>
  <c r="M36" i="41"/>
  <c r="P14" i="41"/>
  <c r="C15" i="41"/>
  <c r="B15" i="41" s="1"/>
  <c r="G15" i="41"/>
  <c r="J15" i="41"/>
  <c r="P15" i="41"/>
  <c r="C16" i="41"/>
  <c r="B16" i="41" s="1"/>
  <c r="G16" i="41"/>
  <c r="J16" i="41"/>
  <c r="P16" i="41"/>
  <c r="C17" i="41"/>
  <c r="G17" i="41"/>
  <c r="J17" i="41"/>
  <c r="P17" i="41"/>
  <c r="C18" i="41"/>
  <c r="G18" i="41"/>
  <c r="J18" i="41"/>
  <c r="P18" i="41"/>
  <c r="C19" i="41"/>
  <c r="G19" i="41"/>
  <c r="J19" i="41"/>
  <c r="P19" i="41"/>
  <c r="C20" i="41"/>
  <c r="G20" i="41"/>
  <c r="J20" i="41"/>
  <c r="P20" i="41"/>
  <c r="C21" i="41"/>
  <c r="G21" i="41"/>
  <c r="J21" i="41"/>
  <c r="P21" i="41"/>
  <c r="C22" i="41"/>
  <c r="G22" i="41"/>
  <c r="J22" i="41"/>
  <c r="P22" i="41"/>
  <c r="C23" i="41"/>
  <c r="G23" i="41"/>
  <c r="J23" i="41"/>
  <c r="P23" i="41"/>
  <c r="C24" i="41"/>
  <c r="B24" i="41" s="1"/>
  <c r="G24" i="41"/>
  <c r="J24" i="41"/>
  <c r="P24" i="41"/>
  <c r="C25" i="41"/>
  <c r="B25" i="41" s="1"/>
  <c r="G25" i="41"/>
  <c r="J25" i="41"/>
  <c r="P25" i="41"/>
  <c r="C26" i="41"/>
  <c r="B26" i="41" s="1"/>
  <c r="G26" i="41"/>
  <c r="J26" i="41"/>
  <c r="P26" i="41"/>
  <c r="C27" i="41"/>
  <c r="B27" i="41" s="1"/>
  <c r="G27" i="41"/>
  <c r="J27" i="41"/>
  <c r="P27" i="41"/>
  <c r="C28" i="41"/>
  <c r="B28" i="41" s="1"/>
  <c r="G28" i="41"/>
  <c r="J28" i="41"/>
  <c r="P28" i="41"/>
  <c r="C29" i="41"/>
  <c r="B29" i="41" s="1"/>
  <c r="G29" i="41"/>
  <c r="J29" i="41"/>
  <c r="P29" i="41"/>
  <c r="C30" i="41"/>
  <c r="C31" i="41"/>
  <c r="C32" i="41"/>
  <c r="C33" i="41"/>
  <c r="C34" i="41"/>
  <c r="B34" i="41" s="1"/>
  <c r="G34" i="41"/>
  <c r="J34" i="41"/>
  <c r="P34" i="41"/>
  <c r="C35" i="41"/>
  <c r="B35" i="41" s="1"/>
  <c r="G35" i="41"/>
  <c r="J35" i="41"/>
  <c r="P35" i="41"/>
  <c r="C36" i="41"/>
  <c r="B36" i="41" s="1"/>
  <c r="G36" i="41"/>
  <c r="J36" i="41"/>
  <c r="P36" i="41"/>
  <c r="B38" i="41"/>
  <c r="G38" i="41"/>
  <c r="Q38" i="41" s="1"/>
  <c r="B39" i="41"/>
  <c r="G39" i="41"/>
  <c r="Q39" i="41" s="1"/>
  <c r="B40" i="41"/>
  <c r="G40" i="41"/>
  <c r="Q40" i="41" s="1"/>
  <c r="B41" i="41"/>
  <c r="G41" i="41"/>
  <c r="Q41" i="41" s="1"/>
  <c r="B46" i="41"/>
  <c r="G46" i="41"/>
  <c r="Q46" i="41" s="1"/>
  <c r="B47" i="41"/>
  <c r="Q47" i="41"/>
  <c r="B48" i="41"/>
  <c r="Q48" i="41"/>
  <c r="E49" i="41"/>
  <c r="G49" i="41" s="1"/>
  <c r="H49" i="41"/>
  <c r="K49" i="41"/>
  <c r="N49" i="4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J15" i="15"/>
  <c r="N15" i="15"/>
  <c r="O15" i="15"/>
  <c r="H16" i="15"/>
  <c r="I16" i="15" s="1"/>
  <c r="J16" i="15"/>
  <c r="N16" i="15"/>
  <c r="O16" i="15"/>
  <c r="P16" i="15" s="1"/>
  <c r="O17" i="15"/>
  <c r="P17" i="15" s="1"/>
  <c r="O18" i="15"/>
  <c r="P18" i="15"/>
  <c r="O19" i="15"/>
  <c r="P19" i="15" s="1"/>
  <c r="O20" i="15"/>
  <c r="P20" i="15" s="1"/>
  <c r="O21" i="15"/>
  <c r="P21" i="15" s="1"/>
  <c r="O22" i="15"/>
  <c r="P22" i="15" s="1"/>
  <c r="O23" i="15"/>
  <c r="P23" i="15" s="1"/>
  <c r="O24" i="15"/>
  <c r="P24" i="15" s="1"/>
  <c r="O25" i="15"/>
  <c r="P25" i="15" s="1"/>
  <c r="H17" i="15"/>
  <c r="I17" i="15" s="1"/>
  <c r="J17" i="15"/>
  <c r="N17" i="15"/>
  <c r="H18" i="15"/>
  <c r="I18" i="15" s="1"/>
  <c r="J18" i="15"/>
  <c r="N18" i="15"/>
  <c r="H19" i="15"/>
  <c r="I19" i="15" s="1"/>
  <c r="J19" i="15"/>
  <c r="N19" i="15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J20" i="15"/>
  <c r="N20" i="15"/>
  <c r="J21" i="15"/>
  <c r="N21" i="15"/>
  <c r="J22" i="15"/>
  <c r="N22" i="15"/>
  <c r="J23" i="15"/>
  <c r="N23" i="15"/>
  <c r="J24" i="15"/>
  <c r="N24" i="15"/>
  <c r="J25" i="15"/>
  <c r="N25" i="15"/>
  <c r="D26" i="15"/>
  <c r="E26" i="15"/>
  <c r="F26" i="15"/>
  <c r="G26" i="15"/>
  <c r="J26" i="15"/>
  <c r="M27" i="15"/>
  <c r="M29" i="15" s="1"/>
  <c r="N29" i="15" s="1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E11" i="28"/>
  <c r="E13" i="28" s="1"/>
  <c r="U16" i="28" s="1"/>
  <c r="P11" i="58"/>
  <c r="P12" i="58"/>
  <c r="P13" i="58"/>
  <c r="P14" i="58"/>
  <c r="P15" i="58"/>
  <c r="P16" i="58"/>
  <c r="P17" i="58"/>
  <c r="P19" i="58"/>
  <c r="P21" i="58"/>
  <c r="P24" i="58"/>
  <c r="P28" i="58"/>
  <c r="P29" i="58"/>
  <c r="P30" i="58"/>
  <c r="F22" i="59"/>
  <c r="AG22" i="4"/>
  <c r="AH20" i="4"/>
  <c r="AG20" i="4"/>
  <c r="AG13" i="4"/>
  <c r="AG23" i="4"/>
  <c r="AH17" i="4"/>
  <c r="AH22" i="4"/>
  <c r="AH18" i="4"/>
  <c r="AI18" i="4" s="1"/>
  <c r="AG17" i="4"/>
  <c r="AH23" i="4"/>
  <c r="AG44" i="4"/>
  <c r="AH44" i="4"/>
  <c r="AG49" i="4"/>
  <c r="AH15" i="4"/>
  <c r="AG48" i="4"/>
  <c r="AG15" i="4"/>
  <c r="AH48" i="4"/>
  <c r="AH49" i="4"/>
  <c r="AG29" i="4"/>
  <c r="AG30" i="4"/>
  <c r="AH29" i="4"/>
  <c r="AH30" i="4"/>
  <c r="D38" i="2"/>
  <c r="AH31" i="4"/>
  <c r="AH19" i="4"/>
  <c r="AH25" i="4"/>
  <c r="AH37" i="4"/>
  <c r="AH34" i="4"/>
  <c r="AH36" i="4"/>
  <c r="AH11" i="4"/>
  <c r="AH45" i="4"/>
  <c r="AG45" i="4"/>
  <c r="AH27" i="4"/>
  <c r="AG27" i="4"/>
  <c r="AH39" i="4"/>
  <c r="AH47" i="4"/>
  <c r="AH16" i="4"/>
  <c r="AH46" i="4"/>
  <c r="AH24" i="4"/>
  <c r="AH26" i="4"/>
  <c r="AH9" i="4"/>
  <c r="C38" i="2"/>
  <c r="AG28" i="4"/>
  <c r="AG16" i="4"/>
  <c r="AG25" i="4"/>
  <c r="AG11" i="4"/>
  <c r="AG10" i="4"/>
  <c r="AG26" i="4"/>
  <c r="AG46" i="4"/>
  <c r="AG12" i="4"/>
  <c r="AG9" i="4"/>
  <c r="AG60" i="4" s="1"/>
  <c r="AG47" i="4"/>
  <c r="AG34" i="4"/>
  <c r="AG36" i="4"/>
  <c r="V84" i="5"/>
  <c r="AG39" i="4"/>
  <c r="AG19" i="4"/>
  <c r="AG31" i="4"/>
  <c r="AG37" i="4"/>
  <c r="AG21" i="4"/>
  <c r="AI21" i="4" s="1"/>
  <c r="AG41" i="4"/>
  <c r="AG52" i="4"/>
  <c r="T23" i="1"/>
  <c r="AI10" i="4"/>
  <c r="AG33" i="4"/>
  <c r="AG42" i="4"/>
  <c r="AG35" i="4"/>
  <c r="AI35" i="4" s="1"/>
  <c r="AG40" i="4"/>
  <c r="AG32" i="4"/>
  <c r="AI32" i="4" s="1"/>
  <c r="AG43" i="4"/>
  <c r="AI43" i="4" s="1"/>
  <c r="AG24" i="4"/>
  <c r="H90" i="5"/>
  <c r="G13" i="83"/>
  <c r="N12" i="29"/>
  <c r="N85" i="5"/>
  <c r="P85" i="5" s="1"/>
  <c r="K89" i="5"/>
  <c r="N87" i="5"/>
  <c r="P87" i="5" s="1"/>
  <c r="H17" i="63"/>
  <c r="J20" i="64"/>
  <c r="J19" i="64" s="1"/>
  <c r="J24" i="64" s="1"/>
  <c r="K20" i="64"/>
  <c r="K19" i="64" s="1"/>
  <c r="O19" i="64"/>
  <c r="I20" i="63"/>
  <c r="I19" i="63" s="1"/>
  <c r="O84" i="5"/>
  <c r="H88" i="5"/>
  <c r="N88" i="5"/>
  <c r="P88" i="5" s="1"/>
  <c r="N86" i="5"/>
  <c r="P86" i="5" s="1"/>
  <c r="S86" i="5" s="1"/>
  <c r="G15" i="63"/>
  <c r="H18" i="63"/>
  <c r="S88" i="5"/>
  <c r="S41" i="58"/>
  <c r="F17" i="79"/>
  <c r="L17" i="79" s="1"/>
  <c r="L16" i="79" s="1"/>
  <c r="U12" i="5"/>
  <c r="AB31" i="100"/>
  <c r="H16" i="86"/>
  <c r="L16" i="86" s="1"/>
  <c r="P16" i="86" s="1"/>
  <c r="S16" i="86" s="1"/>
  <c r="V16" i="86" s="1"/>
  <c r="K31" i="97"/>
  <c r="K49" i="97"/>
  <c r="K28" i="97"/>
  <c r="J21" i="98"/>
  <c r="J25" i="98"/>
  <c r="J17" i="98"/>
  <c r="K29" i="99"/>
  <c r="K42" i="97"/>
  <c r="K16" i="97"/>
  <c r="K40" i="97"/>
  <c r="K27" i="97"/>
  <c r="K18" i="99"/>
  <c r="K25" i="99"/>
  <c r="B42" i="104"/>
  <c r="B171" i="125"/>
  <c r="B88" i="125"/>
  <c r="B43" i="125"/>
  <c r="B3" i="125"/>
  <c r="H84" i="58"/>
  <c r="I84" i="58" s="1"/>
  <c r="L84" i="58" s="1"/>
  <c r="D41" i="3"/>
  <c r="D49" i="3"/>
  <c r="J28" i="98"/>
  <c r="J16" i="98"/>
  <c r="K15" i="116"/>
  <c r="K17" i="116"/>
  <c r="K21" i="116"/>
  <c r="K23" i="116"/>
  <c r="K27" i="116"/>
  <c r="J24" i="98"/>
  <c r="D33" i="3"/>
  <c r="AA11" i="105"/>
  <c r="AE13" i="113"/>
  <c r="T12" i="113"/>
  <c r="F12" i="113"/>
  <c r="X11" i="113"/>
  <c r="K14" i="116" l="1"/>
  <c r="H51" i="116"/>
  <c r="B62" i="101"/>
  <c r="H37" i="146"/>
  <c r="H74" i="3"/>
  <c r="F69" i="114" s="1"/>
  <c r="H36" i="146"/>
  <c r="H73" i="3"/>
  <c r="F68" i="114" s="1"/>
  <c r="P37" i="3"/>
  <c r="L43" i="37"/>
  <c r="J27" i="98"/>
  <c r="Q32" i="37"/>
  <c r="R32" i="37" s="1"/>
  <c r="S32" i="37" s="1"/>
  <c r="B152" i="104"/>
  <c r="K28" i="99"/>
  <c r="J19" i="98"/>
  <c r="AI25" i="4"/>
  <c r="AI23" i="4"/>
  <c r="Q29" i="41"/>
  <c r="Q29" i="37"/>
  <c r="R29" i="37" s="1"/>
  <c r="V29" i="118"/>
  <c r="X29" i="118" s="1"/>
  <c r="O32" i="118"/>
  <c r="O13" i="37"/>
  <c r="O25" i="37"/>
  <c r="Q25" i="37" s="1"/>
  <c r="R25" i="37" s="1"/>
  <c r="Q53" i="37"/>
  <c r="R53" i="37" s="1"/>
  <c r="AI41" i="4"/>
  <c r="I15" i="1"/>
  <c r="U18" i="1" s="1"/>
  <c r="I11" i="37"/>
  <c r="AI53" i="4"/>
  <c r="AI50" i="4"/>
  <c r="H296" i="125"/>
  <c r="I296" i="125" s="1"/>
  <c r="AI30" i="4"/>
  <c r="AI54" i="4"/>
  <c r="K20" i="99"/>
  <c r="O23" i="129"/>
  <c r="O40" i="129"/>
  <c r="O48" i="129"/>
  <c r="M39" i="132"/>
  <c r="O39" i="132" s="1"/>
  <c r="D57" i="3"/>
  <c r="Q13" i="37"/>
  <c r="R13" i="37" s="1"/>
  <c r="AI19" i="4"/>
  <c r="AI46" i="4"/>
  <c r="AI13" i="4"/>
  <c r="Q22" i="41"/>
  <c r="P25" i="86"/>
  <c r="S25" i="86" s="1"/>
  <c r="V25" i="86" s="1"/>
  <c r="J15" i="98"/>
  <c r="S13" i="129"/>
  <c r="J47" i="120"/>
  <c r="M47" i="120" s="1"/>
  <c r="K39" i="97"/>
  <c r="S87" i="5"/>
  <c r="X87" i="5" s="1"/>
  <c r="AB95" i="5"/>
  <c r="S20" i="127"/>
  <c r="T24" i="127" s="1"/>
  <c r="J44" i="120"/>
  <c r="M44" i="120" s="1"/>
  <c r="Q41" i="37"/>
  <c r="R41" i="37" s="1"/>
  <c r="X56" i="91"/>
  <c r="Q24" i="41"/>
  <c r="O40" i="118"/>
  <c r="K30" i="97"/>
  <c r="J23" i="98"/>
  <c r="AI26" i="4"/>
  <c r="AI15" i="4"/>
  <c r="AI25" i="94"/>
  <c r="O50" i="37"/>
  <c r="AI47" i="4"/>
  <c r="AI48" i="4"/>
  <c r="Q35" i="41"/>
  <c r="O55" i="117"/>
  <c r="O43" i="132"/>
  <c r="O41" i="132" s="1"/>
  <c r="O40" i="132" s="1"/>
  <c r="O9" i="37"/>
  <c r="Q9" i="37" s="1"/>
  <c r="R9" i="37" s="1"/>
  <c r="S9" i="37" s="1"/>
  <c r="I9" i="37"/>
  <c r="L9" i="37" s="1"/>
  <c r="M9" i="37" s="1"/>
  <c r="I30" i="146"/>
  <c r="J67" i="3"/>
  <c r="I22" i="146"/>
  <c r="O51" i="3"/>
  <c r="I48" i="108"/>
  <c r="P43" i="3"/>
  <c r="P35" i="3"/>
  <c r="C101" i="125"/>
  <c r="I32" i="108"/>
  <c r="Q34" i="41"/>
  <c r="Q33" i="37"/>
  <c r="R33" i="37" s="1"/>
  <c r="S33" i="37" s="1"/>
  <c r="J24" i="120"/>
  <c r="J19" i="120"/>
  <c r="J85" i="3"/>
  <c r="C319" i="125" s="1"/>
  <c r="H22" i="110"/>
  <c r="H18" i="110"/>
  <c r="J64" i="3"/>
  <c r="C237" i="125" s="1"/>
  <c r="I19" i="146"/>
  <c r="N48" i="3"/>
  <c r="I45" i="108"/>
  <c r="M37" i="108"/>
  <c r="H121" i="125"/>
  <c r="O32" i="3"/>
  <c r="I29" i="108"/>
  <c r="H81" i="125"/>
  <c r="N21" i="108"/>
  <c r="I21" i="37"/>
  <c r="L21" i="37" s="1"/>
  <c r="M21" i="37" s="1"/>
  <c r="AM21" i="4" s="1"/>
  <c r="N89" i="5"/>
  <c r="Q50" i="37"/>
  <c r="R50" i="37" s="1"/>
  <c r="O56" i="37"/>
  <c r="Q56" i="37" s="1"/>
  <c r="R56" i="37" s="1"/>
  <c r="AI29" i="4"/>
  <c r="L14" i="1"/>
  <c r="H22" i="59"/>
  <c r="G12" i="142" s="1"/>
  <c r="G17" i="142" s="1"/>
  <c r="S30" i="118"/>
  <c r="S31" i="118" s="1"/>
  <c r="I32" i="146"/>
  <c r="I24" i="146"/>
  <c r="N42" i="108"/>
  <c r="N34" i="108"/>
  <c r="C111" i="125"/>
  <c r="P29" i="3"/>
  <c r="C71" i="125"/>
  <c r="M21" i="3"/>
  <c r="I18" i="108"/>
  <c r="AI40" i="4"/>
  <c r="AI36" i="4"/>
  <c r="O42" i="117"/>
  <c r="O42" i="127"/>
  <c r="J20" i="120"/>
  <c r="M20" i="120" s="1"/>
  <c r="J16" i="120"/>
  <c r="M16" i="120" s="1"/>
  <c r="I29" i="146"/>
  <c r="J58" i="3"/>
  <c r="I21" i="146"/>
  <c r="H134" i="125"/>
  <c r="H91" i="125"/>
  <c r="I15" i="108"/>
  <c r="Q24" i="37"/>
  <c r="R24" i="37" s="1"/>
  <c r="Q11" i="37"/>
  <c r="R11" i="37" s="1"/>
  <c r="U29" i="118"/>
  <c r="AB14" i="129"/>
  <c r="AB15" i="129" s="1"/>
  <c r="M63" i="3"/>
  <c r="I26" i="146"/>
  <c r="J63" i="3"/>
  <c r="H227" i="125" s="1"/>
  <c r="N44" i="108"/>
  <c r="P39" i="3"/>
  <c r="C121" i="125"/>
  <c r="I36" i="108"/>
  <c r="J42" i="120"/>
  <c r="M42" i="120" s="1"/>
  <c r="J84" i="3"/>
  <c r="J82" i="3"/>
  <c r="H19" i="110"/>
  <c r="J80" i="3"/>
  <c r="H288" i="125" s="1"/>
  <c r="I31" i="146"/>
  <c r="I23" i="146"/>
  <c r="M49" i="108"/>
  <c r="M41" i="108"/>
  <c r="P36" i="3"/>
  <c r="H101" i="125"/>
  <c r="I33" i="108"/>
  <c r="N28" i="3"/>
  <c r="I25" i="108"/>
  <c r="N20" i="3"/>
  <c r="I17" i="108"/>
  <c r="L42" i="37"/>
  <c r="M42" i="37" s="1"/>
  <c r="G20" i="42"/>
  <c r="M65" i="3"/>
  <c r="I28" i="146"/>
  <c r="J57" i="3"/>
  <c r="H197" i="125" s="1"/>
  <c r="I20" i="146"/>
  <c r="N46" i="108"/>
  <c r="N38" i="108"/>
  <c r="I38" i="108"/>
  <c r="C134" i="125"/>
  <c r="O30" i="108"/>
  <c r="N25" i="3"/>
  <c r="P14" i="108"/>
  <c r="J17" i="3"/>
  <c r="C6" i="125" s="1"/>
  <c r="I17" i="3"/>
  <c r="O15" i="37"/>
  <c r="Q15" i="37" s="1"/>
  <c r="R15" i="37" s="1"/>
  <c r="AI24" i="4"/>
  <c r="AI55" i="4"/>
  <c r="AI38" i="4"/>
  <c r="K14" i="99"/>
  <c r="J22" i="120"/>
  <c r="M22" i="120" s="1"/>
  <c r="J70" i="3"/>
  <c r="C268" i="125" s="1"/>
  <c r="J62" i="3"/>
  <c r="C227" i="125" s="1"/>
  <c r="I25" i="146"/>
  <c r="I43" i="108"/>
  <c r="H111" i="125"/>
  <c r="I27" i="108"/>
  <c r="J88" i="3"/>
  <c r="J90" i="3"/>
  <c r="E11" i="68"/>
  <c r="G12" i="100"/>
  <c r="R12" i="100"/>
  <c r="X93" i="5"/>
  <c r="X98" i="5" s="1"/>
  <c r="D78" i="3"/>
  <c r="P49" i="3"/>
  <c r="P41" i="3"/>
  <c r="P33" i="3"/>
  <c r="O34" i="108"/>
  <c r="N26" i="108"/>
  <c r="M25" i="3"/>
  <c r="H90" i="3"/>
  <c r="H29" i="110"/>
  <c r="M77" i="3"/>
  <c r="H16" i="110"/>
  <c r="H88" i="3"/>
  <c r="H27" i="110"/>
  <c r="G316" i="125"/>
  <c r="H317" i="125"/>
  <c r="I317" i="125" s="1"/>
  <c r="P21" i="3"/>
  <c r="N14" i="108"/>
  <c r="M17" i="3"/>
  <c r="H26" i="110"/>
  <c r="H25" i="110"/>
  <c r="N85" i="3"/>
  <c r="H24" i="110"/>
  <c r="P84" i="3"/>
  <c r="H23" i="110"/>
  <c r="H21" i="110"/>
  <c r="O81" i="3"/>
  <c r="H20" i="110"/>
  <c r="H17" i="110"/>
  <c r="B305" i="125"/>
  <c r="P25" i="3"/>
  <c r="O29" i="3"/>
  <c r="N18" i="108"/>
  <c r="H89" i="3"/>
  <c r="H28" i="110"/>
  <c r="G28" i="5"/>
  <c r="K28" i="5" s="1"/>
  <c r="R84" i="5"/>
  <c r="R92" i="5" s="1"/>
  <c r="B122" i="104"/>
  <c r="B117" i="101"/>
  <c r="B52" i="101"/>
  <c r="B157" i="104"/>
  <c r="N26" i="146"/>
  <c r="M59" i="3"/>
  <c r="L66" i="5"/>
  <c r="P25" i="108"/>
  <c r="N44" i="3"/>
  <c r="M25" i="108"/>
  <c r="B12" i="104"/>
  <c r="G66" i="5"/>
  <c r="K66" i="5" s="1"/>
  <c r="N66" i="5" s="1"/>
  <c r="P66" i="5" s="1"/>
  <c r="S66" i="5" s="1"/>
  <c r="B22" i="104"/>
  <c r="P49" i="108"/>
  <c r="O47" i="3"/>
  <c r="O90" i="3"/>
  <c r="H78" i="133"/>
  <c r="G32" i="5"/>
  <c r="K32" i="5" s="1"/>
  <c r="G24" i="5"/>
  <c r="K24" i="5" s="1"/>
  <c r="G16" i="5"/>
  <c r="K16" i="5" s="1"/>
  <c r="B17" i="101"/>
  <c r="G65" i="5"/>
  <c r="K65" i="5" s="1"/>
  <c r="O67" i="3"/>
  <c r="B87" i="101"/>
  <c r="D62" i="3"/>
  <c r="B147" i="104"/>
  <c r="B127" i="101"/>
  <c r="G57" i="5"/>
  <c r="K57" i="5" s="1"/>
  <c r="C83" i="5"/>
  <c r="G83" i="5" s="1"/>
  <c r="K83" i="5" s="1"/>
  <c r="N83" i="5" s="1"/>
  <c r="P83" i="5" s="1"/>
  <c r="S83" i="5" s="1"/>
  <c r="P29" i="108"/>
  <c r="O52" i="3"/>
  <c r="O20" i="3"/>
  <c r="M47" i="3"/>
  <c r="D43" i="3"/>
  <c r="B107" i="104"/>
  <c r="B57" i="104"/>
  <c r="B47" i="101"/>
  <c r="G48" i="5"/>
  <c r="K48" i="5" s="1"/>
  <c r="P47" i="3"/>
  <c r="O63" i="3"/>
  <c r="O41" i="3"/>
  <c r="O22" i="108"/>
  <c r="N39" i="3"/>
  <c r="N30" i="108"/>
  <c r="B82" i="101"/>
  <c r="K21" i="97"/>
  <c r="K23" i="97"/>
  <c r="K26" i="97"/>
  <c r="K47" i="97"/>
  <c r="K41" i="97"/>
  <c r="K29" i="97"/>
  <c r="K24" i="97"/>
  <c r="K44" i="97"/>
  <c r="K17" i="97"/>
  <c r="K15" i="99"/>
  <c r="K23" i="99"/>
  <c r="K19" i="99"/>
  <c r="K21" i="99"/>
  <c r="K17" i="99"/>
  <c r="J28" i="123"/>
  <c r="J24" i="123"/>
  <c r="J20" i="123"/>
  <c r="J16" i="123"/>
  <c r="I30" i="37"/>
  <c r="L30" i="37" s="1"/>
  <c r="M30" i="37" s="1"/>
  <c r="O30" i="37"/>
  <c r="Q30" i="37" s="1"/>
  <c r="R30" i="37" s="1"/>
  <c r="J14" i="130"/>
  <c r="J25" i="123"/>
  <c r="J21" i="123"/>
  <c r="J17" i="123"/>
  <c r="K32" i="116"/>
  <c r="K22" i="122"/>
  <c r="K20" i="122"/>
  <c r="K15" i="124"/>
  <c r="O55" i="37"/>
  <c r="I55" i="37"/>
  <c r="L55" i="37" s="1"/>
  <c r="M55" i="37" s="1"/>
  <c r="AM55" i="4" s="1"/>
  <c r="O31" i="37"/>
  <c r="Q31" i="37" s="1"/>
  <c r="R31" i="37" s="1"/>
  <c r="I31" i="37"/>
  <c r="L31" i="37" s="1"/>
  <c r="M31" i="37" s="1"/>
  <c r="AM31" i="4" s="1"/>
  <c r="K22" i="119"/>
  <c r="K18" i="119"/>
  <c r="H31" i="146"/>
  <c r="J26" i="123"/>
  <c r="J22" i="123"/>
  <c r="J18" i="123"/>
  <c r="J14" i="123"/>
  <c r="H30" i="123"/>
  <c r="K25" i="116"/>
  <c r="K20" i="124"/>
  <c r="K18" i="124"/>
  <c r="K16" i="116"/>
  <c r="I28" i="37"/>
  <c r="L28" i="37" s="1"/>
  <c r="M28" i="37" s="1"/>
  <c r="O28" i="37"/>
  <c r="Q28" i="37" s="1"/>
  <c r="R28" i="37" s="1"/>
  <c r="S28" i="37" s="1"/>
  <c r="J27" i="123"/>
  <c r="J23" i="123"/>
  <c r="J19" i="123"/>
  <c r="J15" i="123"/>
  <c r="K48" i="122"/>
  <c r="K19" i="116"/>
  <c r="AI37" i="4"/>
  <c r="B132" i="101"/>
  <c r="G11" i="28"/>
  <c r="G13" i="28" s="1"/>
  <c r="B72" i="101"/>
  <c r="I53" i="37"/>
  <c r="L53" i="37" s="1"/>
  <c r="M53" i="37" s="1"/>
  <c r="H14" i="6"/>
  <c r="I14" i="6" s="1"/>
  <c r="K14" i="6" s="1"/>
  <c r="N14" i="6" s="1"/>
  <c r="O14" i="37"/>
  <c r="Q14" i="37" s="1"/>
  <c r="R14" i="37" s="1"/>
  <c r="AI27" i="4"/>
  <c r="AI11" i="4"/>
  <c r="AI17" i="4"/>
  <c r="Q28" i="41"/>
  <c r="Q25" i="41"/>
  <c r="L50" i="37"/>
  <c r="M50" i="37" s="1"/>
  <c r="AM50" i="4" s="1"/>
  <c r="Q35" i="37"/>
  <c r="R35" i="37" s="1"/>
  <c r="L15" i="37"/>
  <c r="M15" i="37" s="1"/>
  <c r="L12" i="1"/>
  <c r="L15" i="1" s="1"/>
  <c r="J24" i="130"/>
  <c r="M84" i="3"/>
  <c r="AI39" i="4"/>
  <c r="B172" i="101"/>
  <c r="AI9" i="4"/>
  <c r="AI60" i="4" s="1"/>
  <c r="L47" i="37"/>
  <c r="M47" i="37" s="1"/>
  <c r="AM47" i="4" s="1"/>
  <c r="L44" i="37"/>
  <c r="M44" i="37" s="1"/>
  <c r="AM44" i="4" s="1"/>
  <c r="L13" i="37"/>
  <c r="M13" i="37" s="1"/>
  <c r="L12" i="37"/>
  <c r="M12" i="37" s="1"/>
  <c r="L11" i="37"/>
  <c r="M11" i="37" s="1"/>
  <c r="AM11" i="4" s="1"/>
  <c r="S60" i="4"/>
  <c r="AI28" i="4"/>
  <c r="E18" i="72"/>
  <c r="Q84" i="5"/>
  <c r="Q92" i="5" s="1"/>
  <c r="M24" i="64"/>
  <c r="L24" i="64"/>
  <c r="R17" i="86"/>
  <c r="R30" i="86" s="1"/>
  <c r="J17" i="86"/>
  <c r="J30" i="86" s="1"/>
  <c r="O37" i="117"/>
  <c r="O39" i="127"/>
  <c r="O36" i="127" s="1"/>
  <c r="O52" i="129"/>
  <c r="O47" i="129" s="1"/>
  <c r="J22" i="130"/>
  <c r="J46" i="120"/>
  <c r="J43" i="120"/>
  <c r="M43" i="120" s="1"/>
  <c r="J39" i="120"/>
  <c r="J34" i="120"/>
  <c r="J32" i="120"/>
  <c r="M32" i="120" s="1"/>
  <c r="J15" i="120"/>
  <c r="F12" i="85"/>
  <c r="AI12" i="4"/>
  <c r="AA16" i="19"/>
  <c r="AB16" i="19" s="1"/>
  <c r="Q20" i="41"/>
  <c r="Q16" i="41"/>
  <c r="Q15" i="41"/>
  <c r="Q27" i="41"/>
  <c r="Q13" i="41"/>
  <c r="L48" i="37"/>
  <c r="M48" i="37" s="1"/>
  <c r="AF59" i="4"/>
  <c r="AI56" i="4"/>
  <c r="AI52" i="4"/>
  <c r="AI33" i="4"/>
  <c r="G15" i="64"/>
  <c r="G24" i="64" s="1"/>
  <c r="O25" i="117"/>
  <c r="O54" i="117"/>
  <c r="O26" i="118"/>
  <c r="T35" i="118"/>
  <c r="O44" i="118"/>
  <c r="T53" i="118"/>
  <c r="S21" i="127"/>
  <c r="W14" i="129"/>
  <c r="W15" i="129" s="1"/>
  <c r="Y13" i="129"/>
  <c r="O37" i="129"/>
  <c r="X14" i="129" s="1"/>
  <c r="X15" i="129" s="1"/>
  <c r="K27" i="99"/>
  <c r="J48" i="120"/>
  <c r="J35" i="120"/>
  <c r="J33" i="120"/>
  <c r="J27" i="120"/>
  <c r="M27" i="120" s="1"/>
  <c r="J25" i="120"/>
  <c r="J18" i="120"/>
  <c r="M18" i="120" s="1"/>
  <c r="J14" i="120"/>
  <c r="M14" i="120" s="1"/>
  <c r="I54" i="37"/>
  <c r="L54" i="37" s="1"/>
  <c r="M54" i="37" s="1"/>
  <c r="AM54" i="4" s="1"/>
  <c r="O54" i="37"/>
  <c r="Q54" i="37" s="1"/>
  <c r="R54" i="37" s="1"/>
  <c r="P12" i="29"/>
  <c r="P13" i="29" s="1"/>
  <c r="N13" i="29"/>
  <c r="O51" i="37"/>
  <c r="Q51" i="37" s="1"/>
  <c r="R51" i="37" s="1"/>
  <c r="I51" i="37"/>
  <c r="L51" i="37" s="1"/>
  <c r="M51" i="37" s="1"/>
  <c r="AM51" i="4" s="1"/>
  <c r="I52" i="37"/>
  <c r="L52" i="37" s="1"/>
  <c r="M52" i="37" s="1"/>
  <c r="O52" i="37"/>
  <c r="Q52" i="37" s="1"/>
  <c r="R52" i="37" s="1"/>
  <c r="I23" i="37"/>
  <c r="L23" i="37" s="1"/>
  <c r="M23" i="37" s="1"/>
  <c r="AM23" i="4" s="1"/>
  <c r="O23" i="37"/>
  <c r="Q23" i="37" s="1"/>
  <c r="R23" i="37" s="1"/>
  <c r="O92" i="5"/>
  <c r="O48" i="37"/>
  <c r="Q48" i="37" s="1"/>
  <c r="R48" i="37" s="1"/>
  <c r="I49" i="37"/>
  <c r="L49" i="37" s="1"/>
  <c r="M49" i="37" s="1"/>
  <c r="S49" i="37" s="1"/>
  <c r="O49" i="37"/>
  <c r="Q49" i="37" s="1"/>
  <c r="R49" i="37" s="1"/>
  <c r="AA11" i="19"/>
  <c r="AB11" i="19" s="1"/>
  <c r="Q19" i="41"/>
  <c r="K91" i="114"/>
  <c r="K26" i="119"/>
  <c r="K48" i="116"/>
  <c r="K43" i="124"/>
  <c r="K37" i="116"/>
  <c r="K35" i="122"/>
  <c r="K32" i="124"/>
  <c r="K24" i="122"/>
  <c r="K21" i="124"/>
  <c r="AA31" i="19"/>
  <c r="AB31" i="19" s="1"/>
  <c r="P90" i="5"/>
  <c r="O46" i="37"/>
  <c r="Q46" i="37" s="1"/>
  <c r="R46" i="37" s="1"/>
  <c r="S46" i="37" s="1"/>
  <c r="AI42" i="4"/>
  <c r="AA72" i="19"/>
  <c r="AB72" i="19" s="1"/>
  <c r="AA67" i="19"/>
  <c r="AB67" i="19" s="1"/>
  <c r="AA26" i="19"/>
  <c r="AB26" i="19" s="1"/>
  <c r="Q36" i="41"/>
  <c r="Q12" i="41"/>
  <c r="L25" i="37"/>
  <c r="M25" i="37" s="1"/>
  <c r="AM25" i="4" s="1"/>
  <c r="F62" i="84"/>
  <c r="AI16" i="87"/>
  <c r="T17" i="86"/>
  <c r="T30" i="86" s="1"/>
  <c r="K17" i="86"/>
  <c r="K30" i="86" s="1"/>
  <c r="Z14" i="129"/>
  <c r="Z15" i="129" s="1"/>
  <c r="K27" i="119"/>
  <c r="K15" i="119"/>
  <c r="J28" i="121"/>
  <c r="J26" i="121"/>
  <c r="J24" i="121"/>
  <c r="J23" i="121"/>
  <c r="J19" i="121"/>
  <c r="H30" i="121"/>
  <c r="K49" i="124"/>
  <c r="M46" i="120"/>
  <c r="K27" i="124"/>
  <c r="B137" i="104"/>
  <c r="B27" i="101"/>
  <c r="K22" i="99"/>
  <c r="AL11" i="94"/>
  <c r="AM11" i="94" s="1"/>
  <c r="P28" i="86"/>
  <c r="L28" i="86"/>
  <c r="L56" i="37"/>
  <c r="M56" i="37" s="1"/>
  <c r="AM56" i="4" s="1"/>
  <c r="K17" i="79"/>
  <c r="K16" i="79" s="1"/>
  <c r="I24" i="37"/>
  <c r="L24" i="37" s="1"/>
  <c r="M24" i="37" s="1"/>
  <c r="AM24" i="4" s="1"/>
  <c r="I32" i="37"/>
  <c r="L32" i="37" s="1"/>
  <c r="M32" i="37" s="1"/>
  <c r="I33" i="37"/>
  <c r="L33" i="37" s="1"/>
  <c r="M33" i="37" s="1"/>
  <c r="AM33" i="4" s="1"/>
  <c r="AF57" i="4"/>
  <c r="F12" i="6"/>
  <c r="H12" i="6" s="1"/>
  <c r="AI20" i="4"/>
  <c r="AA62" i="19"/>
  <c r="AB62" i="19" s="1"/>
  <c r="AA37" i="19"/>
  <c r="AB37" i="19" s="1"/>
  <c r="O27" i="15"/>
  <c r="O28" i="15" s="1"/>
  <c r="Q26" i="41"/>
  <c r="P49" i="41"/>
  <c r="Q55" i="37"/>
  <c r="R55" i="37" s="1"/>
  <c r="Q38" i="37"/>
  <c r="R38" i="37" s="1"/>
  <c r="Q34" i="37"/>
  <c r="R34" i="37" s="1"/>
  <c r="L16" i="37"/>
  <c r="AI51" i="4"/>
  <c r="P24" i="63"/>
  <c r="S24" i="64"/>
  <c r="K93" i="114"/>
  <c r="K22" i="116"/>
  <c r="K17" i="119"/>
  <c r="J21" i="121"/>
  <c r="T21" i="127"/>
  <c r="O45" i="127"/>
  <c r="J29" i="130"/>
  <c r="M27" i="132"/>
  <c r="W25" i="132" s="1"/>
  <c r="W28" i="132" s="1"/>
  <c r="J23" i="130"/>
  <c r="J19" i="130"/>
  <c r="H44" i="91"/>
  <c r="J44" i="91" s="1"/>
  <c r="K42" i="122"/>
  <c r="K41" i="124"/>
  <c r="K34" i="122"/>
  <c r="K31" i="122"/>
  <c r="K25" i="124"/>
  <c r="K14" i="124"/>
  <c r="H50" i="124"/>
  <c r="J15" i="1"/>
  <c r="V15" i="1" s="1"/>
  <c r="AI44" i="4"/>
  <c r="AA87" i="19"/>
  <c r="AB87" i="19" s="1"/>
  <c r="AA47" i="19"/>
  <c r="AB47" i="19" s="1"/>
  <c r="Q11" i="41"/>
  <c r="L27" i="37"/>
  <c r="Q26" i="37"/>
  <c r="R26" i="37" s="1"/>
  <c r="Q20" i="37"/>
  <c r="R20" i="37" s="1"/>
  <c r="L10" i="37"/>
  <c r="M10" i="37" s="1"/>
  <c r="L104" i="114"/>
  <c r="L106" i="114" s="1"/>
  <c r="K33" i="116"/>
  <c r="H30" i="119"/>
  <c r="T26" i="132"/>
  <c r="T28" i="132" s="1"/>
  <c r="O26" i="132"/>
  <c r="K29" i="119"/>
  <c r="K16" i="119"/>
  <c r="K14" i="119"/>
  <c r="H32" i="146"/>
  <c r="J27" i="121"/>
  <c r="J25" i="121"/>
  <c r="H25" i="146"/>
  <c r="J20" i="121"/>
  <c r="H23" i="146"/>
  <c r="J18" i="121"/>
  <c r="J17" i="121"/>
  <c r="J15" i="121"/>
  <c r="K19" i="122"/>
  <c r="K14" i="122"/>
  <c r="K44" i="116"/>
  <c r="K26" i="99"/>
  <c r="O10" i="37"/>
  <c r="B77" i="104"/>
  <c r="B97" i="101"/>
  <c r="K24" i="64"/>
  <c r="O27" i="37"/>
  <c r="Q27" i="37" s="1"/>
  <c r="R27" i="37" s="1"/>
  <c r="S27" i="37" s="1"/>
  <c r="I26" i="37"/>
  <c r="L26" i="37" s="1"/>
  <c r="M26" i="37" s="1"/>
  <c r="AM26" i="4" s="1"/>
  <c r="I20" i="37"/>
  <c r="L20" i="37" s="1"/>
  <c r="M20" i="37" s="1"/>
  <c r="AM20" i="4" s="1"/>
  <c r="O43" i="37"/>
  <c r="Q43" i="37" s="1"/>
  <c r="R43" i="37" s="1"/>
  <c r="S43" i="37" s="1"/>
  <c r="O42" i="37"/>
  <c r="Q42" i="37" s="1"/>
  <c r="R42" i="37" s="1"/>
  <c r="AI45" i="4"/>
  <c r="AI34" i="4"/>
  <c r="AI31" i="4"/>
  <c r="AI49" i="4"/>
  <c r="AI22" i="4"/>
  <c r="AA92" i="19"/>
  <c r="AB92" i="19" s="1"/>
  <c r="AA77" i="19"/>
  <c r="AB77" i="19" s="1"/>
  <c r="AA57" i="19"/>
  <c r="AB57" i="19" s="1"/>
  <c r="Q23" i="41"/>
  <c r="Q18" i="41"/>
  <c r="Q17" i="41"/>
  <c r="O47" i="37"/>
  <c r="Q47" i="37" s="1"/>
  <c r="R47" i="37" s="1"/>
  <c r="S47" i="37" s="1"/>
  <c r="Q22" i="37"/>
  <c r="R22" i="37" s="1"/>
  <c r="L14" i="37"/>
  <c r="M14" i="37" s="1"/>
  <c r="AM14" i="4" s="1"/>
  <c r="Q10" i="37"/>
  <c r="R10" i="37" s="1"/>
  <c r="AI14" i="4"/>
  <c r="L13" i="1"/>
  <c r="R24" i="64"/>
  <c r="I15" i="64"/>
  <c r="J14" i="121"/>
  <c r="J22" i="121"/>
  <c r="Q31" i="127"/>
  <c r="O31" i="127"/>
  <c r="O26" i="127" s="1"/>
  <c r="J26" i="130"/>
  <c r="K24" i="119"/>
  <c r="K23" i="119"/>
  <c r="K20" i="119"/>
  <c r="K19" i="119"/>
  <c r="H47" i="108"/>
  <c r="K47" i="124"/>
  <c r="K34" i="124"/>
  <c r="K16" i="122"/>
  <c r="O36" i="117"/>
  <c r="K31" i="116"/>
  <c r="K48" i="124"/>
  <c r="K28" i="124"/>
  <c r="K41" i="122"/>
  <c r="M15" i="120"/>
  <c r="AC14" i="129"/>
  <c r="AC15" i="129" s="1"/>
  <c r="S13" i="131"/>
  <c r="G38" i="5"/>
  <c r="K38" i="5" s="1"/>
  <c r="K40" i="124"/>
  <c r="K38" i="124"/>
  <c r="K39" i="122"/>
  <c r="K36" i="122"/>
  <c r="M36" i="120"/>
  <c r="O26" i="129"/>
  <c r="J25" i="130"/>
  <c r="M48" i="132"/>
  <c r="Y25" i="132" s="1"/>
  <c r="Y28" i="132" s="1"/>
  <c r="O56" i="132"/>
  <c r="S56" i="132" s="1"/>
  <c r="J40" i="120"/>
  <c r="J37" i="120"/>
  <c r="J28" i="120"/>
  <c r="C23" i="89"/>
  <c r="O69" i="3"/>
  <c r="O65" i="3"/>
  <c r="O57" i="3"/>
  <c r="O56" i="3"/>
  <c r="G19" i="5"/>
  <c r="K19" i="5" s="1"/>
  <c r="G72" i="5"/>
  <c r="K72" i="5" s="1"/>
  <c r="O15" i="117"/>
  <c r="S22" i="117"/>
  <c r="O28" i="118"/>
  <c r="O27" i="118" s="1"/>
  <c r="O45" i="118"/>
  <c r="K44" i="122"/>
  <c r="M19" i="120"/>
  <c r="M24" i="120"/>
  <c r="O15" i="127"/>
  <c r="O42" i="129"/>
  <c r="V14" i="129" s="1"/>
  <c r="V15" i="129" s="1"/>
  <c r="O39" i="129"/>
  <c r="O22" i="131"/>
  <c r="O25" i="132"/>
  <c r="V13" i="131"/>
  <c r="V14" i="131" s="1"/>
  <c r="J29" i="120"/>
  <c r="H22" i="108"/>
  <c r="J21" i="120"/>
  <c r="K30" i="110"/>
  <c r="E9" i="108"/>
  <c r="L15" i="108" s="1"/>
  <c r="G39" i="5"/>
  <c r="K39" i="5" s="1"/>
  <c r="G31" i="5"/>
  <c r="K31" i="5" s="1"/>
  <c r="G59" i="5"/>
  <c r="K59" i="5" s="1"/>
  <c r="B194" i="125"/>
  <c r="G51" i="5"/>
  <c r="K51" i="5" s="1"/>
  <c r="G60" i="5"/>
  <c r="K60" i="5" s="1"/>
  <c r="G34" i="5"/>
  <c r="K34" i="5" s="1"/>
  <c r="I71" i="114"/>
  <c r="G26" i="5"/>
  <c r="K26" i="5" s="1"/>
  <c r="P42" i="3"/>
  <c r="P22" i="3"/>
  <c r="G73" i="5"/>
  <c r="K73" i="5" s="1"/>
  <c r="P46" i="3"/>
  <c r="M104" i="114"/>
  <c r="M106" i="114" s="1"/>
  <c r="O62" i="3"/>
  <c r="O66" i="3"/>
  <c r="G63" i="5"/>
  <c r="K63" i="5" s="1"/>
  <c r="K45" i="108"/>
  <c r="K38" i="108"/>
  <c r="K37" i="108"/>
  <c r="K34" i="108"/>
  <c r="G56" i="5"/>
  <c r="K56" i="5" s="1"/>
  <c r="O58" i="3"/>
  <c r="B37" i="101"/>
  <c r="G18" i="5"/>
  <c r="K18" i="5" s="1"/>
  <c r="B167" i="101"/>
  <c r="G74" i="5"/>
  <c r="K74" i="5" s="1"/>
  <c r="P26" i="3"/>
  <c r="O32" i="108"/>
  <c r="N52" i="3"/>
  <c r="M36" i="108"/>
  <c r="K36" i="3"/>
  <c r="K29" i="108"/>
  <c r="K25" i="108"/>
  <c r="K21" i="108"/>
  <c r="B67" i="101"/>
  <c r="B187" i="104"/>
  <c r="D39" i="3"/>
  <c r="B142" i="101"/>
  <c r="G194" i="125"/>
  <c r="B92" i="101"/>
  <c r="G214" i="125"/>
  <c r="B112" i="101"/>
  <c r="B162" i="101"/>
  <c r="P48" i="3"/>
  <c r="P44" i="3"/>
  <c r="P30" i="3"/>
  <c r="P20" i="3"/>
  <c r="O61" i="3"/>
  <c r="O46" i="108"/>
  <c r="O42" i="108"/>
  <c r="O37" i="108"/>
  <c r="O21" i="108"/>
  <c r="N29" i="108"/>
  <c r="M19" i="146"/>
  <c r="M45" i="3"/>
  <c r="M32" i="3"/>
  <c r="M24" i="3"/>
  <c r="K46" i="3"/>
  <c r="K14" i="108"/>
  <c r="B182" i="104"/>
  <c r="B177" i="101"/>
  <c r="B32" i="101"/>
  <c r="B102" i="101"/>
  <c r="P38" i="3"/>
  <c r="P34" i="3"/>
  <c r="P24" i="3"/>
  <c r="P18" i="3"/>
  <c r="O48" i="3"/>
  <c r="O41" i="108"/>
  <c r="O28" i="3"/>
  <c r="O14" i="108"/>
  <c r="N37" i="108"/>
  <c r="N36" i="3"/>
  <c r="M33" i="108"/>
  <c r="K44" i="108"/>
  <c r="K39" i="3"/>
  <c r="K30" i="3"/>
  <c r="K19" i="108"/>
  <c r="C91" i="125"/>
  <c r="J26" i="98"/>
  <c r="J18" i="98"/>
  <c r="J14" i="98"/>
  <c r="H29" i="98"/>
  <c r="K43" i="97"/>
  <c r="K48" i="97"/>
  <c r="K38" i="97"/>
  <c r="K33" i="97"/>
  <c r="K32" i="97"/>
  <c r="K22" i="97"/>
  <c r="K19" i="97"/>
  <c r="H30" i="99"/>
  <c r="K24" i="99"/>
  <c r="K46" i="97"/>
  <c r="K35" i="97"/>
  <c r="K34" i="97"/>
  <c r="K36" i="97"/>
  <c r="K15" i="97"/>
  <c r="S85" i="5"/>
  <c r="S89" i="5" s="1"/>
  <c r="P89" i="5"/>
  <c r="O18" i="37"/>
  <c r="Q18" i="37" s="1"/>
  <c r="R18" i="37" s="1"/>
  <c r="I18" i="37"/>
  <c r="L18" i="37" s="1"/>
  <c r="M18" i="37" s="1"/>
  <c r="O19" i="37"/>
  <c r="Q19" i="37" s="1"/>
  <c r="R19" i="37" s="1"/>
  <c r="I19" i="37"/>
  <c r="L19" i="37" s="1"/>
  <c r="M19" i="37" s="1"/>
  <c r="AM12" i="4"/>
  <c r="AM9" i="4"/>
  <c r="AM28" i="4"/>
  <c r="S15" i="37"/>
  <c r="AM15" i="4"/>
  <c r="AM32" i="4"/>
  <c r="I26" i="15"/>
  <c r="I40" i="37"/>
  <c r="L40" i="37" s="1"/>
  <c r="M40" i="37" s="1"/>
  <c r="O40" i="37"/>
  <c r="Q40" i="37" s="1"/>
  <c r="R40" i="37" s="1"/>
  <c r="AM53" i="4"/>
  <c r="S26" i="37"/>
  <c r="AM49" i="4"/>
  <c r="I39" i="37"/>
  <c r="L39" i="37" s="1"/>
  <c r="M39" i="37" s="1"/>
  <c r="O39" i="37"/>
  <c r="Q39" i="37" s="1"/>
  <c r="R39" i="37" s="1"/>
  <c r="I17" i="37"/>
  <c r="L17" i="37" s="1"/>
  <c r="M17" i="37" s="1"/>
  <c r="O17" i="37"/>
  <c r="Q17" i="37" s="1"/>
  <c r="R17" i="37" s="1"/>
  <c r="P15" i="15"/>
  <c r="P27" i="15" s="1"/>
  <c r="J49" i="41"/>
  <c r="I38" i="37"/>
  <c r="L38" i="37" s="1"/>
  <c r="M38" i="37" s="1"/>
  <c r="AI16" i="4"/>
  <c r="O16" i="37"/>
  <c r="Q16" i="37" s="1"/>
  <c r="R16" i="37" s="1"/>
  <c r="S16" i="37" s="1"/>
  <c r="AA52" i="19"/>
  <c r="AB52" i="19" s="1"/>
  <c r="AA42" i="19"/>
  <c r="AB42" i="19" s="1"/>
  <c r="Q21" i="41"/>
  <c r="O44" i="37"/>
  <c r="Q44" i="37" s="1"/>
  <c r="R44" i="37" s="1"/>
  <c r="I29" i="37"/>
  <c r="L29" i="37" s="1"/>
  <c r="M29" i="37" s="1"/>
  <c r="I22" i="37"/>
  <c r="L22" i="37" s="1"/>
  <c r="M22" i="37" s="1"/>
  <c r="O12" i="37"/>
  <c r="Q12" i="37" s="1"/>
  <c r="R12" i="37" s="1"/>
  <c r="S12" i="37" s="1"/>
  <c r="K60" i="4"/>
  <c r="X16" i="91"/>
  <c r="W18" i="91"/>
  <c r="V29" i="86"/>
  <c r="S28" i="86"/>
  <c r="V28" i="86" s="1"/>
  <c r="AA28" i="86" s="1"/>
  <c r="U14" i="100"/>
  <c r="K92" i="114" s="1"/>
  <c r="R14" i="100"/>
  <c r="H31" i="128"/>
  <c r="J14" i="128"/>
  <c r="J31" i="128" s="1"/>
  <c r="AH22" i="105"/>
  <c r="D24" i="105" s="1"/>
  <c r="AA82" i="19"/>
  <c r="AB82" i="19" s="1"/>
  <c r="K9" i="20"/>
  <c r="I39" i="20"/>
  <c r="O36" i="37"/>
  <c r="Q36" i="37" s="1"/>
  <c r="R36" i="37" s="1"/>
  <c r="S36" i="37" s="1"/>
  <c r="I36" i="37"/>
  <c r="L36" i="37" s="1"/>
  <c r="X60" i="4"/>
  <c r="G12" i="85"/>
  <c r="M13" i="85"/>
  <c r="M12" i="85" s="1"/>
  <c r="U17" i="86"/>
  <c r="U30" i="86" s="1"/>
  <c r="M17" i="86"/>
  <c r="M30" i="86" s="1"/>
  <c r="R28" i="117"/>
  <c r="V22" i="117"/>
  <c r="AA21" i="19"/>
  <c r="AB21" i="19" s="1"/>
  <c r="O37" i="37"/>
  <c r="Q37" i="37" s="1"/>
  <c r="R37" i="37" s="1"/>
  <c r="I37" i="37"/>
  <c r="L37" i="37" s="1"/>
  <c r="M37" i="37" s="1"/>
  <c r="G14" i="100"/>
  <c r="H14" i="100" s="1"/>
  <c r="AL13" i="94"/>
  <c r="AM13" i="94" s="1"/>
  <c r="H26" i="15"/>
  <c r="I34" i="37"/>
  <c r="L34" i="37" s="1"/>
  <c r="M34" i="37" s="1"/>
  <c r="R15" i="100"/>
  <c r="Q21" i="37"/>
  <c r="R21" i="37" s="1"/>
  <c r="I35" i="37"/>
  <c r="L35" i="37" s="1"/>
  <c r="M35" i="37" s="1"/>
  <c r="Q14" i="41"/>
  <c r="M49" i="41"/>
  <c r="I45" i="37"/>
  <c r="L45" i="37" s="1"/>
  <c r="M45" i="37" s="1"/>
  <c r="O45" i="37"/>
  <c r="Q45" i="37" s="1"/>
  <c r="R45" i="37" s="1"/>
  <c r="I41" i="37"/>
  <c r="L41" i="37" s="1"/>
  <c r="M41" i="37" s="1"/>
  <c r="R19" i="1"/>
  <c r="S15" i="1"/>
  <c r="M14" i="1"/>
  <c r="N14" i="1" s="1"/>
  <c r="I24" i="64"/>
  <c r="E15" i="64"/>
  <c r="E24" i="64" s="1"/>
  <c r="F15" i="64"/>
  <c r="F24" i="64" s="1"/>
  <c r="E14" i="88"/>
  <c r="Q17" i="86"/>
  <c r="Q30" i="86" s="1"/>
  <c r="I17" i="86"/>
  <c r="I30" i="86" s="1"/>
  <c r="O37" i="118"/>
  <c r="T30" i="118"/>
  <c r="T31" i="118" s="1"/>
  <c r="M47" i="108"/>
  <c r="O18" i="108"/>
  <c r="J15" i="130"/>
  <c r="D65" i="133"/>
  <c r="E65" i="133" s="1"/>
  <c r="F65" i="133" s="1"/>
  <c r="M79" i="5"/>
  <c r="M14" i="106"/>
  <c r="Q13" i="106"/>
  <c r="Q14" i="106" s="1"/>
  <c r="O24" i="118"/>
  <c r="S23" i="117"/>
  <c r="S24" i="117" s="1"/>
  <c r="M27" i="117"/>
  <c r="O27" i="117" s="1"/>
  <c r="P15" i="108"/>
  <c r="O15" i="108"/>
  <c r="P43" i="108"/>
  <c r="O43" i="108"/>
  <c r="P39" i="108"/>
  <c r="O39" i="108"/>
  <c r="D36" i="108"/>
  <c r="S14" i="131"/>
  <c r="T16" i="131"/>
  <c r="W13" i="131"/>
  <c r="W14" i="131" s="1"/>
  <c r="J49" i="120"/>
  <c r="M24" i="63"/>
  <c r="O35" i="118"/>
  <c r="W30" i="118" s="1"/>
  <c r="W31" i="118" s="1"/>
  <c r="P42" i="108"/>
  <c r="P35" i="108"/>
  <c r="O35" i="108"/>
  <c r="M35" i="108"/>
  <c r="K35" i="108"/>
  <c r="P31" i="108"/>
  <c r="O31" i="108"/>
  <c r="M31" i="108"/>
  <c r="D28" i="108"/>
  <c r="O24" i="127"/>
  <c r="O22" i="127" s="1"/>
  <c r="J50" i="120"/>
  <c r="M50" i="120" s="1"/>
  <c r="U13" i="129"/>
  <c r="T13" i="129"/>
  <c r="J17" i="130"/>
  <c r="O28" i="131"/>
  <c r="O24" i="131"/>
  <c r="O32" i="131"/>
  <c r="O15" i="132"/>
  <c r="O35" i="132"/>
  <c r="J45" i="120"/>
  <c r="H43" i="108"/>
  <c r="G38" i="2"/>
  <c r="H15" i="64"/>
  <c r="H24" i="64" s="1"/>
  <c r="D23" i="63"/>
  <c r="T22" i="117"/>
  <c r="T24" i="117" s="1"/>
  <c r="W29" i="118"/>
  <c r="W32" i="118" s="1"/>
  <c r="O48" i="108"/>
  <c r="D34" i="108"/>
  <c r="P34" i="108"/>
  <c r="M30" i="108"/>
  <c r="P27" i="108"/>
  <c r="O27" i="108"/>
  <c r="M27" i="108"/>
  <c r="P23" i="108"/>
  <c r="O23" i="108"/>
  <c r="P19" i="108"/>
  <c r="O19" i="108"/>
  <c r="AC13" i="129"/>
  <c r="O33" i="129"/>
  <c r="W13" i="129"/>
  <c r="J16" i="130"/>
  <c r="H28" i="146"/>
  <c r="H27" i="146"/>
  <c r="H24" i="146"/>
  <c r="H21" i="146"/>
  <c r="H20" i="146"/>
  <c r="J41" i="120"/>
  <c r="H27" i="108"/>
  <c r="J26" i="120"/>
  <c r="G51" i="120"/>
  <c r="H19" i="108"/>
  <c r="O55" i="132"/>
  <c r="J38" i="120"/>
  <c r="H15" i="108"/>
  <c r="X28" i="132"/>
  <c r="Z27" i="132"/>
  <c r="AA27" i="132" s="1"/>
  <c r="H46" i="108"/>
  <c r="H32" i="108"/>
  <c r="H31" i="108"/>
  <c r="K25" i="97"/>
  <c r="O28" i="132"/>
  <c r="H36" i="108"/>
  <c r="J30" i="120"/>
  <c r="J23" i="120"/>
  <c r="J17" i="120"/>
  <c r="P75" i="3"/>
  <c r="G75" i="3"/>
  <c r="H75" i="3" s="1"/>
  <c r="N75" i="3"/>
  <c r="M52" i="3"/>
  <c r="K38" i="3"/>
  <c r="O38" i="3"/>
  <c r="M38" i="3"/>
  <c r="O33" i="3"/>
  <c r="M33" i="3"/>
  <c r="O21" i="3"/>
  <c r="K26" i="110"/>
  <c r="O85" i="3"/>
  <c r="N84" i="3"/>
  <c r="K22" i="110"/>
  <c r="K82" i="3"/>
  <c r="M79" i="3"/>
  <c r="K17" i="110"/>
  <c r="L15" i="136"/>
  <c r="P32" i="138"/>
  <c r="J31" i="138"/>
  <c r="P33" i="138"/>
  <c r="J32" i="138"/>
  <c r="P30" i="138"/>
  <c r="D33" i="138"/>
  <c r="D34" i="138" s="1"/>
  <c r="J33" i="138"/>
  <c r="J30" i="138"/>
  <c r="P31" i="138"/>
  <c r="G54" i="3"/>
  <c r="H54" i="3" s="1"/>
  <c r="O54" i="3"/>
  <c r="P54" i="3"/>
  <c r="K47" i="108"/>
  <c r="O46" i="3"/>
  <c r="K40" i="108"/>
  <c r="O42" i="3"/>
  <c r="K32" i="108"/>
  <c r="H33" i="91"/>
  <c r="J33" i="91" s="1"/>
  <c r="O34" i="3"/>
  <c r="M34" i="3"/>
  <c r="O30" i="3"/>
  <c r="M30" i="3"/>
  <c r="K24" i="108"/>
  <c r="O26" i="3"/>
  <c r="K20" i="108"/>
  <c r="O22" i="3"/>
  <c r="O18" i="3"/>
  <c r="M46" i="108"/>
  <c r="M23" i="108"/>
  <c r="M19" i="108"/>
  <c r="M15" i="108"/>
  <c r="H84" i="3"/>
  <c r="F79" i="114" s="1"/>
  <c r="M50" i="3"/>
  <c r="M48" i="3"/>
  <c r="T16" i="136"/>
  <c r="O77" i="3"/>
  <c r="K30" i="146"/>
  <c r="K26" i="146"/>
  <c r="K23" i="146"/>
  <c r="K21" i="146"/>
  <c r="K19" i="146"/>
  <c r="K45" i="3"/>
  <c r="M44" i="3"/>
  <c r="K26" i="108"/>
  <c r="K22" i="108"/>
  <c r="N47" i="108"/>
  <c r="N50" i="3"/>
  <c r="N43" i="108"/>
  <c r="N46" i="3"/>
  <c r="N39" i="108"/>
  <c r="N42" i="3"/>
  <c r="N35" i="108"/>
  <c r="N38" i="3"/>
  <c r="N31" i="108"/>
  <c r="N34" i="3"/>
  <c r="N27" i="108"/>
  <c r="N30" i="3"/>
  <c r="N23" i="108"/>
  <c r="N26" i="3"/>
  <c r="N19" i="108"/>
  <c r="N22" i="3"/>
  <c r="N15" i="108"/>
  <c r="N18" i="3"/>
  <c r="N86" i="3"/>
  <c r="M86" i="3"/>
  <c r="M81" i="3"/>
  <c r="O87" i="3"/>
  <c r="O78" i="3"/>
  <c r="O40" i="108"/>
  <c r="D49" i="114"/>
  <c r="M83" i="3"/>
  <c r="N87" i="3"/>
  <c r="M80" i="3"/>
  <c r="O86" i="3"/>
  <c r="O83" i="3"/>
  <c r="O80" i="3"/>
  <c r="H11" i="68"/>
  <c r="N82" i="3"/>
  <c r="M26" i="110"/>
  <c r="M82" i="3"/>
  <c r="O79" i="3"/>
  <c r="O24" i="108"/>
  <c r="O23" i="3"/>
  <c r="O70" i="3"/>
  <c r="K32" i="146"/>
  <c r="K19" i="3"/>
  <c r="P51" i="3"/>
  <c r="P27" i="3"/>
  <c r="P23" i="3"/>
  <c r="O33" i="108"/>
  <c r="M51" i="3"/>
  <c r="I16" i="110"/>
  <c r="M27" i="3"/>
  <c r="M16" i="108"/>
  <c r="K10" i="68"/>
  <c r="I11" i="68"/>
  <c r="K29" i="110"/>
  <c r="K29" i="146"/>
  <c r="K28" i="146"/>
  <c r="K27" i="146"/>
  <c r="K25" i="110"/>
  <c r="K24" i="110"/>
  <c r="K23" i="110"/>
  <c r="F60" i="4"/>
  <c r="E12" i="21"/>
  <c r="I27" i="146"/>
  <c r="I33" i="146"/>
  <c r="AG14" i="105"/>
  <c r="K89" i="3"/>
  <c r="K20" i="110"/>
  <c r="K19" i="110"/>
  <c r="K18" i="110"/>
  <c r="K70" i="3"/>
  <c r="K59" i="3"/>
  <c r="K51" i="3"/>
  <c r="K41" i="108"/>
  <c r="D31" i="108"/>
  <c r="J91" i="3"/>
  <c r="K68" i="3"/>
  <c r="K57" i="3"/>
  <c r="K42" i="3"/>
  <c r="K31" i="108"/>
  <c r="K26" i="3"/>
  <c r="K25" i="146"/>
  <c r="K24" i="146"/>
  <c r="D33" i="133"/>
  <c r="E33" i="133" s="1"/>
  <c r="F33" i="133" s="1"/>
  <c r="AG12" i="113"/>
  <c r="AG14" i="113" s="1"/>
  <c r="AC14" i="113"/>
  <c r="D24" i="133"/>
  <c r="O36" i="108"/>
  <c r="D22" i="133"/>
  <c r="E22" i="133" s="1"/>
  <c r="F22" i="133" s="1"/>
  <c r="E88" i="58"/>
  <c r="E90" i="58"/>
  <c r="E89" i="58"/>
  <c r="S14" i="105"/>
  <c r="W11" i="105"/>
  <c r="W14" i="105" s="1"/>
  <c r="N14" i="105"/>
  <c r="J89" i="3"/>
  <c r="J81" i="3"/>
  <c r="J78" i="3"/>
  <c r="R14" i="105"/>
  <c r="J14" i="105"/>
  <c r="AA14" i="105"/>
  <c r="D14" i="105"/>
  <c r="F14" i="105"/>
  <c r="L14" i="105"/>
  <c r="AH12" i="105"/>
  <c r="U14" i="105"/>
  <c r="E14" i="105"/>
  <c r="T14" i="105"/>
  <c r="Y11" i="105"/>
  <c r="K14" i="105"/>
  <c r="Z11" i="105"/>
  <c r="Z14" i="105" s="1"/>
  <c r="V14" i="105"/>
  <c r="O14" i="105"/>
  <c r="AE14" i="105"/>
  <c r="X14" i="105"/>
  <c r="Q14" i="105"/>
  <c r="M14" i="105"/>
  <c r="D75" i="133"/>
  <c r="E75" i="133" s="1"/>
  <c r="F75" i="133" s="1"/>
  <c r="H80" i="58"/>
  <c r="I80" i="58" s="1"/>
  <c r="L80" i="58" s="1"/>
  <c r="D72" i="133"/>
  <c r="E72" i="133" s="1"/>
  <c r="F72" i="133" s="1"/>
  <c r="H77" i="58"/>
  <c r="I77" i="58" s="1"/>
  <c r="L77" i="58" s="1"/>
  <c r="D70" i="133"/>
  <c r="E70" i="133" s="1"/>
  <c r="F70" i="133" s="1"/>
  <c r="H75" i="58"/>
  <c r="I75" i="58" s="1"/>
  <c r="L75" i="58" s="1"/>
  <c r="H76" i="58"/>
  <c r="I76" i="58" s="1"/>
  <c r="L76" i="58" s="1"/>
  <c r="N81" i="3"/>
  <c r="H70" i="58"/>
  <c r="I70" i="58" s="1"/>
  <c r="L70" i="58" s="1"/>
  <c r="N14" i="113"/>
  <c r="M85" i="3"/>
  <c r="H79" i="58"/>
  <c r="I79" i="58" s="1"/>
  <c r="L79" i="58" s="1"/>
  <c r="V12" i="113"/>
  <c r="V14" i="113" s="1"/>
  <c r="H22" i="58"/>
  <c r="D12" i="133"/>
  <c r="D41" i="133"/>
  <c r="M11" i="113"/>
  <c r="M14" i="113" s="1"/>
  <c r="T11" i="113"/>
  <c r="T14" i="113" s="1"/>
  <c r="D45" i="133"/>
  <c r="D32" i="133"/>
  <c r="D28" i="133"/>
  <c r="AE14" i="113"/>
  <c r="D26" i="133"/>
  <c r="D20" i="133"/>
  <c r="D16" i="133"/>
  <c r="D11" i="133"/>
  <c r="M37" i="3"/>
  <c r="G14" i="113"/>
  <c r="D60" i="133"/>
  <c r="E60" i="133" s="1"/>
  <c r="F60" i="133" s="1"/>
  <c r="D59" i="133"/>
  <c r="E59" i="133" s="1"/>
  <c r="F59" i="133" s="1"/>
  <c r="D62" i="133"/>
  <c r="E62" i="133" s="1"/>
  <c r="F62" i="133" s="1"/>
  <c r="H14" i="113"/>
  <c r="U14" i="113"/>
  <c r="Q12" i="113"/>
  <c r="Q14" i="113" s="1"/>
  <c r="K14" i="113"/>
  <c r="D14" i="113"/>
  <c r="I14" i="113"/>
  <c r="D58" i="133"/>
  <c r="E58" i="133" s="1"/>
  <c r="F58" i="133" s="1"/>
  <c r="D52" i="133"/>
  <c r="E52" i="133" s="1"/>
  <c r="F52" i="133" s="1"/>
  <c r="C14" i="113"/>
  <c r="AA14" i="113"/>
  <c r="E14" i="113"/>
  <c r="AB14" i="113"/>
  <c r="R14" i="113"/>
  <c r="H15" i="58"/>
  <c r="I15" i="58" s="1"/>
  <c r="L15" i="58" s="1"/>
  <c r="AD14" i="113"/>
  <c r="D17" i="133"/>
  <c r="M17" i="108"/>
  <c r="D14" i="133"/>
  <c r="D13" i="133"/>
  <c r="Y11" i="113"/>
  <c r="Y14" i="113" s="1"/>
  <c r="O14" i="113"/>
  <c r="D21" i="133"/>
  <c r="D19" i="133"/>
  <c r="P37" i="108"/>
  <c r="D34" i="133"/>
  <c r="O47" i="108"/>
  <c r="D44" i="133"/>
  <c r="M46" i="3"/>
  <c r="D40" i="133"/>
  <c r="D38" i="133"/>
  <c r="M41" i="3"/>
  <c r="D35" i="133"/>
  <c r="D27" i="133"/>
  <c r="H42" i="58"/>
  <c r="AF11" i="113"/>
  <c r="AF14" i="113" s="1"/>
  <c r="S14" i="113"/>
  <c r="D46" i="133"/>
  <c r="D43" i="133"/>
  <c r="E18" i="133"/>
  <c r="F18" i="133" s="1"/>
  <c r="H18" i="58"/>
  <c r="M43" i="3"/>
  <c r="D37" i="133"/>
  <c r="M29" i="3"/>
  <c r="D23" i="133"/>
  <c r="Z14" i="113"/>
  <c r="AL14" i="94"/>
  <c r="AM14" i="94" s="1"/>
  <c r="T15" i="91"/>
  <c r="T19" i="91" s="1"/>
  <c r="H51" i="122"/>
  <c r="H31" i="130"/>
  <c r="K18" i="97"/>
  <c r="K20" i="97"/>
  <c r="H50" i="97"/>
  <c r="X13" i="113"/>
  <c r="X14" i="113" s="1"/>
  <c r="L14" i="113"/>
  <c r="W13" i="113"/>
  <c r="W14" i="113" s="1"/>
  <c r="P13" i="113"/>
  <c r="P14" i="113" s="1"/>
  <c r="H83" i="58"/>
  <c r="I83" i="58" s="1"/>
  <c r="L83" i="58" s="1"/>
  <c r="H14" i="105"/>
  <c r="AD13" i="105"/>
  <c r="AD14" i="105" s="1"/>
  <c r="AF13" i="105"/>
  <c r="AF14" i="105" s="1"/>
  <c r="AC13" i="105"/>
  <c r="AC14" i="105" s="1"/>
  <c r="AB13" i="105"/>
  <c r="AB14" i="105" s="1"/>
  <c r="P13" i="105"/>
  <c r="P14" i="105" s="1"/>
  <c r="I14" i="105"/>
  <c r="G14" i="105"/>
  <c r="I89" i="3"/>
  <c r="B336" i="125"/>
  <c r="K88" i="3"/>
  <c r="N88" i="3"/>
  <c r="D36" i="3"/>
  <c r="O28" i="108"/>
  <c r="K28" i="108"/>
  <c r="F22" i="125"/>
  <c r="A22" i="125"/>
  <c r="Q17" i="64"/>
  <c r="U17" i="64" s="1"/>
  <c r="X17" i="64" s="1"/>
  <c r="K17" i="63" s="1"/>
  <c r="N17" i="63" s="1"/>
  <c r="X20" i="64"/>
  <c r="X19" i="64" s="1"/>
  <c r="D24" i="64"/>
  <c r="W15" i="64"/>
  <c r="W24" i="64" s="1"/>
  <c r="P26" i="63"/>
  <c r="P27" i="63" s="1"/>
  <c r="X18" i="64"/>
  <c r="K18" i="63" s="1"/>
  <c r="M26" i="63"/>
  <c r="L26" i="63"/>
  <c r="L27" i="63" s="1"/>
  <c r="P30" i="63"/>
  <c r="Y18" i="64"/>
  <c r="J18" i="63"/>
  <c r="E24" i="63"/>
  <c r="F24" i="63"/>
  <c r="N16" i="63"/>
  <c r="Q30" i="63"/>
  <c r="P16" i="64"/>
  <c r="P15" i="64" s="1"/>
  <c r="O30" i="63"/>
  <c r="S30" i="63"/>
  <c r="L30" i="63"/>
  <c r="L31" i="63" s="1"/>
  <c r="R30" i="63"/>
  <c r="N30" i="63"/>
  <c r="J30" i="63"/>
  <c r="C11" i="105"/>
  <c r="C14" i="105" s="1"/>
  <c r="F11" i="113"/>
  <c r="F14" i="113" s="1"/>
  <c r="D25" i="133"/>
  <c r="J11" i="113"/>
  <c r="J14" i="113" s="1"/>
  <c r="G78" i="5"/>
  <c r="K78" i="5" s="1"/>
  <c r="N78" i="5" s="1"/>
  <c r="P78" i="5" s="1"/>
  <c r="S78" i="5" s="1"/>
  <c r="G49" i="5"/>
  <c r="K49" i="5" s="1"/>
  <c r="E14" i="77"/>
  <c r="D17" i="63"/>
  <c r="D15" i="108"/>
  <c r="D43" i="108"/>
  <c r="D39" i="108"/>
  <c r="D30" i="108"/>
  <c r="D27" i="108"/>
  <c r="D32" i="108"/>
  <c r="D35" i="108"/>
  <c r="D37" i="108"/>
  <c r="G76" i="5"/>
  <c r="K76" i="5" s="1"/>
  <c r="N76" i="5" s="1"/>
  <c r="P76" i="5" s="1"/>
  <c r="S76" i="5" s="1"/>
  <c r="M82" i="5"/>
  <c r="G75" i="5"/>
  <c r="K75" i="5" s="1"/>
  <c r="N75" i="5" s="1"/>
  <c r="P75" i="5" s="1"/>
  <c r="S75" i="5" s="1"/>
  <c r="M77" i="5"/>
  <c r="G70" i="5"/>
  <c r="K70" i="5" s="1"/>
  <c r="B255" i="125"/>
  <c r="B68" i="125"/>
  <c r="B108" i="125"/>
  <c r="O75" i="3"/>
  <c r="K75" i="3"/>
  <c r="K54" i="3"/>
  <c r="G77" i="5"/>
  <c r="K77" i="5" s="1"/>
  <c r="N77" i="5" s="1"/>
  <c r="P77" i="5" s="1"/>
  <c r="S77" i="5" s="1"/>
  <c r="G25" i="5"/>
  <c r="K25" i="5" s="1"/>
  <c r="G22" i="5"/>
  <c r="K22" i="5" s="1"/>
  <c r="G30" i="5"/>
  <c r="K30" i="5" s="1"/>
  <c r="D42" i="3"/>
  <c r="B285" i="125"/>
  <c r="B151" i="125"/>
  <c r="B316" i="125"/>
  <c r="M54" i="3"/>
  <c r="J75" i="3"/>
  <c r="G80" i="5"/>
  <c r="K80" i="5" s="1"/>
  <c r="N80" i="5" s="1"/>
  <c r="P80" i="5" s="1"/>
  <c r="S80" i="5" s="1"/>
  <c r="D18" i="3"/>
  <c r="D37" i="3"/>
  <c r="G55" i="5"/>
  <c r="K55" i="5" s="1"/>
  <c r="D34" i="3"/>
  <c r="G131" i="125"/>
  <c r="D17" i="3"/>
  <c r="G20" i="5"/>
  <c r="K20" i="5" s="1"/>
  <c r="G118" i="125"/>
  <c r="G78" i="125"/>
  <c r="G275" i="125"/>
  <c r="D60" i="3"/>
  <c r="B214" i="125"/>
  <c r="G171" i="125"/>
  <c r="G46" i="5"/>
  <c r="K46" i="5" s="1"/>
  <c r="G42" i="5"/>
  <c r="K42" i="5" s="1"/>
  <c r="G88" i="125"/>
  <c r="G43" i="125"/>
  <c r="G3" i="125"/>
  <c r="G14" i="5"/>
  <c r="K14" i="5" s="1"/>
  <c r="G285" i="125"/>
  <c r="G71" i="5"/>
  <c r="K71" i="5" s="1"/>
  <c r="G326" i="125"/>
  <c r="B244" i="125"/>
  <c r="G61" i="5"/>
  <c r="K61" i="5" s="1"/>
  <c r="B204" i="125"/>
  <c r="G53" i="5"/>
  <c r="K53" i="5" s="1"/>
  <c r="D58" i="3"/>
  <c r="G161" i="125"/>
  <c r="G36" i="5"/>
  <c r="K36" i="5" s="1"/>
  <c r="G41" i="5"/>
  <c r="K41" i="5" s="1"/>
  <c r="D40" i="3"/>
  <c r="D32" i="3"/>
  <c r="G13" i="5"/>
  <c r="K13" i="5" s="1"/>
  <c r="G336" i="125"/>
  <c r="G295" i="125"/>
  <c r="B265" i="125"/>
  <c r="G181" i="125"/>
  <c r="G141" i="125"/>
  <c r="G98" i="125"/>
  <c r="G53" i="125"/>
  <c r="D20" i="3"/>
  <c r="G305" i="125"/>
  <c r="D77" i="3"/>
  <c r="B234" i="125"/>
  <c r="G108" i="125"/>
  <c r="G68" i="125"/>
  <c r="G68" i="5"/>
  <c r="G69" i="5"/>
  <c r="K69" i="5" s="1"/>
  <c r="B275" i="125"/>
  <c r="G79" i="5"/>
  <c r="K79" i="5" s="1"/>
  <c r="N79" i="5" s="1"/>
  <c r="P79" i="5" s="1"/>
  <c r="S79" i="5" s="1"/>
  <c r="M76" i="5"/>
  <c r="M81" i="5"/>
  <c r="M75" i="5"/>
  <c r="M78" i="5"/>
  <c r="G81" i="5"/>
  <c r="K81" i="5" s="1"/>
  <c r="N81" i="5" s="1"/>
  <c r="P81" i="5" s="1"/>
  <c r="S81" i="5" s="1"/>
  <c r="M80" i="5"/>
  <c r="G82" i="5"/>
  <c r="K82" i="5" s="1"/>
  <c r="N82" i="5" s="1"/>
  <c r="P82" i="5" s="1"/>
  <c r="S82" i="5" s="1"/>
  <c r="M75" i="3"/>
  <c r="G255" i="125"/>
  <c r="G64" i="5"/>
  <c r="K64" i="5" s="1"/>
  <c r="G244" i="125"/>
  <c r="D67" i="3"/>
  <c r="G62" i="5"/>
  <c r="K62" i="5" s="1"/>
  <c r="G224" i="125"/>
  <c r="G58" i="5"/>
  <c r="K58" i="5" s="1"/>
  <c r="D63" i="3"/>
  <c r="D61" i="3"/>
  <c r="G204" i="125"/>
  <c r="G54" i="5"/>
  <c r="K54" i="5" s="1"/>
  <c r="G52" i="5"/>
  <c r="K52" i="5" s="1"/>
  <c r="J54" i="3"/>
  <c r="N54" i="3"/>
  <c r="C51" i="108"/>
  <c r="G51" i="108" s="1"/>
  <c r="B181" i="125"/>
  <c r="G47" i="5"/>
  <c r="K47" i="5" s="1"/>
  <c r="G45" i="5"/>
  <c r="K45" i="5" s="1"/>
  <c r="B161" i="125"/>
  <c r="D47" i="3"/>
  <c r="G43" i="5"/>
  <c r="K43" i="5" s="1"/>
  <c r="G44" i="5"/>
  <c r="K44" i="5" s="1"/>
  <c r="B131" i="125"/>
  <c r="G37" i="5"/>
  <c r="K37" i="5" s="1"/>
  <c r="G40" i="5"/>
  <c r="K40" i="5" s="1"/>
  <c r="G35" i="5"/>
  <c r="K35" i="5" s="1"/>
  <c r="B98" i="125"/>
  <c r="D35" i="3"/>
  <c r="G29" i="5"/>
  <c r="K29" i="5" s="1"/>
  <c r="B78" i="125"/>
  <c r="G27" i="5"/>
  <c r="K27" i="5" s="1"/>
  <c r="D31" i="3"/>
  <c r="G23" i="5"/>
  <c r="K23" i="5" s="1"/>
  <c r="G21" i="5"/>
  <c r="K21" i="5" s="1"/>
  <c r="B33" i="125"/>
  <c r="B23" i="125"/>
  <c r="G17" i="5"/>
  <c r="K17" i="5" s="1"/>
  <c r="B13" i="125"/>
  <c r="G15" i="5"/>
  <c r="K15" i="5" s="1"/>
  <c r="D19" i="3"/>
  <c r="B326" i="125"/>
  <c r="B295" i="125"/>
  <c r="D79" i="3"/>
  <c r="N11" i="21"/>
  <c r="P11" i="21" s="1"/>
  <c r="P12" i="21" s="1"/>
  <c r="G12" i="21"/>
  <c r="G35" i="71" l="1"/>
  <c r="K32" i="71"/>
  <c r="Q26" i="146"/>
  <c r="S26" i="146" s="1"/>
  <c r="L50" i="108"/>
  <c r="L53" i="3" s="1"/>
  <c r="G48" i="114" s="1"/>
  <c r="J29" i="142"/>
  <c r="J19" i="142"/>
  <c r="J14" i="142"/>
  <c r="L45" i="108"/>
  <c r="Z45" i="108" s="1"/>
  <c r="N29" i="3"/>
  <c r="C70" i="125" s="1"/>
  <c r="N45" i="3"/>
  <c r="N25" i="108"/>
  <c r="I66" i="3"/>
  <c r="P30" i="108"/>
  <c r="Q30" i="108" s="1"/>
  <c r="N23" i="146"/>
  <c r="O29" i="108"/>
  <c r="M17" i="110"/>
  <c r="N77" i="3"/>
  <c r="N30" i="146"/>
  <c r="N18" i="110"/>
  <c r="N37" i="3"/>
  <c r="N20" i="146"/>
  <c r="N27" i="146"/>
  <c r="N22" i="146"/>
  <c r="N80" i="3"/>
  <c r="H287" i="125" s="1"/>
  <c r="N22" i="110"/>
  <c r="N78" i="3"/>
  <c r="N28" i="146"/>
  <c r="N24" i="146"/>
  <c r="O42" i="58"/>
  <c r="Q42" i="58" s="1"/>
  <c r="R42" i="58" s="1"/>
  <c r="S42" i="58" s="1"/>
  <c r="I42" i="58"/>
  <c r="L42" i="58" s="1"/>
  <c r="O22" i="58"/>
  <c r="Q22" i="58" s="1"/>
  <c r="R22" i="58" s="1"/>
  <c r="S22" i="58" s="1"/>
  <c r="I22" i="58"/>
  <c r="L22" i="58" s="1"/>
  <c r="O18" i="58"/>
  <c r="Q18" i="58" s="1"/>
  <c r="R18" i="58" s="1"/>
  <c r="S18" i="58" s="1"/>
  <c r="I18" i="58"/>
  <c r="L18" i="58" s="1"/>
  <c r="I62" i="3"/>
  <c r="M12" i="1"/>
  <c r="M15" i="1" s="1"/>
  <c r="N49" i="3"/>
  <c r="N61" i="3"/>
  <c r="S14" i="129"/>
  <c r="S15" i="129" s="1"/>
  <c r="S31" i="37"/>
  <c r="S13" i="37"/>
  <c r="S25" i="37"/>
  <c r="N22" i="108"/>
  <c r="U14" i="129"/>
  <c r="U15" i="129" s="1"/>
  <c r="O22" i="129"/>
  <c r="S53" i="37"/>
  <c r="P31" i="63"/>
  <c r="N17" i="108"/>
  <c r="N45" i="108"/>
  <c r="M67" i="3"/>
  <c r="P32" i="108"/>
  <c r="P26" i="108"/>
  <c r="AM13" i="4"/>
  <c r="O49" i="117"/>
  <c r="P36" i="108"/>
  <c r="S21" i="37"/>
  <c r="L25" i="108"/>
  <c r="Z25" i="108" s="1"/>
  <c r="O41" i="127"/>
  <c r="M57" i="3"/>
  <c r="S23" i="37"/>
  <c r="S54" i="37"/>
  <c r="P18" i="108"/>
  <c r="S50" i="37"/>
  <c r="F35" i="71"/>
  <c r="M22" i="108"/>
  <c r="S14" i="37"/>
  <c r="M66" i="3"/>
  <c r="S51" i="37"/>
  <c r="O43" i="118"/>
  <c r="J30" i="123"/>
  <c r="P17" i="3"/>
  <c r="M39" i="3"/>
  <c r="P33" i="108"/>
  <c r="Q49" i="41"/>
  <c r="R49" i="41" s="1"/>
  <c r="S10" i="37"/>
  <c r="O21" i="117"/>
  <c r="S42" i="37"/>
  <c r="S11" i="37"/>
  <c r="O26" i="108"/>
  <c r="N24" i="3"/>
  <c r="P40" i="108"/>
  <c r="N17" i="3"/>
  <c r="N41" i="3"/>
  <c r="N47" i="3"/>
  <c r="Q47" i="3" s="1"/>
  <c r="N57" i="3"/>
  <c r="N59" i="3"/>
  <c r="M40" i="3"/>
  <c r="O14" i="1"/>
  <c r="U14" i="1" s="1"/>
  <c r="S56" i="37"/>
  <c r="AM10" i="4"/>
  <c r="S48" i="37"/>
  <c r="AF60" i="4"/>
  <c r="N21" i="3"/>
  <c r="AM42" i="4"/>
  <c r="S30" i="37"/>
  <c r="H12" i="100"/>
  <c r="G26" i="100"/>
  <c r="N64" i="3"/>
  <c r="Y17" i="64"/>
  <c r="Z17" i="64" s="1"/>
  <c r="AA17" i="64" s="1"/>
  <c r="O17" i="63" s="1"/>
  <c r="Q17" i="63" s="1"/>
  <c r="M18" i="108"/>
  <c r="O52" i="132"/>
  <c r="M78" i="3"/>
  <c r="N24" i="110"/>
  <c r="Q15" i="108"/>
  <c r="K77" i="3"/>
  <c r="K16" i="110"/>
  <c r="Q31" i="108"/>
  <c r="Q35" i="108"/>
  <c r="Q19" i="108"/>
  <c r="Q23" i="108"/>
  <c r="Q27" i="108"/>
  <c r="Q37" i="108"/>
  <c r="N11" i="28"/>
  <c r="N13" i="28" s="1"/>
  <c r="M14" i="108"/>
  <c r="Q14" i="108" s="1"/>
  <c r="M23" i="110"/>
  <c r="M16" i="110"/>
  <c r="N41" i="108"/>
  <c r="K22" i="3"/>
  <c r="P46" i="108"/>
  <c r="Q46" i="108" s="1"/>
  <c r="P38" i="108"/>
  <c r="P22" i="108"/>
  <c r="P90" i="3"/>
  <c r="U12" i="100"/>
  <c r="P92" i="3"/>
  <c r="O92" i="3"/>
  <c r="K92" i="3"/>
  <c r="K31" i="110"/>
  <c r="K36" i="108"/>
  <c r="L36" i="108" s="1"/>
  <c r="P81" i="3"/>
  <c r="O84" i="3"/>
  <c r="I92" i="3"/>
  <c r="I91" i="3"/>
  <c r="C349" i="125" s="1"/>
  <c r="O37" i="3"/>
  <c r="H16" i="89"/>
  <c r="I16" i="89" s="1"/>
  <c r="K48" i="3"/>
  <c r="O38" i="108"/>
  <c r="O17" i="108"/>
  <c r="M44" i="108"/>
  <c r="N63" i="3"/>
  <c r="H226" i="125" s="1"/>
  <c r="N65" i="3"/>
  <c r="H236" i="125" s="1"/>
  <c r="P32" i="3"/>
  <c r="K32" i="3"/>
  <c r="O60" i="3"/>
  <c r="K41" i="3"/>
  <c r="O44" i="108"/>
  <c r="O59" i="3"/>
  <c r="M29" i="108"/>
  <c r="P28" i="3"/>
  <c r="P52" i="3"/>
  <c r="H183" i="125" s="1"/>
  <c r="N36" i="108"/>
  <c r="M28" i="3"/>
  <c r="O49" i="108"/>
  <c r="M21" i="108"/>
  <c r="K43" i="108"/>
  <c r="L43" i="108" s="1"/>
  <c r="K90" i="3"/>
  <c r="K37" i="3"/>
  <c r="O49" i="3"/>
  <c r="N33" i="3"/>
  <c r="C90" i="125" s="1"/>
  <c r="M28" i="110"/>
  <c r="M89" i="3"/>
  <c r="N28" i="110"/>
  <c r="N89" i="3"/>
  <c r="M27" i="110"/>
  <c r="M88" i="3"/>
  <c r="N29" i="110"/>
  <c r="N90" i="3"/>
  <c r="P89" i="3"/>
  <c r="O89" i="3"/>
  <c r="M29" i="110"/>
  <c r="P29" i="110" s="1"/>
  <c r="M90" i="3"/>
  <c r="O88" i="3"/>
  <c r="P88" i="3"/>
  <c r="N67" i="3"/>
  <c r="O64" i="3"/>
  <c r="I88" i="3"/>
  <c r="I90" i="3"/>
  <c r="P44" i="108"/>
  <c r="O35" i="3"/>
  <c r="O25" i="3"/>
  <c r="Q25" i="3" s="1"/>
  <c r="M60" i="3"/>
  <c r="I63" i="3"/>
  <c r="K27" i="108"/>
  <c r="L27" i="108" s="1"/>
  <c r="O25" i="108"/>
  <c r="M62" i="3"/>
  <c r="I60" i="3"/>
  <c r="K43" i="3"/>
  <c r="K33" i="108"/>
  <c r="K33" i="146"/>
  <c r="K20" i="146"/>
  <c r="K22" i="146"/>
  <c r="K31" i="146"/>
  <c r="N49" i="108"/>
  <c r="O44" i="3"/>
  <c r="Q44" i="3" s="1"/>
  <c r="N32" i="3"/>
  <c r="P21" i="108"/>
  <c r="N17" i="110"/>
  <c r="E11" i="110"/>
  <c r="L18" i="110" s="1"/>
  <c r="E14" i="146"/>
  <c r="N56" i="3"/>
  <c r="N19" i="146"/>
  <c r="Q19" i="146" s="1"/>
  <c r="N69" i="3"/>
  <c r="N32" i="146"/>
  <c r="N66" i="3"/>
  <c r="N29" i="146"/>
  <c r="N58" i="3"/>
  <c r="N21" i="146"/>
  <c r="N68" i="3"/>
  <c r="N31" i="146"/>
  <c r="N62" i="3"/>
  <c r="N25" i="146"/>
  <c r="P78" i="3"/>
  <c r="N70" i="3"/>
  <c r="N33" i="108"/>
  <c r="I39" i="146"/>
  <c r="H44" i="108"/>
  <c r="H14" i="108"/>
  <c r="H30" i="3"/>
  <c r="F25" i="114" s="1"/>
  <c r="H205" i="125"/>
  <c r="I205" i="125" s="1"/>
  <c r="H22" i="146"/>
  <c r="H245" i="125"/>
  <c r="I245" i="125" s="1"/>
  <c r="H30" i="146"/>
  <c r="H19" i="146"/>
  <c r="H25" i="90"/>
  <c r="I25" i="90" s="1"/>
  <c r="H29" i="146"/>
  <c r="H225" i="125"/>
  <c r="I225" i="125" s="1"/>
  <c r="H26" i="146"/>
  <c r="C266" i="125"/>
  <c r="D266" i="125" s="1"/>
  <c r="H33" i="146"/>
  <c r="H33" i="108"/>
  <c r="H99" i="125"/>
  <c r="I99" i="125" s="1"/>
  <c r="H19" i="90"/>
  <c r="I19" i="90" s="1"/>
  <c r="M39" i="120"/>
  <c r="O45" i="108"/>
  <c r="N60" i="3"/>
  <c r="M33" i="120"/>
  <c r="K50" i="124"/>
  <c r="M35" i="120"/>
  <c r="K30" i="119"/>
  <c r="K83" i="3"/>
  <c r="M22" i="3"/>
  <c r="K47" i="3"/>
  <c r="H65" i="3"/>
  <c r="O48" i="132"/>
  <c r="O47" i="132" s="1"/>
  <c r="O46" i="132" s="1"/>
  <c r="O21" i="127"/>
  <c r="O11" i="127" s="1"/>
  <c r="AM30" i="4"/>
  <c r="S55" i="37"/>
  <c r="AM48" i="4"/>
  <c r="K28" i="110"/>
  <c r="M18" i="110"/>
  <c r="K51" i="122"/>
  <c r="M25" i="120"/>
  <c r="M48" i="120"/>
  <c r="P77" i="3"/>
  <c r="H45" i="91"/>
  <c r="J45" i="91" s="1"/>
  <c r="K40" i="3"/>
  <c r="E102" i="19"/>
  <c r="S44" i="37"/>
  <c r="O30" i="117"/>
  <c r="K30" i="99"/>
  <c r="H34" i="108"/>
  <c r="M34" i="120"/>
  <c r="H21" i="90"/>
  <c r="I21" i="90" s="1"/>
  <c r="H28" i="90"/>
  <c r="I28" i="90" s="1"/>
  <c r="AM52" i="4"/>
  <c r="S52" i="37"/>
  <c r="H22" i="89"/>
  <c r="I22" i="89" s="1"/>
  <c r="H87" i="3"/>
  <c r="F82" i="114" s="1"/>
  <c r="M29" i="120"/>
  <c r="M21" i="110"/>
  <c r="N40" i="3"/>
  <c r="K17" i="3"/>
  <c r="K28" i="3"/>
  <c r="C99" i="125"/>
  <c r="D99" i="125" s="1"/>
  <c r="H17" i="91"/>
  <c r="J17" i="91" s="1"/>
  <c r="O27" i="132"/>
  <c r="O23" i="132" s="1"/>
  <c r="M19" i="110"/>
  <c r="N20" i="110"/>
  <c r="N21" i="110"/>
  <c r="M25" i="110"/>
  <c r="N26" i="110"/>
  <c r="M37" i="120"/>
  <c r="M13" i="1"/>
  <c r="N13" i="1" s="1"/>
  <c r="M28" i="120"/>
  <c r="O24" i="3"/>
  <c r="K35" i="3"/>
  <c r="K87" i="3"/>
  <c r="P41" i="108"/>
  <c r="O21" i="131"/>
  <c r="M42" i="108"/>
  <c r="Q42" i="108" s="1"/>
  <c r="S20" i="37"/>
  <c r="H21" i="108"/>
  <c r="M21" i="120"/>
  <c r="N19" i="110"/>
  <c r="N23" i="110"/>
  <c r="N25" i="110"/>
  <c r="N27" i="110"/>
  <c r="M40" i="120"/>
  <c r="H40" i="108"/>
  <c r="N16" i="110"/>
  <c r="J30" i="121"/>
  <c r="S90" i="5"/>
  <c r="S91" i="5" s="1"/>
  <c r="P91" i="5"/>
  <c r="S24" i="37"/>
  <c r="J31" i="130"/>
  <c r="E100" i="19"/>
  <c r="J29" i="98"/>
  <c r="M20" i="110"/>
  <c r="K21" i="110"/>
  <c r="M22" i="110"/>
  <c r="M24" i="110"/>
  <c r="K27" i="110"/>
  <c r="H15" i="6"/>
  <c r="I12" i="6"/>
  <c r="I70" i="3"/>
  <c r="I57" i="3"/>
  <c r="I83" i="3"/>
  <c r="I69" i="3"/>
  <c r="I67" i="3"/>
  <c r="Q75" i="3"/>
  <c r="H86" i="3"/>
  <c r="F81" i="114" s="1"/>
  <c r="Q48" i="3"/>
  <c r="Q34" i="3"/>
  <c r="Q38" i="3"/>
  <c r="Q46" i="3"/>
  <c r="Q30" i="3"/>
  <c r="M48" i="108"/>
  <c r="M45" i="108"/>
  <c r="O20" i="108"/>
  <c r="M38" i="108"/>
  <c r="M61" i="3"/>
  <c r="P83" i="3"/>
  <c r="O17" i="3"/>
  <c r="M36" i="3"/>
  <c r="O40" i="3"/>
  <c r="M56" i="3"/>
  <c r="H337" i="125"/>
  <c r="I337" i="125" s="1"/>
  <c r="P85" i="3"/>
  <c r="K23" i="3"/>
  <c r="K50" i="3"/>
  <c r="M69" i="3"/>
  <c r="P45" i="108"/>
  <c r="P17" i="108"/>
  <c r="M26" i="108"/>
  <c r="P86" i="3"/>
  <c r="H306" i="125"/>
  <c r="I306" i="125" s="1"/>
  <c r="K24" i="3"/>
  <c r="M19" i="3"/>
  <c r="O31" i="3"/>
  <c r="O43" i="3"/>
  <c r="O45" i="3"/>
  <c r="H56" i="125"/>
  <c r="I26" i="108"/>
  <c r="L26" i="108" s="1"/>
  <c r="I28" i="108"/>
  <c r="L28" i="108" s="1"/>
  <c r="I41" i="108"/>
  <c r="L41" i="108" s="1"/>
  <c r="I16" i="108"/>
  <c r="D20" i="63"/>
  <c r="D19" i="63" s="1"/>
  <c r="K25" i="3"/>
  <c r="K86" i="3"/>
  <c r="K85" i="3"/>
  <c r="K84" i="3"/>
  <c r="J34" i="138"/>
  <c r="K81" i="3"/>
  <c r="K80" i="3"/>
  <c r="K79" i="3"/>
  <c r="K69" i="3"/>
  <c r="K65" i="3"/>
  <c r="K61" i="3"/>
  <c r="K48" i="108"/>
  <c r="K42" i="108"/>
  <c r="K44" i="3"/>
  <c r="K34" i="3"/>
  <c r="K31" i="3"/>
  <c r="K27" i="3"/>
  <c r="H68" i="3"/>
  <c r="H42" i="91"/>
  <c r="J42" i="91" s="1"/>
  <c r="H24" i="108"/>
  <c r="H19" i="89"/>
  <c r="I19" i="89" s="1"/>
  <c r="C172" i="125"/>
  <c r="D172" i="125" s="1"/>
  <c r="H37" i="3"/>
  <c r="H17" i="3"/>
  <c r="H20" i="91"/>
  <c r="J20" i="91" s="1"/>
  <c r="K50" i="97"/>
  <c r="P79" i="3"/>
  <c r="P80" i="3"/>
  <c r="I78" i="3"/>
  <c r="P87" i="3"/>
  <c r="D18" i="63"/>
  <c r="I84" i="3"/>
  <c r="H36" i="125"/>
  <c r="H174" i="125"/>
  <c r="C339" i="125"/>
  <c r="I47" i="108"/>
  <c r="L47" i="108" s="1"/>
  <c r="O16" i="108"/>
  <c r="O19" i="3"/>
  <c r="D66" i="133"/>
  <c r="E66" i="133" s="1"/>
  <c r="F66" i="133" s="1"/>
  <c r="H71" i="58"/>
  <c r="I71" i="58" s="1"/>
  <c r="L71" i="58" s="1"/>
  <c r="K20" i="3"/>
  <c r="K17" i="108"/>
  <c r="L17" i="108" s="1"/>
  <c r="I68" i="3"/>
  <c r="M20" i="108"/>
  <c r="M23" i="3"/>
  <c r="M68" i="3"/>
  <c r="K18" i="108"/>
  <c r="L18" i="108" s="1"/>
  <c r="K21" i="3"/>
  <c r="T15" i="136"/>
  <c r="T18" i="136" s="1"/>
  <c r="L30" i="136"/>
  <c r="I56" i="3"/>
  <c r="I22" i="108"/>
  <c r="L22" i="108" s="1"/>
  <c r="H16" i="125"/>
  <c r="C184" i="125"/>
  <c r="H339" i="125"/>
  <c r="I39" i="108"/>
  <c r="I79" i="3"/>
  <c r="M87" i="3"/>
  <c r="M64" i="3"/>
  <c r="D53" i="133"/>
  <c r="E53" i="133" s="1"/>
  <c r="F53" i="133" s="1"/>
  <c r="M31" i="3"/>
  <c r="M28" i="108"/>
  <c r="P19" i="3"/>
  <c r="P16" i="108"/>
  <c r="M32" i="108"/>
  <c r="M35" i="3"/>
  <c r="V38" i="132"/>
  <c r="W38" i="132" s="1"/>
  <c r="H81" i="3"/>
  <c r="F76" i="114" s="1"/>
  <c r="F84" i="114"/>
  <c r="H20" i="108"/>
  <c r="H22" i="91"/>
  <c r="J22" i="91" s="1"/>
  <c r="H16" i="90"/>
  <c r="I16" i="90" s="1"/>
  <c r="H20" i="90"/>
  <c r="I20" i="90" s="1"/>
  <c r="I24" i="108"/>
  <c r="L24" i="108" s="1"/>
  <c r="C154" i="125"/>
  <c r="J60" i="3"/>
  <c r="C217" i="125" s="1"/>
  <c r="I87" i="3"/>
  <c r="I65" i="3"/>
  <c r="I14" i="108"/>
  <c r="L14" i="108" s="1"/>
  <c r="C152" i="125"/>
  <c r="D152" i="125" s="1"/>
  <c r="H45" i="3"/>
  <c r="F40" i="114" s="1"/>
  <c r="P31" i="3"/>
  <c r="P28" i="108"/>
  <c r="M39" i="108"/>
  <c r="Q39" i="108" s="1"/>
  <c r="M42" i="3"/>
  <c r="D31" i="133"/>
  <c r="E31" i="133" s="1"/>
  <c r="F31" i="133" s="1"/>
  <c r="H31" i="58"/>
  <c r="K15" i="108"/>
  <c r="K18" i="3"/>
  <c r="K46" i="108"/>
  <c r="K49" i="3"/>
  <c r="I19" i="108"/>
  <c r="L19" i="108" s="1"/>
  <c r="I44" i="108"/>
  <c r="L44" i="108" s="1"/>
  <c r="H298" i="125"/>
  <c r="K64" i="3"/>
  <c r="K30" i="108"/>
  <c r="K33" i="3"/>
  <c r="P50" i="3"/>
  <c r="P47" i="108"/>
  <c r="Q47" i="108" s="1"/>
  <c r="K49" i="108"/>
  <c r="K52" i="3"/>
  <c r="K63" i="3"/>
  <c r="H41" i="91"/>
  <c r="J41" i="91" s="1"/>
  <c r="H39" i="108"/>
  <c r="M49" i="3"/>
  <c r="H39" i="3"/>
  <c r="J66" i="3"/>
  <c r="C247" i="125" s="1"/>
  <c r="H28" i="108"/>
  <c r="C79" i="125"/>
  <c r="D79" i="125" s="1"/>
  <c r="M41" i="120"/>
  <c r="I20" i="108"/>
  <c r="L20" i="108" s="1"/>
  <c r="D39" i="133"/>
  <c r="E39" i="133" s="1"/>
  <c r="F39" i="133" s="1"/>
  <c r="H278" i="125"/>
  <c r="D29" i="133"/>
  <c r="E29" i="133" s="1"/>
  <c r="F29" i="133" s="1"/>
  <c r="H36" i="58"/>
  <c r="I36" i="58" s="1"/>
  <c r="L36" i="58" s="1"/>
  <c r="D36" i="133"/>
  <c r="E36" i="133" s="1"/>
  <c r="F36" i="133" s="1"/>
  <c r="C16" i="125"/>
  <c r="O27" i="3"/>
  <c r="C56" i="125"/>
  <c r="I80" i="3"/>
  <c r="I81" i="3"/>
  <c r="I82" i="3"/>
  <c r="I85" i="3"/>
  <c r="M18" i="3"/>
  <c r="M58" i="3"/>
  <c r="K58" i="3"/>
  <c r="J59" i="3"/>
  <c r="H207" i="125" s="1"/>
  <c r="K62" i="3"/>
  <c r="I64" i="3"/>
  <c r="K66" i="3"/>
  <c r="M70" i="3"/>
  <c r="Y30" i="132"/>
  <c r="Y31" i="132" s="1"/>
  <c r="Y33" i="132" s="1"/>
  <c r="M26" i="120"/>
  <c r="Y14" i="129"/>
  <c r="O32" i="129"/>
  <c r="O21" i="129" s="1"/>
  <c r="O11" i="129" s="1"/>
  <c r="O55" i="129" s="1"/>
  <c r="I23" i="108"/>
  <c r="I30" i="108"/>
  <c r="M34" i="108"/>
  <c r="Q34" i="108" s="1"/>
  <c r="M45" i="120"/>
  <c r="O31" i="131"/>
  <c r="O37" i="131" s="1"/>
  <c r="T13" i="131"/>
  <c r="K16" i="108"/>
  <c r="P20" i="108"/>
  <c r="M24" i="108"/>
  <c r="I35" i="108"/>
  <c r="L35" i="108" s="1"/>
  <c r="I49" i="108"/>
  <c r="M49" i="120"/>
  <c r="M43" i="108"/>
  <c r="Q43" i="108" s="1"/>
  <c r="I46" i="108"/>
  <c r="M40" i="108"/>
  <c r="S45" i="37"/>
  <c r="AM45" i="4"/>
  <c r="AM34" i="4"/>
  <c r="S34" i="37"/>
  <c r="AM37" i="4"/>
  <c r="S37" i="37"/>
  <c r="S22" i="37"/>
  <c r="AM22" i="4"/>
  <c r="S38" i="37"/>
  <c r="AM38" i="4"/>
  <c r="S17" i="37"/>
  <c r="AM17" i="4"/>
  <c r="J62" i="37"/>
  <c r="E62" i="37" s="1"/>
  <c r="AM19" i="4"/>
  <c r="S19" i="37"/>
  <c r="E104" i="19"/>
  <c r="V23" i="117"/>
  <c r="W23" i="117" s="1"/>
  <c r="M20" i="3"/>
  <c r="O36" i="3"/>
  <c r="O50" i="3"/>
  <c r="I86" i="3"/>
  <c r="O39" i="3"/>
  <c r="J56" i="3"/>
  <c r="C197" i="125" s="1"/>
  <c r="I58" i="3"/>
  <c r="K60" i="3"/>
  <c r="I61" i="3"/>
  <c r="K67" i="3"/>
  <c r="I77" i="3"/>
  <c r="J51" i="120"/>
  <c r="M17" i="120"/>
  <c r="M30" i="120"/>
  <c r="M38" i="120"/>
  <c r="Z26" i="132"/>
  <c r="AA26" i="132" s="1"/>
  <c r="K23" i="108"/>
  <c r="P24" i="108"/>
  <c r="H42" i="108"/>
  <c r="I21" i="108"/>
  <c r="L21" i="108" s="1"/>
  <c r="K39" i="108"/>
  <c r="O21" i="118"/>
  <c r="U30" i="118"/>
  <c r="I37" i="108"/>
  <c r="L37" i="108" s="1"/>
  <c r="L9" i="20"/>
  <c r="L39" i="20" s="1"/>
  <c r="K39" i="20"/>
  <c r="AM29" i="4"/>
  <c r="S29" i="37"/>
  <c r="E103" i="19"/>
  <c r="W29" i="132"/>
  <c r="H39" i="58"/>
  <c r="I39" i="58" s="1"/>
  <c r="L39" i="58" s="1"/>
  <c r="D56" i="133"/>
  <c r="E56" i="133" s="1"/>
  <c r="F56" i="133" s="1"/>
  <c r="H26" i="125"/>
  <c r="C174" i="125"/>
  <c r="C207" i="125"/>
  <c r="D30" i="133"/>
  <c r="E30" i="133" s="1"/>
  <c r="F30" i="133" s="1"/>
  <c r="M27" i="63"/>
  <c r="D42" i="133"/>
  <c r="E42" i="133" s="1"/>
  <c r="F42" i="133" s="1"/>
  <c r="H6" i="125"/>
  <c r="H46" i="125"/>
  <c r="C26" i="125"/>
  <c r="C46" i="125"/>
  <c r="H164" i="125"/>
  <c r="H184" i="125"/>
  <c r="H247" i="125"/>
  <c r="D15" i="133"/>
  <c r="E15" i="133" s="1"/>
  <c r="F15" i="133" s="1"/>
  <c r="H33" i="58"/>
  <c r="L38" i="108"/>
  <c r="C36" i="125"/>
  <c r="H49" i="91"/>
  <c r="J49" i="91" s="1"/>
  <c r="K78" i="3"/>
  <c r="J79" i="3"/>
  <c r="C288" i="125" s="1"/>
  <c r="J83" i="3"/>
  <c r="C308" i="125" s="1"/>
  <c r="J86" i="3"/>
  <c r="H319" i="125" s="1"/>
  <c r="J87" i="3"/>
  <c r="C329" i="125" s="1"/>
  <c r="M26" i="3"/>
  <c r="P34" i="138"/>
  <c r="K29" i="3"/>
  <c r="K56" i="3"/>
  <c r="H58" i="3"/>
  <c r="I59" i="3"/>
  <c r="J61" i="3"/>
  <c r="H217" i="125" s="1"/>
  <c r="J65" i="3"/>
  <c r="H237" i="125" s="1"/>
  <c r="J68" i="3"/>
  <c r="C258" i="125" s="1"/>
  <c r="J69" i="3"/>
  <c r="H258" i="125" s="1"/>
  <c r="M23" i="120"/>
  <c r="T29" i="132"/>
  <c r="I34" i="108"/>
  <c r="L34" i="108" s="1"/>
  <c r="P48" i="108"/>
  <c r="I31" i="108"/>
  <c r="L31" i="108" s="1"/>
  <c r="I42" i="108"/>
  <c r="I40" i="108"/>
  <c r="L40" i="108" s="1"/>
  <c r="O29" i="118"/>
  <c r="S41" i="37"/>
  <c r="AM41" i="4"/>
  <c r="AM35" i="4"/>
  <c r="S35" i="37"/>
  <c r="N12" i="1"/>
  <c r="AM39" i="4"/>
  <c r="S39" i="37"/>
  <c r="AM40" i="4"/>
  <c r="S40" i="37"/>
  <c r="J61" i="37"/>
  <c r="E61" i="37" s="1"/>
  <c r="J63" i="37"/>
  <c r="E63" i="37" s="1"/>
  <c r="AM18" i="4"/>
  <c r="S18" i="37"/>
  <c r="E101" i="19"/>
  <c r="L54" i="3"/>
  <c r="H51" i="108"/>
  <c r="N79" i="3"/>
  <c r="N24" i="108"/>
  <c r="N27" i="3"/>
  <c r="N16" i="108"/>
  <c r="N19" i="3"/>
  <c r="N83" i="3"/>
  <c r="N48" i="108"/>
  <c r="N51" i="3"/>
  <c r="C183" i="125" s="1"/>
  <c r="N32" i="108"/>
  <c r="N35" i="3"/>
  <c r="P82" i="3"/>
  <c r="O82" i="3"/>
  <c r="P40" i="3"/>
  <c r="N40" i="108"/>
  <c r="N43" i="3"/>
  <c r="N28" i="108"/>
  <c r="N31" i="3"/>
  <c r="N20" i="108"/>
  <c r="N23" i="3"/>
  <c r="O68" i="3"/>
  <c r="H18" i="108"/>
  <c r="H82" i="3"/>
  <c r="F77" i="114" s="1"/>
  <c r="H21" i="89"/>
  <c r="I21" i="89" s="1"/>
  <c r="L32" i="108"/>
  <c r="H318" i="125"/>
  <c r="K11" i="68"/>
  <c r="N10" i="68"/>
  <c r="N11" i="68" s="1"/>
  <c r="K17" i="89"/>
  <c r="M69" i="5"/>
  <c r="D57" i="133"/>
  <c r="E57" i="133" s="1"/>
  <c r="F57" i="133" s="1"/>
  <c r="D50" i="133"/>
  <c r="E50" i="133" s="1"/>
  <c r="F50" i="133" s="1"/>
  <c r="E24" i="133"/>
  <c r="F24" i="133" s="1"/>
  <c r="H24" i="58"/>
  <c r="H29" i="58"/>
  <c r="E91" i="58"/>
  <c r="AH11" i="105"/>
  <c r="Y14" i="105"/>
  <c r="AH14" i="105" s="1"/>
  <c r="D23" i="105" s="1"/>
  <c r="D25" i="105" s="1"/>
  <c r="J77" i="3"/>
  <c r="H72" i="58"/>
  <c r="I72" i="58" s="1"/>
  <c r="L72" i="58" s="1"/>
  <c r="D67" i="133"/>
  <c r="E67" i="133" s="1"/>
  <c r="F67" i="133" s="1"/>
  <c r="H73" i="58"/>
  <c r="I73" i="58" s="1"/>
  <c r="L73" i="58" s="1"/>
  <c r="D68" i="133"/>
  <c r="E68" i="133" s="1"/>
  <c r="F68" i="133" s="1"/>
  <c r="D69" i="133"/>
  <c r="E69" i="133" s="1"/>
  <c r="F69" i="133" s="1"/>
  <c r="H74" i="58"/>
  <c r="I74" i="58" s="1"/>
  <c r="L74" i="58" s="1"/>
  <c r="D76" i="133"/>
  <c r="E76" i="133" s="1"/>
  <c r="F76" i="133" s="1"/>
  <c r="H81" i="58"/>
  <c r="I81" i="58" s="1"/>
  <c r="L81" i="58" s="1"/>
  <c r="D77" i="133"/>
  <c r="E77" i="133" s="1"/>
  <c r="F77" i="133" s="1"/>
  <c r="H82" i="58"/>
  <c r="I82" i="58" s="1"/>
  <c r="L82" i="58" s="1"/>
  <c r="H78" i="58"/>
  <c r="I78" i="58" s="1"/>
  <c r="L78" i="58" s="1"/>
  <c r="D73" i="133"/>
  <c r="E73" i="133" s="1"/>
  <c r="F73" i="133" s="1"/>
  <c r="D64" i="133"/>
  <c r="H69" i="58"/>
  <c r="I69" i="58" s="1"/>
  <c r="L69" i="58" s="1"/>
  <c r="D49" i="133"/>
  <c r="E49" i="133" s="1"/>
  <c r="F49" i="133" s="1"/>
  <c r="E20" i="133"/>
  <c r="F20" i="133" s="1"/>
  <c r="H20" i="58"/>
  <c r="E12" i="133"/>
  <c r="F12" i="133" s="1"/>
  <c r="H12" i="58"/>
  <c r="I12" i="58" s="1"/>
  <c r="L12" i="58" s="1"/>
  <c r="H26" i="58"/>
  <c r="E26" i="133"/>
  <c r="F26" i="133" s="1"/>
  <c r="E32" i="133"/>
  <c r="F32" i="133" s="1"/>
  <c r="H32" i="58"/>
  <c r="E11" i="133"/>
  <c r="F11" i="133" s="1"/>
  <c r="H11" i="58"/>
  <c r="E45" i="133"/>
  <c r="F45" i="133" s="1"/>
  <c r="H45" i="58"/>
  <c r="H16" i="58"/>
  <c r="E16" i="133"/>
  <c r="F16" i="133" s="1"/>
  <c r="E28" i="133"/>
  <c r="F28" i="133" s="1"/>
  <c r="H28" i="58"/>
  <c r="E41" i="133"/>
  <c r="F41" i="133" s="1"/>
  <c r="H41" i="58"/>
  <c r="I41" i="58" s="1"/>
  <c r="L41" i="58" s="1"/>
  <c r="D51" i="133"/>
  <c r="E51" i="133" s="1"/>
  <c r="F51" i="133" s="1"/>
  <c r="D61" i="133"/>
  <c r="E61" i="133" s="1"/>
  <c r="F61" i="133" s="1"/>
  <c r="AH12" i="113"/>
  <c r="D48" i="133"/>
  <c r="H49" i="58"/>
  <c r="I49" i="58" s="1"/>
  <c r="L49" i="58" s="1"/>
  <c r="D54" i="133"/>
  <c r="E54" i="133" s="1"/>
  <c r="F54" i="133" s="1"/>
  <c r="E46" i="133"/>
  <c r="F46" i="133" s="1"/>
  <c r="H46" i="58"/>
  <c r="I46" i="58" s="1"/>
  <c r="L46" i="58" s="1"/>
  <c r="E27" i="133"/>
  <c r="F27" i="133" s="1"/>
  <c r="H27" i="58"/>
  <c r="E40" i="133"/>
  <c r="F40" i="133" s="1"/>
  <c r="H40" i="58"/>
  <c r="I40" i="58" s="1"/>
  <c r="L40" i="58" s="1"/>
  <c r="E34" i="133"/>
  <c r="F34" i="133" s="1"/>
  <c r="H34" i="58"/>
  <c r="E13" i="133"/>
  <c r="F13" i="133" s="1"/>
  <c r="H13" i="58"/>
  <c r="I13" i="58" s="1"/>
  <c r="L13" i="58" s="1"/>
  <c r="E17" i="133"/>
  <c r="F17" i="133" s="1"/>
  <c r="H17" i="58"/>
  <c r="E35" i="133"/>
  <c r="F35" i="133" s="1"/>
  <c r="H35" i="58"/>
  <c r="I35" i="58" s="1"/>
  <c r="L35" i="58" s="1"/>
  <c r="E44" i="133"/>
  <c r="F44" i="133" s="1"/>
  <c r="H44" i="58"/>
  <c r="I44" i="58" s="1"/>
  <c r="L44" i="58" s="1"/>
  <c r="H19" i="58"/>
  <c r="E19" i="133"/>
  <c r="F19" i="133" s="1"/>
  <c r="E14" i="133"/>
  <c r="F14" i="133" s="1"/>
  <c r="H14" i="58"/>
  <c r="I14" i="58" s="1"/>
  <c r="L14" i="58" s="1"/>
  <c r="O15" i="58"/>
  <c r="Q15" i="58" s="1"/>
  <c r="R15" i="58" s="1"/>
  <c r="S15" i="58" s="1"/>
  <c r="H23" i="58"/>
  <c r="E23" i="133"/>
  <c r="F23" i="133" s="1"/>
  <c r="AH14" i="113"/>
  <c r="E37" i="133"/>
  <c r="F37" i="133" s="1"/>
  <c r="H37" i="58"/>
  <c r="I37" i="58" s="1"/>
  <c r="L37" i="58" s="1"/>
  <c r="H43" i="58"/>
  <c r="I43" i="58" s="1"/>
  <c r="L43" i="58" s="1"/>
  <c r="E43" i="133"/>
  <c r="F43" i="133" s="1"/>
  <c r="E38" i="133"/>
  <c r="F38" i="133" s="1"/>
  <c r="H38" i="58"/>
  <c r="E21" i="133"/>
  <c r="F21" i="133" s="1"/>
  <c r="H21" i="58"/>
  <c r="AH13" i="113"/>
  <c r="AH13" i="105"/>
  <c r="H110" i="125"/>
  <c r="N12" i="21"/>
  <c r="F32" i="125"/>
  <c r="A42" i="125" s="1"/>
  <c r="F42" i="125" s="1"/>
  <c r="A52" i="125" s="1"/>
  <c r="F52" i="125" s="1"/>
  <c r="A67" i="125" s="1"/>
  <c r="F67" i="125" s="1"/>
  <c r="A77" i="125" s="1"/>
  <c r="F77" i="125" s="1"/>
  <c r="A87" i="125" s="1"/>
  <c r="F87" i="125" s="1"/>
  <c r="A97" i="125" s="1"/>
  <c r="F97" i="125" s="1"/>
  <c r="A107" i="125" s="1"/>
  <c r="F107" i="125" s="1"/>
  <c r="A117" i="125" s="1"/>
  <c r="F117" i="125" s="1"/>
  <c r="A130" i="125" s="1"/>
  <c r="F130" i="125" s="1"/>
  <c r="A140" i="125" s="1"/>
  <c r="F140" i="125" s="1"/>
  <c r="A150" i="125" s="1"/>
  <c r="F150" i="125" s="1"/>
  <c r="A160" i="125" s="1"/>
  <c r="F160" i="125" s="1"/>
  <c r="A170" i="125" s="1"/>
  <c r="A32" i="125"/>
  <c r="N18" i="63"/>
  <c r="N15" i="63" s="1"/>
  <c r="K20" i="63"/>
  <c r="K19" i="63" s="1"/>
  <c r="K15" i="63"/>
  <c r="X15" i="64"/>
  <c r="X24" i="64" s="1"/>
  <c r="K25" i="63" s="1"/>
  <c r="J15" i="63"/>
  <c r="Z18" i="64"/>
  <c r="AA18" i="64" s="1"/>
  <c r="O18" i="63" s="1"/>
  <c r="Q16" i="64"/>
  <c r="O15" i="64"/>
  <c r="O24" i="64" s="1"/>
  <c r="H70" i="125"/>
  <c r="H30" i="58"/>
  <c r="AH11" i="113"/>
  <c r="H25" i="58"/>
  <c r="D21" i="63"/>
  <c r="H163" i="125"/>
  <c r="C317" i="125"/>
  <c r="D317" i="125" s="1"/>
  <c r="H85" i="3"/>
  <c r="F80" i="114" s="1"/>
  <c r="F85" i="114"/>
  <c r="H21" i="91"/>
  <c r="J21" i="91" s="1"/>
  <c r="H24" i="125"/>
  <c r="I24" i="125" s="1"/>
  <c r="H22" i="3"/>
  <c r="F17" i="114" s="1"/>
  <c r="H308" i="125"/>
  <c r="H307" i="125"/>
  <c r="H89" i="125"/>
  <c r="I89" i="125" s="1"/>
  <c r="H34" i="3"/>
  <c r="H297" i="125"/>
  <c r="H90" i="125"/>
  <c r="C297" i="125"/>
  <c r="M49" i="5"/>
  <c r="L52" i="91"/>
  <c r="G50" i="5"/>
  <c r="C298" i="125"/>
  <c r="H25" i="3"/>
  <c r="C44" i="125"/>
  <c r="D44" i="125" s="1"/>
  <c r="H47" i="3"/>
  <c r="H46" i="91"/>
  <c r="J46" i="91" s="1"/>
  <c r="C162" i="125"/>
  <c r="D162" i="125" s="1"/>
  <c r="H23" i="89"/>
  <c r="I23" i="89" s="1"/>
  <c r="L23" i="89" s="1"/>
  <c r="N23" i="89" s="1"/>
  <c r="C276" i="125"/>
  <c r="D276" i="125" s="1"/>
  <c r="H77" i="3"/>
  <c r="C318" i="125"/>
  <c r="C348" i="125"/>
  <c r="H27" i="3"/>
  <c r="C54" i="125"/>
  <c r="D54" i="125" s="1"/>
  <c r="H26" i="91"/>
  <c r="J26" i="91" s="1"/>
  <c r="H24" i="91"/>
  <c r="J24" i="91" s="1"/>
  <c r="H52" i="91"/>
  <c r="F70" i="114"/>
  <c r="K50" i="5"/>
  <c r="K84" i="5" s="1"/>
  <c r="K92" i="5" s="1"/>
  <c r="G12" i="5"/>
  <c r="K68" i="5"/>
  <c r="G67" i="5"/>
  <c r="I99" i="3" l="1"/>
  <c r="P28" i="110"/>
  <c r="S19" i="146"/>
  <c r="P27" i="110"/>
  <c r="Q28" i="146"/>
  <c r="S28" i="146" s="1"/>
  <c r="Q22" i="146"/>
  <c r="S22" i="146" s="1"/>
  <c r="Q31" i="146"/>
  <c r="S31" i="146" s="1"/>
  <c r="Q29" i="146"/>
  <c r="S29" i="146" s="1"/>
  <c r="Q24" i="146"/>
  <c r="S24" i="146" s="1"/>
  <c r="Q25" i="146"/>
  <c r="S25" i="146" s="1"/>
  <c r="Q21" i="146"/>
  <c r="S21" i="146" s="1"/>
  <c r="Q32" i="146"/>
  <c r="S32" i="146" s="1"/>
  <c r="Q27" i="146"/>
  <c r="S27" i="146" s="1"/>
  <c r="Q30" i="146"/>
  <c r="S30" i="146" s="1"/>
  <c r="Q23" i="146"/>
  <c r="S23" i="146" s="1"/>
  <c r="Q20" i="146"/>
  <c r="L21" i="110"/>
  <c r="T21" i="110" s="1"/>
  <c r="Q58" i="3"/>
  <c r="Q61" i="3"/>
  <c r="Q68" i="3"/>
  <c r="L22" i="110"/>
  <c r="T22" i="110" s="1"/>
  <c r="Q59" i="3"/>
  <c r="Q70" i="3"/>
  <c r="Q64" i="3"/>
  <c r="L29" i="110"/>
  <c r="T29" i="110" s="1"/>
  <c r="L34" i="146"/>
  <c r="L71" i="3" s="1"/>
  <c r="G66" i="114" s="1"/>
  <c r="L35" i="146"/>
  <c r="L72" i="3" s="1"/>
  <c r="G67" i="114" s="1"/>
  <c r="L36" i="146"/>
  <c r="L73" i="3" s="1"/>
  <c r="G68" i="114" s="1"/>
  <c r="L37" i="146"/>
  <c r="L74" i="3" s="1"/>
  <c r="G69" i="114" s="1"/>
  <c r="L17" i="110"/>
  <c r="T17" i="110" s="1"/>
  <c r="Q66" i="3"/>
  <c r="Q67" i="3"/>
  <c r="Q69" i="3"/>
  <c r="L30" i="110"/>
  <c r="T30" i="110" s="1"/>
  <c r="Q57" i="3"/>
  <c r="Q63" i="3"/>
  <c r="Q56" i="3"/>
  <c r="Q62" i="3"/>
  <c r="Q60" i="3"/>
  <c r="L20" i="110"/>
  <c r="T20" i="110" s="1"/>
  <c r="Q65" i="3"/>
  <c r="G88" i="114"/>
  <c r="L28" i="110"/>
  <c r="T28" i="110" s="1"/>
  <c r="W45" i="108"/>
  <c r="X45" i="108" s="1"/>
  <c r="Q29" i="108"/>
  <c r="Q29" i="3"/>
  <c r="P11" i="28"/>
  <c r="P13" i="28" s="1"/>
  <c r="Q45" i="3"/>
  <c r="L44" i="91" s="1"/>
  <c r="Q25" i="108"/>
  <c r="Q37" i="3"/>
  <c r="M33" i="5" s="1"/>
  <c r="L39" i="108"/>
  <c r="L42" i="3" s="1"/>
  <c r="K41" i="91" s="1"/>
  <c r="L24" i="146"/>
  <c r="W24" i="146" s="1"/>
  <c r="O30" i="58"/>
  <c r="Q30" i="58" s="1"/>
  <c r="R30" i="58" s="1"/>
  <c r="S30" i="58" s="1"/>
  <c r="I30" i="58"/>
  <c r="L30" i="58" s="1"/>
  <c r="O19" i="58"/>
  <c r="Q19" i="58" s="1"/>
  <c r="R19" i="58" s="1"/>
  <c r="S19" i="58" s="1"/>
  <c r="I19" i="58"/>
  <c r="L19" i="58" s="1"/>
  <c r="O24" i="58"/>
  <c r="Q24" i="58" s="1"/>
  <c r="R24" i="58" s="1"/>
  <c r="S24" i="58" s="1"/>
  <c r="I24" i="58"/>
  <c r="L24" i="58" s="1"/>
  <c r="O33" i="58"/>
  <c r="Q33" i="58" s="1"/>
  <c r="R33" i="58" s="1"/>
  <c r="I33" i="58"/>
  <c r="L33" i="58" s="1"/>
  <c r="O25" i="58"/>
  <c r="Q25" i="58" s="1"/>
  <c r="R25" i="58" s="1"/>
  <c r="S25" i="58" s="1"/>
  <c r="I25" i="58"/>
  <c r="L25" i="58" s="1"/>
  <c r="O21" i="58"/>
  <c r="Q21" i="58" s="1"/>
  <c r="R21" i="58" s="1"/>
  <c r="S21" i="58" s="1"/>
  <c r="I21" i="58"/>
  <c r="L21" i="58" s="1"/>
  <c r="O17" i="58"/>
  <c r="Q17" i="58" s="1"/>
  <c r="R17" i="58" s="1"/>
  <c r="S17" i="58" s="1"/>
  <c r="I17" i="58"/>
  <c r="L17" i="58" s="1"/>
  <c r="O34" i="58"/>
  <c r="Q34" i="58" s="1"/>
  <c r="R34" i="58" s="1"/>
  <c r="I34" i="58"/>
  <c r="L34" i="58" s="1"/>
  <c r="O27" i="58"/>
  <c r="Q27" i="58" s="1"/>
  <c r="R27" i="58" s="1"/>
  <c r="S27" i="58" s="1"/>
  <c r="I27" i="58"/>
  <c r="L27" i="58" s="1"/>
  <c r="O16" i="58"/>
  <c r="Q16" i="58" s="1"/>
  <c r="R16" i="58" s="1"/>
  <c r="S16" i="58" s="1"/>
  <c r="I16" i="58"/>
  <c r="L16" i="58" s="1"/>
  <c r="O26" i="58"/>
  <c r="Q26" i="58" s="1"/>
  <c r="R26" i="58" s="1"/>
  <c r="S26" i="58" s="1"/>
  <c r="I26" i="58"/>
  <c r="L26" i="58" s="1"/>
  <c r="O20" i="58"/>
  <c r="Q20" i="58" s="1"/>
  <c r="R20" i="58" s="1"/>
  <c r="S20" i="58" s="1"/>
  <c r="I20" i="58"/>
  <c r="L20" i="58" s="1"/>
  <c r="O38" i="58"/>
  <c r="Q38" i="58" s="1"/>
  <c r="R38" i="58" s="1"/>
  <c r="S38" i="58" s="1"/>
  <c r="I38" i="58"/>
  <c r="L38" i="58" s="1"/>
  <c r="O23" i="58"/>
  <c r="Q23" i="58" s="1"/>
  <c r="R23" i="58" s="1"/>
  <c r="S23" i="58" s="1"/>
  <c r="I23" i="58"/>
  <c r="L23" i="58" s="1"/>
  <c r="O28" i="58"/>
  <c r="Q28" i="58" s="1"/>
  <c r="R28" i="58" s="1"/>
  <c r="S28" i="58" s="1"/>
  <c r="I28" i="58"/>
  <c r="L28" i="58" s="1"/>
  <c r="O45" i="58"/>
  <c r="Q45" i="58" s="1"/>
  <c r="R45" i="58" s="1"/>
  <c r="S45" i="58" s="1"/>
  <c r="I45" i="58"/>
  <c r="L45" i="58" s="1"/>
  <c r="O32" i="58"/>
  <c r="Q32" i="58" s="1"/>
  <c r="R32" i="58" s="1"/>
  <c r="I32" i="58"/>
  <c r="L32" i="58" s="1"/>
  <c r="O29" i="58"/>
  <c r="Q29" i="58" s="1"/>
  <c r="R29" i="58" s="1"/>
  <c r="S29" i="58" s="1"/>
  <c r="I29" i="58"/>
  <c r="L29" i="58" s="1"/>
  <c r="O31" i="58"/>
  <c r="Q31" i="58" s="1"/>
  <c r="R31" i="58" s="1"/>
  <c r="I31" i="58"/>
  <c r="L31" i="58" s="1"/>
  <c r="C5" i="125"/>
  <c r="L28" i="3"/>
  <c r="Q26" i="108"/>
  <c r="L21" i="146"/>
  <c r="L26" i="146"/>
  <c r="L27" i="110"/>
  <c r="T27" i="110" s="1"/>
  <c r="O48" i="127"/>
  <c r="L19" i="146"/>
  <c r="L56" i="3" s="1"/>
  <c r="L20" i="146"/>
  <c r="W20" i="146" s="1"/>
  <c r="Q36" i="108"/>
  <c r="L26" i="110"/>
  <c r="T26" i="110" s="1"/>
  <c r="L27" i="146"/>
  <c r="L42" i="108"/>
  <c r="W42" i="108" s="1"/>
  <c r="X42" i="108" s="1"/>
  <c r="Q41" i="3"/>
  <c r="L40" i="91" s="1"/>
  <c r="L31" i="146"/>
  <c r="W31" i="146" s="1"/>
  <c r="L33" i="146"/>
  <c r="W25" i="108"/>
  <c r="X25" i="108" s="1"/>
  <c r="L30" i="146"/>
  <c r="L23" i="110"/>
  <c r="T23" i="110" s="1"/>
  <c r="L23" i="146"/>
  <c r="G49" i="114"/>
  <c r="L49" i="5"/>
  <c r="N49" i="5" s="1"/>
  <c r="P49" i="5" s="1"/>
  <c r="S49" i="5" s="1"/>
  <c r="K52" i="91"/>
  <c r="T18" i="110"/>
  <c r="Z14" i="108"/>
  <c r="W14" i="108"/>
  <c r="X14" i="108" s="1"/>
  <c r="L17" i="3"/>
  <c r="G12" i="114" s="1"/>
  <c r="O20" i="117"/>
  <c r="O11" i="117" s="1"/>
  <c r="O62" i="117" s="1"/>
  <c r="L22" i="146"/>
  <c r="W22" i="146" s="1"/>
  <c r="M62" i="5"/>
  <c r="S54" i="3"/>
  <c r="L31" i="110"/>
  <c r="L29" i="146"/>
  <c r="L32" i="146"/>
  <c r="L19" i="110"/>
  <c r="L79" i="3" s="1"/>
  <c r="L25" i="146"/>
  <c r="L25" i="110"/>
  <c r="L28" i="146"/>
  <c r="L49" i="108"/>
  <c r="W49" i="108" s="1"/>
  <c r="X49" i="108" s="1"/>
  <c r="E105" i="19"/>
  <c r="Z15" i="108"/>
  <c r="W15" i="108"/>
  <c r="X15" i="108" s="1"/>
  <c r="L16" i="110"/>
  <c r="L24" i="110"/>
  <c r="L34" i="3"/>
  <c r="L30" i="5" s="1"/>
  <c r="Z31" i="108"/>
  <c r="W31" i="108"/>
  <c r="X31" i="108" s="1"/>
  <c r="L40" i="3"/>
  <c r="L36" i="5" s="1"/>
  <c r="W37" i="108"/>
  <c r="X37" i="108" s="1"/>
  <c r="Z37" i="108"/>
  <c r="L24" i="3"/>
  <c r="Z21" i="108"/>
  <c r="W21" i="108"/>
  <c r="X21" i="108" s="1"/>
  <c r="L47" i="3"/>
  <c r="W44" i="108"/>
  <c r="X44" i="108" s="1"/>
  <c r="Z44" i="108"/>
  <c r="L27" i="3"/>
  <c r="W24" i="108"/>
  <c r="X24" i="108" s="1"/>
  <c r="Z24" i="108"/>
  <c r="W22" i="108"/>
  <c r="X22" i="108" s="1"/>
  <c r="Z22" i="108"/>
  <c r="L38" i="3"/>
  <c r="G33" i="114" s="1"/>
  <c r="W35" i="108"/>
  <c r="X35" i="108" s="1"/>
  <c r="Z35" i="108"/>
  <c r="Z28" i="108"/>
  <c r="W28" i="108"/>
  <c r="X28" i="108" s="1"/>
  <c r="L43" i="3"/>
  <c r="Z40" i="108"/>
  <c r="W40" i="108"/>
  <c r="X40" i="108" s="1"/>
  <c r="L23" i="3"/>
  <c r="W20" i="108"/>
  <c r="X20" i="108" s="1"/>
  <c r="Z20" i="108"/>
  <c r="W47" i="108"/>
  <c r="X47" i="108" s="1"/>
  <c r="Z47" i="108"/>
  <c r="L44" i="3"/>
  <c r="W41" i="108"/>
  <c r="X41" i="108" s="1"/>
  <c r="Z41" i="108"/>
  <c r="L29" i="3"/>
  <c r="L25" i="5" s="1"/>
  <c r="Z26" i="108"/>
  <c r="W26" i="108"/>
  <c r="X26" i="108" s="1"/>
  <c r="L41" i="3"/>
  <c r="G36" i="114" s="1"/>
  <c r="Z38" i="108"/>
  <c r="W38" i="108"/>
  <c r="X38" i="108" s="1"/>
  <c r="L23" i="108"/>
  <c r="L25" i="3" s="1"/>
  <c r="K24" i="91" s="1"/>
  <c r="L21" i="3"/>
  <c r="G16" i="114" s="1"/>
  <c r="W18" i="108"/>
  <c r="X18" i="108" s="1"/>
  <c r="Z18" i="108"/>
  <c r="H35" i="125"/>
  <c r="L30" i="3"/>
  <c r="K29" i="91" s="1"/>
  <c r="Z27" i="108"/>
  <c r="W27" i="108"/>
  <c r="X27" i="108" s="1"/>
  <c r="L46" i="108"/>
  <c r="L48" i="3" s="1"/>
  <c r="G43" i="114" s="1"/>
  <c r="L39" i="3"/>
  <c r="D121" i="125" s="1"/>
  <c r="W36" i="108"/>
  <c r="X36" i="108" s="1"/>
  <c r="Z36" i="108"/>
  <c r="C120" i="125"/>
  <c r="L16" i="108"/>
  <c r="L18" i="3" s="1"/>
  <c r="K52" i="108"/>
  <c r="L20" i="3"/>
  <c r="Z17" i="108"/>
  <c r="W17" i="108"/>
  <c r="X17" i="108" s="1"/>
  <c r="L46" i="3"/>
  <c r="Z43" i="108"/>
  <c r="W43" i="108"/>
  <c r="X43" i="108" s="1"/>
  <c r="L30" i="108"/>
  <c r="L35" i="3"/>
  <c r="D101" i="125" s="1"/>
  <c r="W32" i="108"/>
  <c r="X32" i="108" s="1"/>
  <c r="Z32" i="108"/>
  <c r="L22" i="3"/>
  <c r="G17" i="114" s="1"/>
  <c r="W19" i="108"/>
  <c r="X19" i="108" s="1"/>
  <c r="Z19" i="108"/>
  <c r="L37" i="3"/>
  <c r="G32" i="114" s="1"/>
  <c r="Z34" i="108"/>
  <c r="W34" i="108"/>
  <c r="X34" i="108" s="1"/>
  <c r="L48" i="108"/>
  <c r="L50" i="3" s="1"/>
  <c r="L33" i="108"/>
  <c r="Q18" i="108"/>
  <c r="M39" i="146"/>
  <c r="Q22" i="108"/>
  <c r="Q33" i="108"/>
  <c r="C133" i="125"/>
  <c r="M61" i="5"/>
  <c r="Q49" i="108"/>
  <c r="H206" i="125"/>
  <c r="Q38" i="108"/>
  <c r="Q41" i="108"/>
  <c r="C25" i="125"/>
  <c r="Q21" i="3"/>
  <c r="L20" i="91" s="1"/>
  <c r="Q16" i="108"/>
  <c r="H277" i="125"/>
  <c r="S38" i="146"/>
  <c r="S75" i="3" s="1"/>
  <c r="H70" i="114" s="1"/>
  <c r="K70" i="114" s="1"/>
  <c r="Q45" i="108"/>
  <c r="Q17" i="108"/>
  <c r="Q40" i="108"/>
  <c r="Q20" i="108"/>
  <c r="Q48" i="108"/>
  <c r="Q21" i="108"/>
  <c r="Q24" i="108"/>
  <c r="Q28" i="108"/>
  <c r="Q32" i="108"/>
  <c r="Q44" i="108"/>
  <c r="K90" i="114"/>
  <c r="T50" i="108"/>
  <c r="U50" i="108" s="1"/>
  <c r="H25" i="125"/>
  <c r="C226" i="125"/>
  <c r="H196" i="125"/>
  <c r="L20" i="90"/>
  <c r="L22" i="90"/>
  <c r="G76" i="3"/>
  <c r="H31" i="110"/>
  <c r="H62" i="3"/>
  <c r="F57" i="114" s="1"/>
  <c r="H59" i="3"/>
  <c r="F54" i="114" s="1"/>
  <c r="H55" i="125"/>
  <c r="H70" i="3"/>
  <c r="F65" i="114" s="1"/>
  <c r="H22" i="90"/>
  <c r="I22" i="90" s="1"/>
  <c r="H24" i="90"/>
  <c r="I24" i="90" s="1"/>
  <c r="H63" i="3"/>
  <c r="F58" i="114" s="1"/>
  <c r="H29" i="91"/>
  <c r="J29" i="91" s="1"/>
  <c r="Q28" i="3"/>
  <c r="Q32" i="3"/>
  <c r="C225" i="125"/>
  <c r="D225" i="125" s="1"/>
  <c r="H36" i="3"/>
  <c r="F31" i="114" s="1"/>
  <c r="Q52" i="3"/>
  <c r="Q33" i="3"/>
  <c r="C215" i="125"/>
  <c r="D215" i="125" s="1"/>
  <c r="H246" i="125"/>
  <c r="O55" i="3"/>
  <c r="C246" i="125"/>
  <c r="H66" i="3"/>
  <c r="F61" i="114" s="1"/>
  <c r="H29" i="90"/>
  <c r="I29" i="90" s="1"/>
  <c r="M57" i="5"/>
  <c r="H67" i="3"/>
  <c r="F62" i="114" s="1"/>
  <c r="H60" i="3"/>
  <c r="F55" i="114" s="1"/>
  <c r="C45" i="125"/>
  <c r="H34" i="91"/>
  <c r="J34" i="91" s="1"/>
  <c r="L19" i="90"/>
  <c r="H69" i="3"/>
  <c r="F64" i="114" s="1"/>
  <c r="H18" i="90"/>
  <c r="I18" i="90" s="1"/>
  <c r="H46" i="3"/>
  <c r="F41" i="114" s="1"/>
  <c r="H83" i="3"/>
  <c r="F78" i="114" s="1"/>
  <c r="H69" i="125"/>
  <c r="I69" i="125" s="1"/>
  <c r="H152" i="125"/>
  <c r="I152" i="125" s="1"/>
  <c r="H256" i="125"/>
  <c r="I256" i="125" s="1"/>
  <c r="H35" i="91"/>
  <c r="J35" i="91" s="1"/>
  <c r="K39" i="146"/>
  <c r="H80" i="125"/>
  <c r="C306" i="125"/>
  <c r="D306" i="125" s="1"/>
  <c r="L17" i="90"/>
  <c r="N55" i="3"/>
  <c r="AB17" i="146"/>
  <c r="AB16" i="146"/>
  <c r="AC16" i="146" s="1"/>
  <c r="AB18" i="146"/>
  <c r="AB15" i="146"/>
  <c r="AC15" i="146" s="1"/>
  <c r="AB19" i="146"/>
  <c r="C216" i="125"/>
  <c r="N39" i="146"/>
  <c r="Q27" i="3"/>
  <c r="O76" i="3"/>
  <c r="J39" i="146"/>
  <c r="Q22" i="3"/>
  <c r="Q24" i="3"/>
  <c r="H235" i="125"/>
  <c r="I235" i="125" s="1"/>
  <c r="C245" i="125"/>
  <c r="D245" i="125" s="1"/>
  <c r="H39" i="146"/>
  <c r="H26" i="90"/>
  <c r="I26" i="90" s="1"/>
  <c r="G39" i="146"/>
  <c r="V24" i="117"/>
  <c r="W24" i="117" s="1"/>
  <c r="H35" i="108"/>
  <c r="H48" i="108"/>
  <c r="L16" i="90"/>
  <c r="H35" i="3"/>
  <c r="F30" i="114" s="1"/>
  <c r="C143" i="125"/>
  <c r="C327" i="125"/>
  <c r="D327" i="125" s="1"/>
  <c r="C338" i="125"/>
  <c r="H4" i="125"/>
  <c r="I4" i="125" s="1"/>
  <c r="H18" i="3"/>
  <c r="F13" i="114" s="1"/>
  <c r="O22" i="132"/>
  <c r="O21" i="132"/>
  <c r="O11" i="132" s="1"/>
  <c r="O61" i="132" s="1"/>
  <c r="H29" i="108"/>
  <c r="C347" i="125"/>
  <c r="N33" i="110"/>
  <c r="H37" i="108"/>
  <c r="H16" i="108"/>
  <c r="M51" i="120"/>
  <c r="AP60" i="4"/>
  <c r="O13" i="1"/>
  <c r="U13" i="1" s="1"/>
  <c r="J21" i="89"/>
  <c r="I15" i="6"/>
  <c r="K12" i="6"/>
  <c r="K33" i="110"/>
  <c r="I33" i="110"/>
  <c r="M33" i="110"/>
  <c r="J33" i="110"/>
  <c r="H36" i="91"/>
  <c r="J36" i="91" s="1"/>
  <c r="H17" i="90"/>
  <c r="I17" i="90" s="1"/>
  <c r="C256" i="125"/>
  <c r="D256" i="125" s="1"/>
  <c r="L29" i="91"/>
  <c r="H132" i="125"/>
  <c r="I132" i="125" s="1"/>
  <c r="C34" i="125"/>
  <c r="D34" i="125" s="1"/>
  <c r="H23" i="3"/>
  <c r="F18" i="114" s="1"/>
  <c r="L47" i="91"/>
  <c r="M44" i="5"/>
  <c r="C296" i="125"/>
  <c r="D296" i="125" s="1"/>
  <c r="P55" i="3"/>
  <c r="H195" i="125"/>
  <c r="I195" i="125" s="1"/>
  <c r="H20" i="89"/>
  <c r="I20" i="89" s="1"/>
  <c r="C196" i="125"/>
  <c r="C153" i="125"/>
  <c r="C4" i="125"/>
  <c r="D4" i="125" s="1"/>
  <c r="M26" i="5"/>
  <c r="H216" i="125"/>
  <c r="C142" i="125"/>
  <c r="D142" i="125" s="1"/>
  <c r="H42" i="3"/>
  <c r="F37" i="114" s="1"/>
  <c r="H27" i="90"/>
  <c r="I27" i="90" s="1"/>
  <c r="C337" i="125"/>
  <c r="D337" i="125" s="1"/>
  <c r="Q50" i="3"/>
  <c r="C109" i="125"/>
  <c r="D109" i="125" s="1"/>
  <c r="H257" i="125"/>
  <c r="H38" i="91"/>
  <c r="J38" i="91" s="1"/>
  <c r="Q40" i="3"/>
  <c r="Q20" i="3"/>
  <c r="H5" i="125"/>
  <c r="Q18" i="3"/>
  <c r="H215" i="125"/>
  <c r="I215" i="125" s="1"/>
  <c r="Q35" i="3"/>
  <c r="Q36" i="3"/>
  <c r="Q39" i="3"/>
  <c r="L38" i="91" s="1"/>
  <c r="Q43" i="3"/>
  <c r="C173" i="125"/>
  <c r="Q49" i="3"/>
  <c r="Q42" i="3"/>
  <c r="L45" i="91"/>
  <c r="C257" i="125"/>
  <c r="Q31" i="3"/>
  <c r="Q19" i="3"/>
  <c r="Q17" i="3"/>
  <c r="L16" i="91" s="1"/>
  <c r="H61" i="3"/>
  <c r="F56" i="114" s="1"/>
  <c r="H43" i="3"/>
  <c r="F38" i="114" s="1"/>
  <c r="H286" i="125"/>
  <c r="I286" i="125" s="1"/>
  <c r="H50" i="3"/>
  <c r="F45" i="114" s="1"/>
  <c r="H31" i="3"/>
  <c r="F26" i="114" s="1"/>
  <c r="H80" i="3"/>
  <c r="H21" i="3"/>
  <c r="F16" i="114" s="1"/>
  <c r="Q26" i="3"/>
  <c r="H173" i="125"/>
  <c r="C236" i="125"/>
  <c r="Q23" i="3"/>
  <c r="Q51" i="3"/>
  <c r="G55" i="3"/>
  <c r="H16" i="91"/>
  <c r="J16" i="91" s="1"/>
  <c r="H172" i="125"/>
  <c r="I172" i="125" s="1"/>
  <c r="H327" i="125"/>
  <c r="I327" i="125" s="1"/>
  <c r="C205" i="125"/>
  <c r="D205" i="125" s="1"/>
  <c r="H100" i="125"/>
  <c r="H57" i="3"/>
  <c r="F52" i="114" s="1"/>
  <c r="H30" i="91"/>
  <c r="J30" i="91" s="1"/>
  <c r="C267" i="125"/>
  <c r="H133" i="125"/>
  <c r="C100" i="125"/>
  <c r="C328" i="125"/>
  <c r="L73" i="5"/>
  <c r="M55" i="3"/>
  <c r="C206" i="125"/>
  <c r="H15" i="90"/>
  <c r="I15" i="90" s="1"/>
  <c r="C195" i="125"/>
  <c r="D195" i="125" s="1"/>
  <c r="H56" i="3"/>
  <c r="F51" i="114" s="1"/>
  <c r="H48" i="91"/>
  <c r="J48" i="91" s="1"/>
  <c r="H49" i="3"/>
  <c r="F44" i="114" s="1"/>
  <c r="C119" i="125"/>
  <c r="D119" i="125" s="1"/>
  <c r="H71" i="125"/>
  <c r="C15" i="125"/>
  <c r="C24" i="125"/>
  <c r="D24" i="125" s="1"/>
  <c r="K16" i="3"/>
  <c r="P52" i="108"/>
  <c r="H338" i="125"/>
  <c r="C55" i="125"/>
  <c r="K55" i="3"/>
  <c r="O16" i="3"/>
  <c r="H329" i="125"/>
  <c r="J76" i="3"/>
  <c r="H23" i="108"/>
  <c r="H38" i="108"/>
  <c r="H45" i="125"/>
  <c r="I76" i="3"/>
  <c r="J55" i="3"/>
  <c r="W25" i="117"/>
  <c r="H25" i="108"/>
  <c r="H30" i="108"/>
  <c r="H49" i="108"/>
  <c r="T14" i="131"/>
  <c r="S15" i="131" s="1"/>
  <c r="R16" i="131"/>
  <c r="R17" i="131" s="1"/>
  <c r="H26" i="108"/>
  <c r="P16" i="3"/>
  <c r="U31" i="118"/>
  <c r="V36" i="118"/>
  <c r="V37" i="118" s="1"/>
  <c r="S53" i="118"/>
  <c r="Y15" i="129"/>
  <c r="AE14" i="129"/>
  <c r="AE15" i="129" s="1"/>
  <c r="E18" i="141"/>
  <c r="C144" i="125"/>
  <c r="H41" i="108"/>
  <c r="E20" i="141"/>
  <c r="I55" i="3"/>
  <c r="H45" i="108"/>
  <c r="H78" i="3"/>
  <c r="F73" i="114" s="1"/>
  <c r="H276" i="125"/>
  <c r="I276" i="125" s="1"/>
  <c r="H17" i="89"/>
  <c r="I17" i="89" s="1"/>
  <c r="Q15" i="64"/>
  <c r="U16" i="64"/>
  <c r="V16" i="64"/>
  <c r="V15" i="64" s="1"/>
  <c r="V24" i="64" s="1"/>
  <c r="J16" i="3"/>
  <c r="C35" i="125"/>
  <c r="N52" i="108"/>
  <c r="N15" i="1"/>
  <c r="O12" i="1"/>
  <c r="O20" i="118"/>
  <c r="I16" i="3"/>
  <c r="H120" i="125"/>
  <c r="P76" i="3"/>
  <c r="F12" i="114"/>
  <c r="N16" i="3"/>
  <c r="C235" i="125"/>
  <c r="D235" i="125" s="1"/>
  <c r="H64" i="3"/>
  <c r="F59" i="114" s="1"/>
  <c r="H23" i="90"/>
  <c r="I23" i="90" s="1"/>
  <c r="H24" i="3"/>
  <c r="F19" i="114" s="1"/>
  <c r="H23" i="91"/>
  <c r="J23" i="91" s="1"/>
  <c r="H34" i="125"/>
  <c r="I34" i="125" s="1"/>
  <c r="H144" i="125"/>
  <c r="H143" i="125"/>
  <c r="C164" i="125"/>
  <c r="C163" i="125"/>
  <c r="C278" i="125"/>
  <c r="C277" i="125"/>
  <c r="L29" i="108"/>
  <c r="L31" i="3" s="1"/>
  <c r="H15" i="125"/>
  <c r="D16" i="63"/>
  <c r="D15" i="63" s="1"/>
  <c r="D24" i="63" s="1"/>
  <c r="E22" i="71"/>
  <c r="G22" i="71" s="1"/>
  <c r="M42" i="5"/>
  <c r="M40" i="5"/>
  <c r="O52" i="108"/>
  <c r="C307" i="125"/>
  <c r="M30" i="5"/>
  <c r="E19" i="71"/>
  <c r="G19" i="71" s="1"/>
  <c r="C110" i="125"/>
  <c r="E18" i="71"/>
  <c r="G18" i="71" s="1"/>
  <c r="C287" i="125"/>
  <c r="E64" i="133"/>
  <c r="D63" i="133"/>
  <c r="K19" i="89"/>
  <c r="M71" i="5"/>
  <c r="M73" i="5"/>
  <c r="K21" i="89"/>
  <c r="O12" i="58"/>
  <c r="Q12" i="58" s="1"/>
  <c r="R12" i="58" s="1"/>
  <c r="S12" i="58" s="1"/>
  <c r="M34" i="5"/>
  <c r="L37" i="91"/>
  <c r="L33" i="91"/>
  <c r="I11" i="58"/>
  <c r="L11" i="58" s="1"/>
  <c r="O11" i="58"/>
  <c r="Q11" i="58" s="1"/>
  <c r="R11" i="58" s="1"/>
  <c r="S11" i="58" s="1"/>
  <c r="E48" i="133"/>
  <c r="D47" i="133"/>
  <c r="O13" i="58"/>
  <c r="Q13" i="58" s="1"/>
  <c r="R13" i="58" s="1"/>
  <c r="S13" i="58" s="1"/>
  <c r="O14" i="58"/>
  <c r="Q14" i="58" s="1"/>
  <c r="R14" i="58" s="1"/>
  <c r="S14" i="58" s="1"/>
  <c r="H328" i="125"/>
  <c r="C80" i="125"/>
  <c r="A193" i="125"/>
  <c r="F193" i="125" s="1"/>
  <c r="F170" i="125"/>
  <c r="A180" i="125" s="1"/>
  <c r="K24" i="63"/>
  <c r="K27" i="63" s="1"/>
  <c r="Q18" i="63"/>
  <c r="AB17" i="64"/>
  <c r="AB18" i="64"/>
  <c r="E25" i="133"/>
  <c r="D10" i="133"/>
  <c r="C81" i="125"/>
  <c r="K47" i="91"/>
  <c r="L44" i="5"/>
  <c r="L69" i="5"/>
  <c r="N69" i="5" s="1"/>
  <c r="P69" i="5" s="1"/>
  <c r="S69" i="5" s="1"/>
  <c r="J17" i="89"/>
  <c r="F29" i="114"/>
  <c r="F53" i="114"/>
  <c r="F83" i="114"/>
  <c r="F63" i="114"/>
  <c r="L43" i="91"/>
  <c r="F32" i="114"/>
  <c r="F88" i="114"/>
  <c r="I52" i="108"/>
  <c r="F42" i="114"/>
  <c r="M70" i="5"/>
  <c r="K18" i="89"/>
  <c r="F22" i="114"/>
  <c r="M41" i="5"/>
  <c r="F49" i="114"/>
  <c r="F34" i="114"/>
  <c r="M74" i="5"/>
  <c r="K22" i="89"/>
  <c r="F20" i="114"/>
  <c r="K20" i="89"/>
  <c r="M72" i="5"/>
  <c r="J52" i="91"/>
  <c r="G20" i="86"/>
  <c r="H20" i="86" s="1"/>
  <c r="L20" i="86" s="1"/>
  <c r="P20" i="86" s="1"/>
  <c r="S20" i="86" s="1"/>
  <c r="V20" i="86" s="1"/>
  <c r="M25" i="5"/>
  <c r="L28" i="91"/>
  <c r="M43" i="5"/>
  <c r="L46" i="91"/>
  <c r="F72" i="114"/>
  <c r="F60" i="114"/>
  <c r="L24" i="91"/>
  <c r="M21" i="5"/>
  <c r="R31" i="110" l="1"/>
  <c r="L78" i="3"/>
  <c r="G73" i="114" s="1"/>
  <c r="L82" i="3"/>
  <c r="G77" i="114" s="1"/>
  <c r="E17" i="71"/>
  <c r="G17" i="71" s="1"/>
  <c r="E16" i="71"/>
  <c r="G16" i="71" s="1"/>
  <c r="E15" i="71"/>
  <c r="G15" i="71" s="1"/>
  <c r="I164" i="125"/>
  <c r="T38" i="110"/>
  <c r="L91" i="3"/>
  <c r="D349" i="125" s="1"/>
  <c r="L90" i="3"/>
  <c r="G85" i="114" s="1"/>
  <c r="L70" i="3"/>
  <c r="G65" i="114" s="1"/>
  <c r="L81" i="3"/>
  <c r="J20" i="89" s="1"/>
  <c r="T37" i="146"/>
  <c r="U37" i="146" s="1"/>
  <c r="L89" i="3"/>
  <c r="G84" i="114" s="1"/>
  <c r="L83" i="3"/>
  <c r="G78" i="114" s="1"/>
  <c r="T22" i="146"/>
  <c r="U22" i="146" s="1"/>
  <c r="L61" i="3"/>
  <c r="G56" i="114" s="1"/>
  <c r="S89" i="3"/>
  <c r="S88" i="3"/>
  <c r="I328" i="125" s="1"/>
  <c r="R30" i="110"/>
  <c r="S30" i="110" s="1"/>
  <c r="R20" i="110"/>
  <c r="S20" i="110" s="1"/>
  <c r="Y20" i="110" s="1"/>
  <c r="S78" i="3"/>
  <c r="S44" i="3"/>
  <c r="I143" i="125" s="1"/>
  <c r="T35" i="108"/>
  <c r="U35" i="108" s="1"/>
  <c r="S45" i="3"/>
  <c r="L36" i="91"/>
  <c r="Z39" i="108"/>
  <c r="S90" i="3"/>
  <c r="U90" i="3" s="1"/>
  <c r="V90" i="3" s="1"/>
  <c r="W19" i="146"/>
  <c r="X19" i="146" s="1"/>
  <c r="M17" i="5"/>
  <c r="L25" i="90"/>
  <c r="W39" i="108"/>
  <c r="X39" i="108" s="1"/>
  <c r="D6" i="125"/>
  <c r="L13" i="5"/>
  <c r="L84" i="3"/>
  <c r="I308" i="125" s="1"/>
  <c r="L26" i="90"/>
  <c r="S29" i="3"/>
  <c r="H24" i="114" s="1"/>
  <c r="L87" i="3"/>
  <c r="G82" i="114" s="1"/>
  <c r="K33" i="91"/>
  <c r="M33" i="91" s="1"/>
  <c r="O33" i="91" s="1"/>
  <c r="E17" i="141"/>
  <c r="D134" i="125"/>
  <c r="T30" i="146"/>
  <c r="U30" i="146" s="1"/>
  <c r="K37" i="91"/>
  <c r="L52" i="3"/>
  <c r="K51" i="91" s="1"/>
  <c r="L59" i="3"/>
  <c r="I207" i="125" s="1"/>
  <c r="K38" i="91"/>
  <c r="M38" i="91" s="1"/>
  <c r="O38" i="91" s="1"/>
  <c r="G34" i="114"/>
  <c r="W33" i="146"/>
  <c r="T34" i="146"/>
  <c r="U34" i="146" s="1"/>
  <c r="S72" i="3"/>
  <c r="T36" i="146"/>
  <c r="U36" i="146" s="1"/>
  <c r="S74" i="3"/>
  <c r="T35" i="146"/>
  <c r="U35" i="146" s="1"/>
  <c r="S73" i="3"/>
  <c r="K34" i="91"/>
  <c r="L45" i="3"/>
  <c r="G40" i="114" s="1"/>
  <c r="G30" i="114"/>
  <c r="I278" i="125"/>
  <c r="L67" i="3"/>
  <c r="I247" i="125" s="1"/>
  <c r="L68" i="3"/>
  <c r="K27" i="90" s="1"/>
  <c r="D111" i="125"/>
  <c r="I26" i="125"/>
  <c r="K28" i="91"/>
  <c r="M52" i="91"/>
  <c r="O52" i="91" s="1"/>
  <c r="G24" i="114"/>
  <c r="L33" i="5"/>
  <c r="N33" i="5" s="1"/>
  <c r="P33" i="5" s="1"/>
  <c r="S33" i="5" s="1"/>
  <c r="S81" i="3"/>
  <c r="H76" i="114" s="1"/>
  <c r="S80" i="3"/>
  <c r="H75" i="114" s="1"/>
  <c r="S85" i="3"/>
  <c r="H80" i="114" s="1"/>
  <c r="S83" i="3"/>
  <c r="H78" i="114" s="1"/>
  <c r="S84" i="3"/>
  <c r="H79" i="114" s="1"/>
  <c r="R26" i="110"/>
  <c r="S26" i="110" s="1"/>
  <c r="I348" i="125"/>
  <c r="S79" i="3"/>
  <c r="H74" i="114" s="1"/>
  <c r="H49" i="114"/>
  <c r="K49" i="114" s="1"/>
  <c r="L88" i="3"/>
  <c r="G83" i="114" s="1"/>
  <c r="D46" i="125"/>
  <c r="K29" i="90"/>
  <c r="G35" i="114"/>
  <c r="G25" i="114"/>
  <c r="K20" i="91"/>
  <c r="M20" i="91" s="1"/>
  <c r="O20" i="91" s="1"/>
  <c r="L57" i="3"/>
  <c r="L52" i="5" s="1"/>
  <c r="L17" i="5"/>
  <c r="N17" i="5" s="1"/>
  <c r="P17" i="5" s="1"/>
  <c r="S17" i="5" s="1"/>
  <c r="K39" i="91"/>
  <c r="U54" i="3"/>
  <c r="V54" i="3" s="1"/>
  <c r="D26" i="125"/>
  <c r="L65" i="5"/>
  <c r="I71" i="125"/>
  <c r="L38" i="5"/>
  <c r="Z42" i="108"/>
  <c r="L21" i="5"/>
  <c r="N21" i="5" s="1"/>
  <c r="P21" i="5" s="1"/>
  <c r="S21" i="5" s="1"/>
  <c r="L31" i="5"/>
  <c r="I134" i="125"/>
  <c r="G37" i="114"/>
  <c r="I121" i="125"/>
  <c r="L26" i="5"/>
  <c r="N26" i="5" s="1"/>
  <c r="P26" i="5" s="1"/>
  <c r="S26" i="5" s="1"/>
  <c r="L37" i="5"/>
  <c r="K40" i="91"/>
  <c r="W30" i="146"/>
  <c r="L63" i="3"/>
  <c r="W26" i="146"/>
  <c r="L72" i="5"/>
  <c r="M37" i="5"/>
  <c r="Z49" i="108"/>
  <c r="L60" i="3"/>
  <c r="D217" i="125" s="1"/>
  <c r="W23" i="146"/>
  <c r="W27" i="146"/>
  <c r="L64" i="3"/>
  <c r="W21" i="146"/>
  <c r="L58" i="3"/>
  <c r="T31" i="110"/>
  <c r="L92" i="3"/>
  <c r="L34" i="5"/>
  <c r="N34" i="5" s="1"/>
  <c r="P34" i="5" s="1"/>
  <c r="S34" i="5" s="1"/>
  <c r="K16" i="91"/>
  <c r="M16" i="91" s="1"/>
  <c r="O16" i="91" s="1"/>
  <c r="L35" i="5"/>
  <c r="T24" i="110"/>
  <c r="L85" i="3"/>
  <c r="L65" i="3"/>
  <c r="I237" i="125" s="1"/>
  <c r="W28" i="146"/>
  <c r="W32" i="146"/>
  <c r="L69" i="3"/>
  <c r="I258" i="125" s="1"/>
  <c r="D71" i="125"/>
  <c r="K36" i="91"/>
  <c r="M36" i="91" s="1"/>
  <c r="O36" i="91" s="1"/>
  <c r="G20" i="114"/>
  <c r="I91" i="125"/>
  <c r="K21" i="91"/>
  <c r="I111" i="125"/>
  <c r="T16" i="110"/>
  <c r="L77" i="3"/>
  <c r="G72" i="114" s="1"/>
  <c r="T25" i="110"/>
  <c r="L86" i="3"/>
  <c r="G81" i="114" s="1"/>
  <c r="L66" i="3"/>
  <c r="L61" i="5" s="1"/>
  <c r="N61" i="5" s="1"/>
  <c r="P61" i="5" s="1"/>
  <c r="S61" i="5" s="1"/>
  <c r="W29" i="146"/>
  <c r="T19" i="110"/>
  <c r="L80" i="3"/>
  <c r="G29" i="114"/>
  <c r="L18" i="5"/>
  <c r="U75" i="3"/>
  <c r="V75" i="3" s="1"/>
  <c r="W25" i="146"/>
  <c r="L62" i="3"/>
  <c r="L32" i="3"/>
  <c r="W29" i="108"/>
  <c r="X29" i="108" s="1"/>
  <c r="Z29" i="108"/>
  <c r="L36" i="3"/>
  <c r="Z33" i="108"/>
  <c r="W33" i="108"/>
  <c r="X33" i="108" s="1"/>
  <c r="L33" i="3"/>
  <c r="Z30" i="108"/>
  <c r="W30" i="108"/>
  <c r="X30" i="108" s="1"/>
  <c r="L19" i="3"/>
  <c r="K18" i="91" s="1"/>
  <c r="L52" i="108"/>
  <c r="W12" i="108" s="1"/>
  <c r="Z16" i="108"/>
  <c r="W16" i="108"/>
  <c r="L49" i="3"/>
  <c r="Z46" i="108"/>
  <c r="W46" i="108"/>
  <c r="X46" i="108" s="1"/>
  <c r="L26" i="3"/>
  <c r="W23" i="108"/>
  <c r="X23" i="108" s="1"/>
  <c r="Z23" i="108"/>
  <c r="S47" i="3"/>
  <c r="D163" i="125" s="1"/>
  <c r="L51" i="3"/>
  <c r="G46" i="114" s="1"/>
  <c r="W48" i="108"/>
  <c r="X48" i="108" s="1"/>
  <c r="Z48" i="108"/>
  <c r="T38" i="146"/>
  <c r="U38" i="146" s="1"/>
  <c r="L18" i="90"/>
  <c r="M54" i="5"/>
  <c r="G74" i="114"/>
  <c r="K17" i="91"/>
  <c r="R27" i="110"/>
  <c r="S27" i="110" s="1"/>
  <c r="R29" i="110"/>
  <c r="S29" i="110" s="1"/>
  <c r="G39" i="114"/>
  <c r="K26" i="91"/>
  <c r="I36" i="125"/>
  <c r="D36" i="125"/>
  <c r="S30" i="3"/>
  <c r="K20" i="90"/>
  <c r="M20" i="90" s="1"/>
  <c r="O20" i="90" s="1"/>
  <c r="I174" i="125"/>
  <c r="K27" i="91"/>
  <c r="L16" i="5"/>
  <c r="D144" i="125"/>
  <c r="T38" i="108"/>
  <c r="U38" i="108" s="1"/>
  <c r="T14" i="108"/>
  <c r="T43" i="108"/>
  <c r="U43" i="108" s="1"/>
  <c r="S33" i="3"/>
  <c r="H28" i="114" s="1"/>
  <c r="S52" i="3"/>
  <c r="I183" i="125" s="1"/>
  <c r="S40" i="3"/>
  <c r="I120" i="125" s="1"/>
  <c r="J94" i="3"/>
  <c r="M58" i="5"/>
  <c r="M56" i="5"/>
  <c r="L24" i="90"/>
  <c r="M60" i="5"/>
  <c r="T42" i="108"/>
  <c r="U42" i="108" s="1"/>
  <c r="T31" i="108"/>
  <c r="U31" i="108" s="1"/>
  <c r="T27" i="108"/>
  <c r="U27" i="108" s="1"/>
  <c r="R22" i="110"/>
  <c r="S22" i="110" s="1"/>
  <c r="H347" i="125"/>
  <c r="I347" i="125" s="1"/>
  <c r="H92" i="3"/>
  <c r="F87" i="114" s="1"/>
  <c r="R19" i="110"/>
  <c r="S19" i="110" s="1"/>
  <c r="Y19" i="110" s="1"/>
  <c r="R16" i="110"/>
  <c r="S16" i="110" s="1"/>
  <c r="R17" i="110"/>
  <c r="S17" i="110" s="1"/>
  <c r="Y17" i="110" s="1"/>
  <c r="R24" i="110"/>
  <c r="S24" i="110" s="1"/>
  <c r="R23" i="110"/>
  <c r="S23" i="110" s="1"/>
  <c r="R21" i="110"/>
  <c r="S21" i="110" s="1"/>
  <c r="R25" i="110"/>
  <c r="S25" i="110" s="1"/>
  <c r="L33" i="110"/>
  <c r="E20" i="71"/>
  <c r="G20" i="71" s="1"/>
  <c r="E19" i="141"/>
  <c r="E21" i="71"/>
  <c r="H21" i="71" s="1"/>
  <c r="E21" i="141"/>
  <c r="E22" i="141"/>
  <c r="L27" i="91"/>
  <c r="M48" i="5"/>
  <c r="L32" i="91"/>
  <c r="M29" i="5"/>
  <c r="M29" i="91"/>
  <c r="O29" i="91" s="1"/>
  <c r="H33" i="110"/>
  <c r="M28" i="5"/>
  <c r="L31" i="91"/>
  <c r="M24" i="5"/>
  <c r="L51" i="91"/>
  <c r="L21" i="90"/>
  <c r="O94" i="3"/>
  <c r="D26" i="141" s="1"/>
  <c r="N94" i="3"/>
  <c r="N98" i="3" s="1"/>
  <c r="M94" i="3"/>
  <c r="M98" i="3" s="1"/>
  <c r="P94" i="3"/>
  <c r="D27" i="71" s="1"/>
  <c r="G27" i="71" s="1"/>
  <c r="I94" i="3"/>
  <c r="N20" i="64"/>
  <c r="G38" i="114"/>
  <c r="L39" i="5"/>
  <c r="M55" i="5"/>
  <c r="L21" i="91"/>
  <c r="M13" i="5"/>
  <c r="K42" i="91"/>
  <c r="L21" i="89"/>
  <c r="N21" i="89" s="1"/>
  <c r="L26" i="91"/>
  <c r="M64" i="5"/>
  <c r="L28" i="90"/>
  <c r="D25" i="71"/>
  <c r="G25" i="71" s="1"/>
  <c r="M53" i="5"/>
  <c r="M23" i="5"/>
  <c r="L39" i="146"/>
  <c r="Q39" i="146"/>
  <c r="M18" i="5"/>
  <c r="L23" i="91"/>
  <c r="M20" i="5"/>
  <c r="L39" i="91"/>
  <c r="L35" i="91"/>
  <c r="M52" i="5"/>
  <c r="H37" i="91"/>
  <c r="J37" i="91" s="1"/>
  <c r="H109" i="125"/>
  <c r="I109" i="125" s="1"/>
  <c r="H38" i="3"/>
  <c r="H51" i="3"/>
  <c r="F46" i="114" s="1"/>
  <c r="C182" i="125"/>
  <c r="D182" i="125" s="1"/>
  <c r="H50" i="91"/>
  <c r="J50" i="91" s="1"/>
  <c r="M36" i="5"/>
  <c r="N36" i="5" s="1"/>
  <c r="P36" i="5" s="1"/>
  <c r="S36" i="5" s="1"/>
  <c r="J22" i="89"/>
  <c r="L22" i="89" s="1"/>
  <c r="N22" i="89" s="1"/>
  <c r="K15" i="6"/>
  <c r="N12" i="6"/>
  <c r="N15" i="6" s="1"/>
  <c r="H18" i="91"/>
  <c r="J18" i="91" s="1"/>
  <c r="H19" i="3"/>
  <c r="F14" i="114" s="1"/>
  <c r="C14" i="125"/>
  <c r="D14" i="125" s="1"/>
  <c r="Y16" i="64"/>
  <c r="Z16" i="64" s="1"/>
  <c r="AB16" i="64" s="1"/>
  <c r="L70" i="5"/>
  <c r="N70" i="5" s="1"/>
  <c r="P70" i="5" s="1"/>
  <c r="S70" i="5" s="1"/>
  <c r="H39" i="91"/>
  <c r="J39" i="91" s="1"/>
  <c r="H40" i="3"/>
  <c r="F35" i="114" s="1"/>
  <c r="H119" i="125"/>
  <c r="I119" i="125" s="1"/>
  <c r="G33" i="110"/>
  <c r="D347" i="125"/>
  <c r="F86" i="114"/>
  <c r="H18" i="89"/>
  <c r="I18" i="89" s="1"/>
  <c r="I24" i="89" s="1"/>
  <c r="C286" i="125"/>
  <c r="D286" i="125" s="1"/>
  <c r="H79" i="3"/>
  <c r="F74" i="114" s="1"/>
  <c r="L19" i="91"/>
  <c r="N44" i="5"/>
  <c r="P44" i="5" s="1"/>
  <c r="S44" i="5" s="1"/>
  <c r="M32" i="5"/>
  <c r="M35" i="5"/>
  <c r="M15" i="5"/>
  <c r="M16" i="5"/>
  <c r="M39" i="5"/>
  <c r="L49" i="91"/>
  <c r="L48" i="91"/>
  <c r="L22" i="91"/>
  <c r="F75" i="114"/>
  <c r="M19" i="5"/>
  <c r="M31" i="5"/>
  <c r="M46" i="5"/>
  <c r="M45" i="5"/>
  <c r="M22" i="5"/>
  <c r="L25" i="91"/>
  <c r="M14" i="5"/>
  <c r="L17" i="91"/>
  <c r="M47" i="5"/>
  <c r="Q55" i="3"/>
  <c r="G18" i="114"/>
  <c r="L50" i="91"/>
  <c r="L18" i="91"/>
  <c r="L34" i="91"/>
  <c r="L42" i="91"/>
  <c r="K19" i="91"/>
  <c r="M65" i="5"/>
  <c r="L29" i="90"/>
  <c r="Q16" i="3"/>
  <c r="M63" i="5"/>
  <c r="L27" i="90"/>
  <c r="L23" i="90"/>
  <c r="M59" i="5"/>
  <c r="L41" i="91"/>
  <c r="M41" i="91" s="1"/>
  <c r="O41" i="91" s="1"/>
  <c r="M38" i="5"/>
  <c r="I56" i="125"/>
  <c r="L19" i="5"/>
  <c r="L24" i="5"/>
  <c r="G23" i="114"/>
  <c r="G22" i="114"/>
  <c r="K22" i="91"/>
  <c r="D56" i="125"/>
  <c r="L56" i="5"/>
  <c r="D24" i="141"/>
  <c r="K49" i="91"/>
  <c r="I16" i="125"/>
  <c r="L46" i="5"/>
  <c r="G19" i="114"/>
  <c r="G15" i="114"/>
  <c r="G45" i="114"/>
  <c r="L23" i="5"/>
  <c r="G51" i="114"/>
  <c r="J52" i="108"/>
  <c r="T39" i="110" s="1"/>
  <c r="K23" i="91"/>
  <c r="D197" i="125"/>
  <c r="K15" i="90"/>
  <c r="L20" i="5"/>
  <c r="L51" i="5"/>
  <c r="L74" i="5"/>
  <c r="N74" i="5" s="1"/>
  <c r="P74" i="5" s="1"/>
  <c r="S74" i="5" s="1"/>
  <c r="N73" i="5"/>
  <c r="P73" i="5" s="1"/>
  <c r="S73" i="5" s="1"/>
  <c r="E16" i="141"/>
  <c r="L17" i="89"/>
  <c r="N17" i="89" s="1"/>
  <c r="L14" i="5"/>
  <c r="D29" i="141"/>
  <c r="D25" i="141"/>
  <c r="R15" i="1"/>
  <c r="T15" i="1"/>
  <c r="W15" i="1"/>
  <c r="U15" i="1"/>
  <c r="H28" i="91"/>
  <c r="J28" i="91" s="1"/>
  <c r="H29" i="3"/>
  <c r="F24" i="114" s="1"/>
  <c r="C69" i="125"/>
  <c r="D69" i="125" s="1"/>
  <c r="H27" i="91"/>
  <c r="J27" i="91" s="1"/>
  <c r="H54" i="125"/>
  <c r="I54" i="125" s="1"/>
  <c r="H28" i="3"/>
  <c r="I6" i="125"/>
  <c r="J18" i="89"/>
  <c r="H154" i="125"/>
  <c r="H48" i="3"/>
  <c r="H47" i="91"/>
  <c r="J47" i="91" s="1"/>
  <c r="M47" i="91" s="1"/>
  <c r="O47" i="91" s="1"/>
  <c r="H162" i="125"/>
  <c r="I162" i="125" s="1"/>
  <c r="H44" i="3"/>
  <c r="F39" i="114" s="1"/>
  <c r="H142" i="125"/>
  <c r="I142" i="125" s="1"/>
  <c r="H43" i="91"/>
  <c r="J43" i="91" s="1"/>
  <c r="H40" i="91"/>
  <c r="J40" i="91" s="1"/>
  <c r="H41" i="3"/>
  <c r="F36" i="114" s="1"/>
  <c r="C132" i="125"/>
  <c r="D132" i="125" s="1"/>
  <c r="H182" i="125"/>
  <c r="I182" i="125" s="1"/>
  <c r="H52" i="3"/>
  <c r="F47" i="114" s="1"/>
  <c r="H51" i="91"/>
  <c r="J51" i="91" s="1"/>
  <c r="H25" i="91"/>
  <c r="J25" i="91" s="1"/>
  <c r="H26" i="3"/>
  <c r="H44" i="125"/>
  <c r="I44" i="125" s="1"/>
  <c r="K31" i="63"/>
  <c r="U15" i="64"/>
  <c r="U24" i="64" s="1"/>
  <c r="T15" i="64"/>
  <c r="T24" i="64" s="1"/>
  <c r="H17" i="108"/>
  <c r="G13" i="114"/>
  <c r="D288" i="125"/>
  <c r="E15" i="141"/>
  <c r="O15" i="1"/>
  <c r="U12" i="1"/>
  <c r="C89" i="125"/>
  <c r="D89" i="125" s="1"/>
  <c r="H33" i="3"/>
  <c r="F28" i="114" s="1"/>
  <c r="H32" i="91"/>
  <c r="J32" i="91" s="1"/>
  <c r="H55" i="3"/>
  <c r="I30" i="90"/>
  <c r="H30" i="90"/>
  <c r="G22" i="86" s="1"/>
  <c r="G21" i="86" s="1"/>
  <c r="M52" i="108"/>
  <c r="H153" i="125"/>
  <c r="H22" i="71"/>
  <c r="L68" i="5"/>
  <c r="N30" i="5"/>
  <c r="P30" i="5" s="1"/>
  <c r="S30" i="5" s="1"/>
  <c r="L40" i="5"/>
  <c r="N40" i="5" s="1"/>
  <c r="P40" i="5" s="1"/>
  <c r="S40" i="5" s="1"/>
  <c r="N22" i="86"/>
  <c r="N21" i="86" s="1"/>
  <c r="I144" i="125"/>
  <c r="K43" i="91"/>
  <c r="F64" i="133"/>
  <c r="E63" i="133"/>
  <c r="D79" i="133"/>
  <c r="F48" i="133"/>
  <c r="E47" i="133"/>
  <c r="H79" i="125"/>
  <c r="I79" i="125" s="1"/>
  <c r="H31" i="91"/>
  <c r="H32" i="3"/>
  <c r="D29" i="71"/>
  <c r="G29" i="71" s="1"/>
  <c r="F180" i="125"/>
  <c r="A203" i="125"/>
  <c r="F203" i="125" s="1"/>
  <c r="AD18" i="64"/>
  <c r="AF18" i="64" s="1"/>
  <c r="R18" i="63" s="1"/>
  <c r="S18" i="63" s="1"/>
  <c r="AC18" i="64"/>
  <c r="AD17" i="64"/>
  <c r="AF17" i="64" s="1"/>
  <c r="R17" i="63" s="1"/>
  <c r="S17" i="63" s="1"/>
  <c r="AC17" i="64"/>
  <c r="M24" i="91"/>
  <c r="O24" i="91" s="1"/>
  <c r="F25" i="133"/>
  <c r="E10" i="133"/>
  <c r="G17" i="79"/>
  <c r="G26" i="114"/>
  <c r="D81" i="125"/>
  <c r="L27" i="5"/>
  <c r="K30" i="91"/>
  <c r="N24" i="86"/>
  <c r="N23" i="86" s="1"/>
  <c r="N25" i="5"/>
  <c r="P25" i="5" s="1"/>
  <c r="S25" i="5" s="1"/>
  <c r="N72" i="5"/>
  <c r="P72" i="5" s="1"/>
  <c r="S72" i="5" s="1"/>
  <c r="L20" i="89"/>
  <c r="N20" i="89" s="1"/>
  <c r="F50" i="114"/>
  <c r="R195" i="135" s="1"/>
  <c r="D268" i="125" l="1"/>
  <c r="I298" i="125"/>
  <c r="G86" i="114"/>
  <c r="I339" i="125"/>
  <c r="G76" i="114"/>
  <c r="K76" i="114" s="1"/>
  <c r="D298" i="125"/>
  <c r="D308" i="125"/>
  <c r="U74" i="3"/>
  <c r="V74" i="3" s="1"/>
  <c r="H69" i="114"/>
  <c r="K69" i="114" s="1"/>
  <c r="U53" i="3"/>
  <c r="V53" i="3" s="1"/>
  <c r="H48" i="114"/>
  <c r="K48" i="114" s="1"/>
  <c r="U73" i="3"/>
  <c r="V73" i="3" s="1"/>
  <c r="H68" i="114"/>
  <c r="K68" i="114" s="1"/>
  <c r="U72" i="3"/>
  <c r="V72" i="3" s="1"/>
  <c r="H67" i="114"/>
  <c r="K67" i="114" s="1"/>
  <c r="D339" i="125"/>
  <c r="U89" i="3"/>
  <c r="V89" i="3" s="1"/>
  <c r="K78" i="114"/>
  <c r="I217" i="125"/>
  <c r="S20" i="3"/>
  <c r="I15" i="125" s="1"/>
  <c r="R18" i="110"/>
  <c r="S18" i="110" s="1"/>
  <c r="Y18" i="110" s="1"/>
  <c r="S43" i="3"/>
  <c r="U43" i="3" s="1"/>
  <c r="V43" i="3" s="1"/>
  <c r="S36" i="3"/>
  <c r="I100" i="125" s="1"/>
  <c r="I277" i="125"/>
  <c r="H73" i="114"/>
  <c r="K73" i="114" s="1"/>
  <c r="U78" i="3"/>
  <c r="V78" i="3" s="1"/>
  <c r="S91" i="3"/>
  <c r="I282" i="125"/>
  <c r="S86" i="3"/>
  <c r="U86" i="3" s="1"/>
  <c r="V86" i="3" s="1"/>
  <c r="S39" i="3"/>
  <c r="H34" i="114" s="1"/>
  <c r="K34" i="114" s="1"/>
  <c r="S24" i="3"/>
  <c r="H19" i="114" s="1"/>
  <c r="K19" i="114" s="1"/>
  <c r="I70" i="125"/>
  <c r="I75" i="125" s="1"/>
  <c r="U30" i="3"/>
  <c r="V30" i="3" s="1"/>
  <c r="H25" i="114"/>
  <c r="K25" i="114" s="1"/>
  <c r="S42" i="3"/>
  <c r="H37" i="114" s="1"/>
  <c r="K37" i="114" s="1"/>
  <c r="S49" i="3"/>
  <c r="H44" i="114" s="1"/>
  <c r="S38" i="3"/>
  <c r="U38" i="3" s="1"/>
  <c r="V38" i="3" s="1"/>
  <c r="S32" i="3"/>
  <c r="I80" i="125" s="1"/>
  <c r="S31" i="3"/>
  <c r="S25" i="3"/>
  <c r="U25" i="3" s="1"/>
  <c r="V25" i="3" s="1"/>
  <c r="S48" i="3"/>
  <c r="I163" i="125" s="1"/>
  <c r="I168" i="125" s="1"/>
  <c r="S35" i="3"/>
  <c r="U35" i="3" s="1"/>
  <c r="V35" i="3" s="1"/>
  <c r="S34" i="3"/>
  <c r="S46" i="3"/>
  <c r="U46" i="3" s="1"/>
  <c r="V46" i="3" s="1"/>
  <c r="S41" i="3"/>
  <c r="U41" i="3" s="1"/>
  <c r="V41" i="3" s="1"/>
  <c r="V93" i="3"/>
  <c r="H88" i="114"/>
  <c r="K88" i="114" s="1"/>
  <c r="N13" i="5"/>
  <c r="P13" i="5" s="1"/>
  <c r="S13" i="5" s="1"/>
  <c r="G79" i="114"/>
  <c r="K79" i="114" s="1"/>
  <c r="D70" i="125"/>
  <c r="D75" i="125" s="1"/>
  <c r="M37" i="91"/>
  <c r="O37" i="91" s="1"/>
  <c r="T26" i="108"/>
  <c r="U26" i="108" s="1"/>
  <c r="D329" i="125"/>
  <c r="K18" i="90"/>
  <c r="M18" i="90" s="1"/>
  <c r="O18" i="90" s="1"/>
  <c r="G47" i="114"/>
  <c r="G52" i="114"/>
  <c r="D154" i="125"/>
  <c r="L41" i="5"/>
  <c r="N41" i="5" s="1"/>
  <c r="P41" i="5" s="1"/>
  <c r="S41" i="5" s="1"/>
  <c r="G63" i="114"/>
  <c r="D258" i="125"/>
  <c r="G61" i="114"/>
  <c r="D247" i="125"/>
  <c r="K50" i="91"/>
  <c r="M50" i="91" s="1"/>
  <c r="O50" i="91" s="1"/>
  <c r="M34" i="91"/>
  <c r="O34" i="91" s="1"/>
  <c r="I287" i="125"/>
  <c r="U80" i="3"/>
  <c r="V80" i="3" s="1"/>
  <c r="K44" i="91"/>
  <c r="M44" i="91" s="1"/>
  <c r="O44" i="91" s="1"/>
  <c r="T29" i="146"/>
  <c r="U29" i="146" s="1"/>
  <c r="L54" i="5"/>
  <c r="N54" i="5" s="1"/>
  <c r="P54" i="5" s="1"/>
  <c r="S54" i="5" s="1"/>
  <c r="I184" i="125"/>
  <c r="I188" i="125" s="1"/>
  <c r="L48" i="5"/>
  <c r="N48" i="5" s="1"/>
  <c r="P48" i="5" s="1"/>
  <c r="S48" i="5" s="1"/>
  <c r="L63" i="5"/>
  <c r="N63" i="5" s="1"/>
  <c r="P63" i="5" s="1"/>
  <c r="S63" i="5" s="1"/>
  <c r="M29" i="90"/>
  <c r="O29" i="90" s="1"/>
  <c r="D318" i="125"/>
  <c r="I307" i="125"/>
  <c r="I312" i="125" s="1"/>
  <c r="G54" i="114"/>
  <c r="K25" i="90"/>
  <c r="M25" i="90" s="1"/>
  <c r="O25" i="90" s="1"/>
  <c r="L55" i="5"/>
  <c r="N55" i="5" s="1"/>
  <c r="P55" i="5" s="1"/>
  <c r="S55" i="5" s="1"/>
  <c r="L62" i="5"/>
  <c r="N62" i="5" s="1"/>
  <c r="P62" i="5" s="1"/>
  <c r="S62" i="5" s="1"/>
  <c r="K26" i="90"/>
  <c r="M26" i="90" s="1"/>
  <c r="O26" i="90" s="1"/>
  <c r="G62" i="114"/>
  <c r="U84" i="3"/>
  <c r="V84" i="3" s="1"/>
  <c r="D297" i="125"/>
  <c r="U81" i="3"/>
  <c r="V81" i="3" s="1"/>
  <c r="U83" i="3"/>
  <c r="V83" i="3" s="1"/>
  <c r="D307" i="125"/>
  <c r="G60" i="114"/>
  <c r="G64" i="114"/>
  <c r="K19" i="90"/>
  <c r="M19" i="90" s="1"/>
  <c r="O19" i="90" s="1"/>
  <c r="T45" i="108"/>
  <c r="U45" i="108" s="1"/>
  <c r="M28" i="91"/>
  <c r="O28" i="91" s="1"/>
  <c r="L47" i="5"/>
  <c r="N47" i="5" s="1"/>
  <c r="P47" i="5" s="1"/>
  <c r="S47" i="5" s="1"/>
  <c r="D184" i="125"/>
  <c r="N37" i="5"/>
  <c r="P37" i="5" s="1"/>
  <c r="S37" i="5" s="1"/>
  <c r="H87" i="114"/>
  <c r="D287" i="125"/>
  <c r="D292" i="125" s="1"/>
  <c r="S87" i="3"/>
  <c r="U87" i="3" s="1"/>
  <c r="V87" i="3" s="1"/>
  <c r="S31" i="110"/>
  <c r="I329" i="125"/>
  <c r="I333" i="125" s="1"/>
  <c r="S82" i="3"/>
  <c r="N38" i="5"/>
  <c r="P38" i="5" s="1"/>
  <c r="S38" i="5" s="1"/>
  <c r="N31" i="5"/>
  <c r="P31" i="5" s="1"/>
  <c r="S31" i="5" s="1"/>
  <c r="T41" i="108"/>
  <c r="U41" i="108" s="1"/>
  <c r="I197" i="125"/>
  <c r="K16" i="90"/>
  <c r="M16" i="90" s="1"/>
  <c r="O16" i="90" s="1"/>
  <c r="N52" i="5"/>
  <c r="P52" i="5" s="1"/>
  <c r="S52" i="5" s="1"/>
  <c r="Z13" i="108"/>
  <c r="I319" i="125"/>
  <c r="G14" i="114"/>
  <c r="D16" i="125"/>
  <c r="L15" i="5"/>
  <c r="N15" i="5" s="1"/>
  <c r="P15" i="5" s="1"/>
  <c r="S15" i="5" s="1"/>
  <c r="N65" i="5"/>
  <c r="P65" i="5" s="1"/>
  <c r="S65" i="5" s="1"/>
  <c r="N35" i="5"/>
  <c r="P35" i="5" s="1"/>
  <c r="S35" i="5" s="1"/>
  <c r="Y15" i="64"/>
  <c r="J16" i="89"/>
  <c r="J24" i="89" s="1"/>
  <c r="M40" i="91"/>
  <c r="O40" i="91" s="1"/>
  <c r="L64" i="5"/>
  <c r="N64" i="5" s="1"/>
  <c r="P64" i="5" s="1"/>
  <c r="S64" i="5" s="1"/>
  <c r="K23" i="90"/>
  <c r="M23" i="90" s="1"/>
  <c r="O23" i="90" s="1"/>
  <c r="G59" i="114"/>
  <c r="L59" i="5"/>
  <c r="N59" i="5" s="1"/>
  <c r="P59" i="5" s="1"/>
  <c r="S59" i="5" s="1"/>
  <c r="D237" i="125"/>
  <c r="L58" i="5"/>
  <c r="N58" i="5" s="1"/>
  <c r="P58" i="5" s="1"/>
  <c r="S58" i="5" s="1"/>
  <c r="I227" i="125"/>
  <c r="G58" i="114"/>
  <c r="K22" i="90"/>
  <c r="M22" i="90" s="1"/>
  <c r="O22" i="90" s="1"/>
  <c r="G55" i="114"/>
  <c r="N18" i="5"/>
  <c r="P18" i="5" s="1"/>
  <c r="S18" i="5" s="1"/>
  <c r="T44" i="108"/>
  <c r="U44" i="108" s="1"/>
  <c r="W18" i="146"/>
  <c r="G53" i="114"/>
  <c r="D207" i="125"/>
  <c r="K17" i="90"/>
  <c r="M17" i="90" s="1"/>
  <c r="O17" i="90" s="1"/>
  <c r="L53" i="5"/>
  <c r="N53" i="5" s="1"/>
  <c r="P53" i="5" s="1"/>
  <c r="S53" i="5" s="1"/>
  <c r="H42" i="114"/>
  <c r="D319" i="125"/>
  <c r="G80" i="114"/>
  <c r="K80" i="114" s="1"/>
  <c r="L76" i="3"/>
  <c r="M21" i="91"/>
  <c r="O21" i="91" s="1"/>
  <c r="U85" i="3"/>
  <c r="V85" i="3" s="1"/>
  <c r="T14" i="110"/>
  <c r="G87" i="114"/>
  <c r="I349" i="125"/>
  <c r="I353" i="125" s="1"/>
  <c r="K28" i="90"/>
  <c r="M28" i="90" s="1"/>
  <c r="O28" i="90" s="1"/>
  <c r="L60" i="5"/>
  <c r="N60" i="5" s="1"/>
  <c r="P60" i="5" s="1"/>
  <c r="S60" i="5" s="1"/>
  <c r="D278" i="125"/>
  <c r="L55" i="3"/>
  <c r="K24" i="90"/>
  <c r="M24" i="90" s="1"/>
  <c r="O24" i="90" s="1"/>
  <c r="T22" i="108"/>
  <c r="U22" i="108" s="1"/>
  <c r="D227" i="125"/>
  <c r="K21" i="90"/>
  <c r="M21" i="90" s="1"/>
  <c r="O21" i="90" s="1"/>
  <c r="L57" i="5"/>
  <c r="N57" i="5" s="1"/>
  <c r="P57" i="5" s="1"/>
  <c r="S57" i="5" s="1"/>
  <c r="G57" i="114"/>
  <c r="G75" i="114"/>
  <c r="K75" i="114" s="1"/>
  <c r="J19" i="89"/>
  <c r="L19" i="89" s="1"/>
  <c r="N19" i="89" s="1"/>
  <c r="I288" i="125"/>
  <c r="L71" i="5"/>
  <c r="N71" i="5" s="1"/>
  <c r="P71" i="5" s="1"/>
  <c r="S71" i="5" s="1"/>
  <c r="G28" i="114"/>
  <c r="K28" i="114" s="1"/>
  <c r="K32" i="91"/>
  <c r="M32" i="91" s="1"/>
  <c r="O32" i="91" s="1"/>
  <c r="L29" i="5"/>
  <c r="N29" i="5" s="1"/>
  <c r="P29" i="5" s="1"/>
  <c r="S29" i="5" s="1"/>
  <c r="D91" i="125"/>
  <c r="G14" i="71"/>
  <c r="K48" i="91"/>
  <c r="M48" i="91" s="1"/>
  <c r="O48" i="91" s="1"/>
  <c r="D174" i="125"/>
  <c r="L45" i="5"/>
  <c r="N45" i="5" s="1"/>
  <c r="P45" i="5" s="1"/>
  <c r="S45" i="5" s="1"/>
  <c r="G44" i="114"/>
  <c r="K31" i="91"/>
  <c r="G27" i="114"/>
  <c r="L28" i="5"/>
  <c r="N28" i="5" s="1"/>
  <c r="P28" i="5" s="1"/>
  <c r="S28" i="5" s="1"/>
  <c r="I81" i="125"/>
  <c r="L22" i="5"/>
  <c r="N22" i="5" s="1"/>
  <c r="P22" i="5" s="1"/>
  <c r="S22" i="5" s="1"/>
  <c r="K25" i="91"/>
  <c r="M25" i="91" s="1"/>
  <c r="O25" i="91" s="1"/>
  <c r="I46" i="125"/>
  <c r="G21" i="114"/>
  <c r="X16" i="108"/>
  <c r="W52" i="108"/>
  <c r="W13" i="108"/>
  <c r="G31" i="114"/>
  <c r="L32" i="5"/>
  <c r="N32" i="5" s="1"/>
  <c r="P32" i="5" s="1"/>
  <c r="S32" i="5" s="1"/>
  <c r="I101" i="125"/>
  <c r="K35" i="91"/>
  <c r="M35" i="91" s="1"/>
  <c r="O35" i="91" s="1"/>
  <c r="D5" i="125"/>
  <c r="D10" i="125" s="1"/>
  <c r="T34" i="108"/>
  <c r="U34" i="108" s="1"/>
  <c r="S37" i="3"/>
  <c r="H32" i="114" s="1"/>
  <c r="K32" i="114" s="1"/>
  <c r="T18" i="108"/>
  <c r="U18" i="108" s="1"/>
  <c r="S21" i="3"/>
  <c r="S71" i="3"/>
  <c r="S67" i="3"/>
  <c r="S66" i="3"/>
  <c r="D246" i="125" s="1"/>
  <c r="S56" i="3"/>
  <c r="T25" i="146"/>
  <c r="U25" i="146" s="1"/>
  <c r="S22" i="3"/>
  <c r="S18" i="3"/>
  <c r="S50" i="3"/>
  <c r="S26" i="3"/>
  <c r="N19" i="86"/>
  <c r="O33" i="110"/>
  <c r="M26" i="91"/>
  <c r="O26" i="91" s="1"/>
  <c r="M17" i="91"/>
  <c r="O17" i="91" s="1"/>
  <c r="P33" i="110"/>
  <c r="R28" i="110"/>
  <c r="S28" i="110" s="1"/>
  <c r="M27" i="90"/>
  <c r="O27" i="90" s="1"/>
  <c r="N16" i="5"/>
  <c r="P16" i="5" s="1"/>
  <c r="S16" i="5" s="1"/>
  <c r="G42" i="114"/>
  <c r="I154" i="125"/>
  <c r="T33" i="108"/>
  <c r="U33" i="108" s="1"/>
  <c r="T23" i="108"/>
  <c r="U23" i="108" s="1"/>
  <c r="U14" i="108"/>
  <c r="T30" i="108"/>
  <c r="U30" i="108" s="1"/>
  <c r="T17" i="108"/>
  <c r="U17" i="108" s="1"/>
  <c r="N56" i="5"/>
  <c r="P56" i="5" s="1"/>
  <c r="S56" i="5" s="1"/>
  <c r="H47" i="114"/>
  <c r="H35" i="114"/>
  <c r="K35" i="114" s="1"/>
  <c r="I338" i="125"/>
  <c r="H85" i="114"/>
  <c r="K85" i="114" s="1"/>
  <c r="D90" i="125"/>
  <c r="H39" i="114"/>
  <c r="K39" i="114" s="1"/>
  <c r="H84" i="114"/>
  <c r="K84" i="114" s="1"/>
  <c r="D338" i="125"/>
  <c r="Q94" i="3"/>
  <c r="H83" i="114"/>
  <c r="K83" i="114" s="1"/>
  <c r="U88" i="3"/>
  <c r="V88" i="3" s="1"/>
  <c r="U45" i="3"/>
  <c r="V45" i="3" s="1"/>
  <c r="D153" i="125"/>
  <c r="H40" i="114"/>
  <c r="K40" i="114" s="1"/>
  <c r="T40" i="108"/>
  <c r="U40" i="108" s="1"/>
  <c r="T49" i="108"/>
  <c r="U49" i="108" s="1"/>
  <c r="T37" i="108"/>
  <c r="U37" i="108" s="1"/>
  <c r="T21" i="108"/>
  <c r="U21" i="108" s="1"/>
  <c r="T47" i="108"/>
  <c r="U47" i="108" s="1"/>
  <c r="T39" i="108"/>
  <c r="U39" i="108" s="1"/>
  <c r="T15" i="108"/>
  <c r="U15" i="108" s="1"/>
  <c r="T29" i="108"/>
  <c r="U29" i="108" s="1"/>
  <c r="T36" i="108"/>
  <c r="U36" i="108" s="1"/>
  <c r="T46" i="108"/>
  <c r="U46" i="108" s="1"/>
  <c r="T32" i="108"/>
  <c r="U32" i="108" s="1"/>
  <c r="T19" i="108"/>
  <c r="U19" i="108" s="1"/>
  <c r="U92" i="3"/>
  <c r="V92" i="3" s="1"/>
  <c r="G21" i="71"/>
  <c r="M27" i="91"/>
  <c r="O27" i="91" s="1"/>
  <c r="M51" i="91"/>
  <c r="O51" i="91" s="1"/>
  <c r="N24" i="5"/>
  <c r="P24" i="5" s="1"/>
  <c r="S24" i="5" s="1"/>
  <c r="N23" i="5"/>
  <c r="P23" i="5" s="1"/>
  <c r="S23" i="5" s="1"/>
  <c r="I36" i="134"/>
  <c r="I33" i="134" s="1"/>
  <c r="H76" i="3"/>
  <c r="U79" i="3"/>
  <c r="V79" i="3" s="1"/>
  <c r="N39" i="5"/>
  <c r="P39" i="5" s="1"/>
  <c r="S39" i="5" s="1"/>
  <c r="U40" i="3"/>
  <c r="V40" i="3" s="1"/>
  <c r="M42" i="91"/>
  <c r="O42" i="91" s="1"/>
  <c r="K74" i="114"/>
  <c r="M39" i="91"/>
  <c r="O39" i="91" s="1"/>
  <c r="D26" i="71"/>
  <c r="G26" i="71" s="1"/>
  <c r="M23" i="91"/>
  <c r="O23" i="91" s="1"/>
  <c r="N20" i="5"/>
  <c r="P20" i="5" s="1"/>
  <c r="S20" i="5" s="1"/>
  <c r="M22" i="91"/>
  <c r="O22" i="91" s="1"/>
  <c r="H24" i="89"/>
  <c r="G24" i="86" s="1"/>
  <c r="G23" i="86" s="1"/>
  <c r="H23" i="86" s="1"/>
  <c r="F33" i="114"/>
  <c r="L18" i="89"/>
  <c r="N18" i="89" s="1"/>
  <c r="I125" i="125"/>
  <c r="M18" i="91"/>
  <c r="O18" i="91" s="1"/>
  <c r="N14" i="5"/>
  <c r="P14" i="5" s="1"/>
  <c r="S14" i="5" s="1"/>
  <c r="F71" i="114"/>
  <c r="R305" i="135" s="1"/>
  <c r="M49" i="91"/>
  <c r="O49" i="91" s="1"/>
  <c r="N46" i="5"/>
  <c r="P46" i="5" s="1"/>
  <c r="S46" i="5" s="1"/>
  <c r="N19" i="5"/>
  <c r="P19" i="5" s="1"/>
  <c r="S19" i="5" s="1"/>
  <c r="U29" i="3"/>
  <c r="V29" i="3" s="1"/>
  <c r="Y16" i="110"/>
  <c r="U44" i="3"/>
  <c r="V44" i="3" s="1"/>
  <c r="U52" i="3"/>
  <c r="V52" i="3" s="1"/>
  <c r="K24" i="114"/>
  <c r="U33" i="3"/>
  <c r="V33" i="3" s="1"/>
  <c r="E14" i="141"/>
  <c r="E35" i="141" s="1"/>
  <c r="H52" i="108"/>
  <c r="M43" i="91"/>
  <c r="O43" i="91" s="1"/>
  <c r="L42" i="5"/>
  <c r="N42" i="5" s="1"/>
  <c r="P42" i="5" s="1"/>
  <c r="S42" i="5" s="1"/>
  <c r="G41" i="114"/>
  <c r="D27" i="141"/>
  <c r="D28" i="141" s="1"/>
  <c r="K45" i="91"/>
  <c r="M45" i="91" s="1"/>
  <c r="O45" i="91" s="1"/>
  <c r="E14" i="71"/>
  <c r="E36" i="71" s="1"/>
  <c r="G52" i="108"/>
  <c r="T37" i="110" s="1"/>
  <c r="I148" i="125"/>
  <c r="F43" i="114"/>
  <c r="H14" i="125"/>
  <c r="I14" i="125" s="1"/>
  <c r="H20" i="3"/>
  <c r="H16" i="3" s="1"/>
  <c r="H19" i="91"/>
  <c r="J19" i="91" s="1"/>
  <c r="M19" i="91" s="1"/>
  <c r="O19" i="91" s="1"/>
  <c r="G16" i="3"/>
  <c r="G94" i="3" s="1"/>
  <c r="F21" i="114"/>
  <c r="F23" i="114"/>
  <c r="L16" i="3"/>
  <c r="D24" i="71"/>
  <c r="G24" i="71" s="1"/>
  <c r="H22" i="86"/>
  <c r="L22" i="86" s="1"/>
  <c r="L21" i="86" s="1"/>
  <c r="K46" i="91"/>
  <c r="M46" i="91" s="1"/>
  <c r="O46" i="91" s="1"/>
  <c r="U47" i="3"/>
  <c r="V47" i="3" s="1"/>
  <c r="L43" i="5"/>
  <c r="N43" i="5" s="1"/>
  <c r="P43" i="5" s="1"/>
  <c r="S43" i="5" s="1"/>
  <c r="D164" i="125"/>
  <c r="D168" i="125" s="1"/>
  <c r="N21" i="64"/>
  <c r="P21" i="64" s="1"/>
  <c r="Q21" i="64" s="1"/>
  <c r="F63" i="133"/>
  <c r="F47" i="133"/>
  <c r="F27" i="114"/>
  <c r="J31" i="91"/>
  <c r="F213" i="125"/>
  <c r="A213" i="125"/>
  <c r="AD16" i="64"/>
  <c r="AC16" i="64"/>
  <c r="AC15" i="64" s="1"/>
  <c r="AB15" i="64"/>
  <c r="AA16" i="64"/>
  <c r="Z15" i="64"/>
  <c r="E79" i="133"/>
  <c r="J79" i="133" s="1"/>
  <c r="K13" i="133"/>
  <c r="F10" i="133"/>
  <c r="P20" i="64"/>
  <c r="H20" i="63"/>
  <c r="N19" i="64"/>
  <c r="N24" i="64" s="1"/>
  <c r="M17" i="79"/>
  <c r="N17" i="79"/>
  <c r="N16" i="79" s="1"/>
  <c r="H21" i="86"/>
  <c r="I343" i="125" l="1"/>
  <c r="D302" i="125"/>
  <c r="D343" i="125"/>
  <c r="D312" i="125"/>
  <c r="S33" i="110"/>
  <c r="U34" i="110" s="1"/>
  <c r="U71" i="3"/>
  <c r="V71" i="3" s="1"/>
  <c r="H66" i="114"/>
  <c r="K66" i="114" s="1"/>
  <c r="K47" i="114"/>
  <c r="H20" i="114"/>
  <c r="K20" i="114" s="1"/>
  <c r="U49" i="3"/>
  <c r="V49" i="3" s="1"/>
  <c r="H15" i="114"/>
  <c r="H41" i="114"/>
  <c r="K41" i="114" s="1"/>
  <c r="I20" i="125"/>
  <c r="D173" i="125"/>
  <c r="D178" i="125" s="1"/>
  <c r="D158" i="125"/>
  <c r="H27" i="114"/>
  <c r="H38" i="114"/>
  <c r="K38" i="114" s="1"/>
  <c r="H43" i="114"/>
  <c r="K43" i="114" s="1"/>
  <c r="U48" i="3"/>
  <c r="V48" i="3" s="1"/>
  <c r="U32" i="3"/>
  <c r="V32" i="3" s="1"/>
  <c r="D143" i="125"/>
  <c r="D148" i="125" s="1"/>
  <c r="D120" i="125"/>
  <c r="D125" i="125" s="1"/>
  <c r="I153" i="125"/>
  <c r="I158" i="125" s="1"/>
  <c r="D45" i="125"/>
  <c r="D50" i="125" s="1"/>
  <c r="U39" i="3"/>
  <c r="V39" i="3" s="1"/>
  <c r="I85" i="125"/>
  <c r="D100" i="125"/>
  <c r="D105" i="125" s="1"/>
  <c r="H30" i="114"/>
  <c r="K30" i="114" s="1"/>
  <c r="U36" i="3"/>
  <c r="V36" i="3" s="1"/>
  <c r="U42" i="3"/>
  <c r="V42" i="3" s="1"/>
  <c r="I105" i="125"/>
  <c r="H31" i="114"/>
  <c r="K31" i="114" s="1"/>
  <c r="I35" i="125"/>
  <c r="I40" i="125" s="1"/>
  <c r="U24" i="3"/>
  <c r="V24" i="3" s="1"/>
  <c r="I133" i="125"/>
  <c r="I138" i="125" s="1"/>
  <c r="S62" i="3"/>
  <c r="D226" i="125" s="1"/>
  <c r="D231" i="125" s="1"/>
  <c r="S59" i="3"/>
  <c r="I206" i="125" s="1"/>
  <c r="I211" i="125" s="1"/>
  <c r="H86" i="114"/>
  <c r="K86" i="114" s="1"/>
  <c r="D348" i="125"/>
  <c r="D353" i="125" s="1"/>
  <c r="U91" i="3"/>
  <c r="V91" i="3" s="1"/>
  <c r="I318" i="125"/>
  <c r="I323" i="125" s="1"/>
  <c r="H81" i="114"/>
  <c r="K81" i="114" s="1"/>
  <c r="H62" i="114"/>
  <c r="K62" i="114" s="1"/>
  <c r="I246" i="125"/>
  <c r="I251" i="125" s="1"/>
  <c r="U67" i="3"/>
  <c r="V67" i="3" s="1"/>
  <c r="S60" i="3"/>
  <c r="D216" i="125" s="1"/>
  <c r="D221" i="125" s="1"/>
  <c r="H21" i="114"/>
  <c r="K21" i="114" s="1"/>
  <c r="U26" i="3"/>
  <c r="V26" i="3" s="1"/>
  <c r="I45" i="125"/>
  <c r="I50" i="125" s="1"/>
  <c r="H17" i="114"/>
  <c r="K17" i="114" s="1"/>
  <c r="I25" i="125"/>
  <c r="I30" i="125" s="1"/>
  <c r="U22" i="3"/>
  <c r="V22" i="3" s="1"/>
  <c r="H45" i="114"/>
  <c r="K45" i="114" s="1"/>
  <c r="I173" i="125"/>
  <c r="I178" i="125" s="1"/>
  <c r="U50" i="3"/>
  <c r="V50" i="3" s="1"/>
  <c r="U18" i="3"/>
  <c r="V18" i="3" s="1"/>
  <c r="H13" i="114"/>
  <c r="K13" i="114" s="1"/>
  <c r="I5" i="125"/>
  <c r="I10" i="125" s="1"/>
  <c r="H36" i="114"/>
  <c r="K36" i="114" s="1"/>
  <c r="D133" i="125"/>
  <c r="D138" i="125" s="1"/>
  <c r="I110" i="125"/>
  <c r="I115" i="125" s="1"/>
  <c r="H33" i="114"/>
  <c r="K33" i="114" s="1"/>
  <c r="I90" i="125"/>
  <c r="I95" i="125" s="1"/>
  <c r="H29" i="114"/>
  <c r="K29" i="114" s="1"/>
  <c r="U34" i="3"/>
  <c r="V34" i="3" s="1"/>
  <c r="D251" i="125"/>
  <c r="I292" i="125"/>
  <c r="H82" i="114"/>
  <c r="K82" i="114" s="1"/>
  <c r="D328" i="125"/>
  <c r="D333" i="125" s="1"/>
  <c r="D323" i="125"/>
  <c r="H61" i="114"/>
  <c r="K61" i="114" s="1"/>
  <c r="U66" i="3"/>
  <c r="V66" i="3" s="1"/>
  <c r="K42" i="114"/>
  <c r="I297" i="125"/>
  <c r="I302" i="125" s="1"/>
  <c r="U82" i="3"/>
  <c r="V82" i="3" s="1"/>
  <c r="H77" i="114"/>
  <c r="K77" i="114" s="1"/>
  <c r="L67" i="5"/>
  <c r="U17" i="3"/>
  <c r="V17" i="3" s="1"/>
  <c r="G50" i="114"/>
  <c r="R197" i="135" s="1"/>
  <c r="G71" i="114"/>
  <c r="R303" i="135" s="1"/>
  <c r="L94" i="3"/>
  <c r="K30" i="90"/>
  <c r="K87" i="114"/>
  <c r="H12" i="114"/>
  <c r="K12" i="114" s="1"/>
  <c r="L50" i="5"/>
  <c r="K44" i="114"/>
  <c r="S39" i="146"/>
  <c r="D95" i="125"/>
  <c r="T24" i="146"/>
  <c r="U24" i="146" s="1"/>
  <c r="S61" i="3"/>
  <c r="T33" i="146"/>
  <c r="U33" i="146" s="1"/>
  <c r="S70" i="3"/>
  <c r="X52" i="108"/>
  <c r="X13" i="108"/>
  <c r="T32" i="146"/>
  <c r="U32" i="146" s="1"/>
  <c r="S69" i="3"/>
  <c r="T21" i="146"/>
  <c r="U21" i="146" s="1"/>
  <c r="S58" i="3"/>
  <c r="T20" i="146"/>
  <c r="U20" i="146" s="1"/>
  <c r="S57" i="3"/>
  <c r="T31" i="146"/>
  <c r="U31" i="146" s="1"/>
  <c r="S68" i="3"/>
  <c r="T26" i="146"/>
  <c r="U26" i="146" s="1"/>
  <c r="S63" i="3"/>
  <c r="T28" i="146"/>
  <c r="U28" i="146" s="1"/>
  <c r="S65" i="3"/>
  <c r="T27" i="146"/>
  <c r="U27" i="146" s="1"/>
  <c r="S64" i="3"/>
  <c r="S52" i="108"/>
  <c r="T25" i="108"/>
  <c r="U25" i="108" s="1"/>
  <c r="S28" i="3"/>
  <c r="T24" i="108"/>
  <c r="U24" i="108" s="1"/>
  <c r="S27" i="3"/>
  <c r="T20" i="108"/>
  <c r="U20" i="108" s="1"/>
  <c r="S23" i="3"/>
  <c r="D25" i="125"/>
  <c r="D30" i="125" s="1"/>
  <c r="H16" i="114"/>
  <c r="K16" i="114" s="1"/>
  <c r="U21" i="3"/>
  <c r="V21" i="3" s="1"/>
  <c r="T16" i="108"/>
  <c r="U16" i="108" s="1"/>
  <c r="S19" i="3"/>
  <c r="U37" i="3"/>
  <c r="V37" i="3" s="1"/>
  <c r="D110" i="125"/>
  <c r="D115" i="125" s="1"/>
  <c r="T48" i="108"/>
  <c r="U48" i="108" s="1"/>
  <c r="S51" i="3"/>
  <c r="T23" i="146"/>
  <c r="U23" i="146" s="1"/>
  <c r="R33" i="110"/>
  <c r="G11" i="114"/>
  <c r="R15" i="135" s="1"/>
  <c r="K27" i="114"/>
  <c r="T19" i="146"/>
  <c r="H43" i="134"/>
  <c r="I44" i="134" s="1"/>
  <c r="H24" i="86"/>
  <c r="L24" i="86" s="1"/>
  <c r="L23" i="86" s="1"/>
  <c r="H94" i="3"/>
  <c r="D28" i="71"/>
  <c r="G28" i="71" s="1"/>
  <c r="G23" i="71" s="1"/>
  <c r="G27" i="86"/>
  <c r="H27" i="86" s="1"/>
  <c r="L27" i="86" s="1"/>
  <c r="P27" i="86" s="1"/>
  <c r="S27" i="86" s="1"/>
  <c r="V27" i="86" s="1"/>
  <c r="D23" i="141"/>
  <c r="H53" i="91"/>
  <c r="G19" i="86" s="1"/>
  <c r="G18" i="86" s="1"/>
  <c r="H18" i="86" s="1"/>
  <c r="H17" i="86" s="1"/>
  <c r="H30" i="86" s="1"/>
  <c r="D31" i="71"/>
  <c r="G31" i="71" s="1"/>
  <c r="D30" i="141"/>
  <c r="F15" i="114"/>
  <c r="U20" i="3"/>
  <c r="L12" i="5"/>
  <c r="K53" i="91"/>
  <c r="N18" i="86" s="1"/>
  <c r="N17" i="86" s="1"/>
  <c r="N30" i="86" s="1"/>
  <c r="F79" i="133"/>
  <c r="P19" i="64"/>
  <c r="P24" i="64" s="1"/>
  <c r="D36" i="134"/>
  <c r="S76" i="3"/>
  <c r="K16" i="89"/>
  <c r="M68" i="5"/>
  <c r="M51" i="5"/>
  <c r="L15" i="90"/>
  <c r="M31" i="91"/>
  <c r="O31" i="91" s="1"/>
  <c r="J53" i="91"/>
  <c r="F223" i="125"/>
  <c r="A233" i="125" s="1"/>
  <c r="F233" i="125" s="1"/>
  <c r="A243" i="125" s="1"/>
  <c r="F243" i="125" s="1"/>
  <c r="A254" i="125" s="1"/>
  <c r="F254" i="125" s="1"/>
  <c r="A264" i="125" s="1"/>
  <c r="A274" i="125" s="1"/>
  <c r="F274" i="125" s="1"/>
  <c r="A284" i="125" s="1"/>
  <c r="F284" i="125" s="1"/>
  <c r="A223" i="125"/>
  <c r="AA15" i="64"/>
  <c r="O16" i="63"/>
  <c r="AF16" i="64"/>
  <c r="R16" i="63" s="1"/>
  <c r="R15" i="63" s="1"/>
  <c r="AD15" i="64"/>
  <c r="L30" i="91"/>
  <c r="M27" i="5"/>
  <c r="J20" i="63"/>
  <c r="H19" i="63"/>
  <c r="Q20" i="64"/>
  <c r="Q19" i="64" s="1"/>
  <c r="Q24" i="64" s="1"/>
  <c r="O17" i="79"/>
  <c r="M16" i="79"/>
  <c r="S16" i="3" l="1"/>
  <c r="U59" i="3"/>
  <c r="V59" i="3" s="1"/>
  <c r="U62" i="3"/>
  <c r="V62" i="3" s="1"/>
  <c r="H57" i="114"/>
  <c r="K57" i="114" s="1"/>
  <c r="H55" i="114"/>
  <c r="K55" i="114" s="1"/>
  <c r="H54" i="114"/>
  <c r="K54" i="114" s="1"/>
  <c r="U60" i="3"/>
  <c r="V60" i="3" s="1"/>
  <c r="L84" i="5"/>
  <c r="L92" i="5" s="1"/>
  <c r="V92" i="5" s="1"/>
  <c r="T39" i="146"/>
  <c r="H58" i="114"/>
  <c r="K58" i="114" s="1"/>
  <c r="I226" i="125"/>
  <c r="I231" i="125" s="1"/>
  <c r="U63" i="3"/>
  <c r="V63" i="3" s="1"/>
  <c r="H52" i="114"/>
  <c r="K52" i="114" s="1"/>
  <c r="I196" i="125"/>
  <c r="I201" i="125" s="1"/>
  <c r="U57" i="3"/>
  <c r="V57" i="3" s="1"/>
  <c r="U69" i="3"/>
  <c r="V69" i="3" s="1"/>
  <c r="H64" i="114"/>
  <c r="K64" i="114" s="1"/>
  <c r="I257" i="125"/>
  <c r="I262" i="125" s="1"/>
  <c r="U70" i="3"/>
  <c r="V70" i="3" s="1"/>
  <c r="H65" i="114"/>
  <c r="K65" i="114" s="1"/>
  <c r="D267" i="125"/>
  <c r="D272" i="125" s="1"/>
  <c r="D236" i="125"/>
  <c r="D241" i="125" s="1"/>
  <c r="U64" i="3"/>
  <c r="V64" i="3" s="1"/>
  <c r="H59" i="114"/>
  <c r="K59" i="114" s="1"/>
  <c r="S55" i="3"/>
  <c r="U68" i="3"/>
  <c r="V68" i="3" s="1"/>
  <c r="H63" i="114"/>
  <c r="K63" i="114" s="1"/>
  <c r="D257" i="125"/>
  <c r="D262" i="125" s="1"/>
  <c r="H53" i="114"/>
  <c r="K53" i="114" s="1"/>
  <c r="U58" i="3"/>
  <c r="V58" i="3" s="1"/>
  <c r="D206" i="125"/>
  <c r="D211" i="125" s="1"/>
  <c r="I216" i="125"/>
  <c r="I221" i="125" s="1"/>
  <c r="H56" i="114"/>
  <c r="K56" i="114" s="1"/>
  <c r="U61" i="3"/>
  <c r="V61" i="3" s="1"/>
  <c r="I236" i="125"/>
  <c r="I241" i="125" s="1"/>
  <c r="U65" i="3"/>
  <c r="V65" i="3" s="1"/>
  <c r="H60" i="114"/>
  <c r="K60" i="114" s="1"/>
  <c r="D183" i="125"/>
  <c r="D188" i="125" s="1"/>
  <c r="H46" i="114"/>
  <c r="K46" i="114" s="1"/>
  <c r="U51" i="3"/>
  <c r="V51" i="3" s="1"/>
  <c r="H14" i="114"/>
  <c r="K14" i="114" s="1"/>
  <c r="D15" i="125"/>
  <c r="D20" i="125" s="1"/>
  <c r="U19" i="3"/>
  <c r="V19" i="3" s="1"/>
  <c r="U27" i="3"/>
  <c r="V27" i="3" s="1"/>
  <c r="H22" i="114"/>
  <c r="K22" i="114" s="1"/>
  <c r="D55" i="125"/>
  <c r="D60" i="125" s="1"/>
  <c r="I55" i="125"/>
  <c r="I60" i="125" s="1"/>
  <c r="U28" i="3"/>
  <c r="V28" i="3" s="1"/>
  <c r="H23" i="114"/>
  <c r="K23" i="114" s="1"/>
  <c r="H18" i="114"/>
  <c r="K18" i="114" s="1"/>
  <c r="U23" i="3"/>
  <c r="V23" i="3" s="1"/>
  <c r="D35" i="125"/>
  <c r="D40" i="125" s="1"/>
  <c r="G104" i="114"/>
  <c r="G106" i="114" s="1"/>
  <c r="D23" i="71"/>
  <c r="U19" i="146"/>
  <c r="U39" i="146" s="1"/>
  <c r="W42" i="146" s="1"/>
  <c r="K15" i="114"/>
  <c r="V20" i="3"/>
  <c r="F11" i="114"/>
  <c r="R17" i="135" s="1"/>
  <c r="H19" i="86"/>
  <c r="L19" i="86" s="1"/>
  <c r="L18" i="86" s="1"/>
  <c r="L17" i="86" s="1"/>
  <c r="L30" i="86" s="1"/>
  <c r="C43" i="134"/>
  <c r="D44" i="134" s="1"/>
  <c r="L45" i="134"/>
  <c r="D43" i="134"/>
  <c r="K24" i="89"/>
  <c r="L16" i="89"/>
  <c r="D277" i="125"/>
  <c r="H72" i="114"/>
  <c r="K72" i="114" s="1"/>
  <c r="U77" i="3"/>
  <c r="M67" i="5"/>
  <c r="N68" i="5"/>
  <c r="N51" i="5"/>
  <c r="M50" i="5"/>
  <c r="H51" i="114"/>
  <c r="K51" i="114" s="1"/>
  <c r="U56" i="3"/>
  <c r="D196" i="125"/>
  <c r="D201" i="125" s="1"/>
  <c r="M15" i="90"/>
  <c r="L30" i="90"/>
  <c r="G17" i="86"/>
  <c r="G30" i="86" s="1"/>
  <c r="F294" i="125"/>
  <c r="A294" i="125"/>
  <c r="O15" i="63"/>
  <c r="Q16" i="63"/>
  <c r="AF15" i="64"/>
  <c r="AE15" i="64"/>
  <c r="AE24" i="64" s="1"/>
  <c r="M12" i="5"/>
  <c r="N27" i="5"/>
  <c r="L53" i="91"/>
  <c r="O18" i="86" s="1"/>
  <c r="M30" i="91"/>
  <c r="Q52" i="108"/>
  <c r="D80" i="125"/>
  <c r="H26" i="114"/>
  <c r="K26" i="114" s="1"/>
  <c r="U31" i="3"/>
  <c r="Y20" i="64"/>
  <c r="AB30" i="64"/>
  <c r="O16" i="79"/>
  <c r="P17" i="79"/>
  <c r="P16" i="79" s="1"/>
  <c r="N20" i="63"/>
  <c r="J19" i="63"/>
  <c r="J24" i="63" s="1"/>
  <c r="J31" i="63" s="1"/>
  <c r="U55" i="3" l="1"/>
  <c r="K200" i="125"/>
  <c r="K50" i="114"/>
  <c r="S94" i="3"/>
  <c r="X95" i="3" s="1"/>
  <c r="K192" i="125"/>
  <c r="U16" i="3"/>
  <c r="G13" i="71"/>
  <c r="AB77" i="3"/>
  <c r="D282" i="125"/>
  <c r="F104" i="114"/>
  <c r="F106" i="114" s="1"/>
  <c r="K71" i="114"/>
  <c r="K11" i="114"/>
  <c r="M45" i="134"/>
  <c r="L47" i="134"/>
  <c r="M47" i="134" s="1"/>
  <c r="V77" i="3"/>
  <c r="V76" i="3" s="1"/>
  <c r="N16" i="89"/>
  <c r="N24" i="89" s="1"/>
  <c r="L24" i="89"/>
  <c r="P68" i="5"/>
  <c r="N67" i="5"/>
  <c r="M84" i="5"/>
  <c r="M92" i="5" s="1"/>
  <c r="O24" i="86"/>
  <c r="H71" i="114"/>
  <c r="R307" i="135" s="1"/>
  <c r="V56" i="3"/>
  <c r="V55" i="3" s="1"/>
  <c r="H50" i="114"/>
  <c r="R199" i="135" s="1"/>
  <c r="O22" i="86"/>
  <c r="O21" i="86" s="1"/>
  <c r="O15" i="90"/>
  <c r="O30" i="90" s="1"/>
  <c r="M30" i="90"/>
  <c r="P22" i="86" s="1"/>
  <c r="P51" i="5"/>
  <c r="N50" i="5"/>
  <c r="D85" i="125"/>
  <c r="K2" i="125" s="1"/>
  <c r="F304" i="125"/>
  <c r="A315" i="125" s="1"/>
  <c r="F315" i="125" s="1"/>
  <c r="A325" i="125" s="1"/>
  <c r="F325" i="125" s="1"/>
  <c r="A335" i="125" s="1"/>
  <c r="F335" i="125" s="1"/>
  <c r="A345" i="125" s="1"/>
  <c r="A304" i="125"/>
  <c r="S16" i="63"/>
  <c r="S15" i="63" s="1"/>
  <c r="Q15" i="63"/>
  <c r="V31" i="3"/>
  <c r="V16" i="3" s="1"/>
  <c r="T28" i="108"/>
  <c r="O19" i="86"/>
  <c r="P19" i="86" s="1"/>
  <c r="S19" i="86" s="1"/>
  <c r="V19" i="86" s="1"/>
  <c r="P27" i="5"/>
  <c r="N12" i="5"/>
  <c r="H11" i="114"/>
  <c r="R18" i="135" s="1"/>
  <c r="O30" i="91"/>
  <c r="O53" i="91" s="1"/>
  <c r="S18" i="86" s="1"/>
  <c r="V18" i="86" s="1"/>
  <c r="M53" i="91"/>
  <c r="P18" i="86" s="1"/>
  <c r="N19" i="63"/>
  <c r="N24" i="63" s="1"/>
  <c r="Y19" i="64"/>
  <c r="Y24" i="64" s="1"/>
  <c r="N25" i="63" s="1"/>
  <c r="N26" i="63" s="1"/>
  <c r="Z20" i="64"/>
  <c r="K274" i="125" l="1"/>
  <c r="K283" i="125"/>
  <c r="K9" i="125"/>
  <c r="U76" i="3"/>
  <c r="V94" i="3"/>
  <c r="K104" i="114"/>
  <c r="F345" i="125"/>
  <c r="F374" i="125" s="1"/>
  <c r="A374" i="125"/>
  <c r="H104" i="114"/>
  <c r="H106" i="114" s="1"/>
  <c r="O71" i="114"/>
  <c r="P71" i="114" s="1"/>
  <c r="O23" i="86"/>
  <c r="O17" i="86" s="1"/>
  <c r="O30" i="86" s="1"/>
  <c r="P24" i="86"/>
  <c r="S68" i="5"/>
  <c r="S67" i="5" s="1"/>
  <c r="P67" i="5"/>
  <c r="O50" i="114"/>
  <c r="N84" i="5"/>
  <c r="N92" i="5" s="1"/>
  <c r="S51" i="5"/>
  <c r="S50" i="5" s="1"/>
  <c r="P50" i="5"/>
  <c r="P21" i="86"/>
  <c r="S22" i="86"/>
  <c r="U28" i="108"/>
  <c r="U52" i="108" s="1"/>
  <c r="W99" i="3" s="1"/>
  <c r="T52" i="108"/>
  <c r="S27" i="5"/>
  <c r="S12" i="5" s="1"/>
  <c r="P12" i="5"/>
  <c r="Z19" i="64"/>
  <c r="Z24" i="64" s="1"/>
  <c r="O25" i="63" s="1"/>
  <c r="O26" i="63" s="1"/>
  <c r="AA20" i="64"/>
  <c r="N31" i="63"/>
  <c r="N27" i="63"/>
  <c r="AB20" i="64"/>
  <c r="W55" i="108" l="1"/>
  <c r="Q104" i="114"/>
  <c r="Y54" i="108"/>
  <c r="X97" i="3"/>
  <c r="K31" i="71"/>
  <c r="K36" i="71" s="1"/>
  <c r="U94" i="3"/>
  <c r="X96" i="3"/>
  <c r="A385" i="125"/>
  <c r="F396" i="125"/>
  <c r="A396" i="125"/>
  <c r="F385" i="125"/>
  <c r="U50" i="5"/>
  <c r="P23" i="86"/>
  <c r="P17" i="86" s="1"/>
  <c r="P30" i="86" s="1"/>
  <c r="S24" i="86"/>
  <c r="P84" i="5"/>
  <c r="P92" i="5" s="1"/>
  <c r="V22" i="86"/>
  <c r="S21" i="86"/>
  <c r="V12" i="5"/>
  <c r="S84" i="5"/>
  <c r="AA19" i="64"/>
  <c r="AA24" i="64" s="1"/>
  <c r="O20" i="63"/>
  <c r="AD20" i="64"/>
  <c r="AB19" i="64"/>
  <c r="AB24" i="64" s="1"/>
  <c r="Q25" i="63" s="1"/>
  <c r="Q26" i="63" s="1"/>
  <c r="AC20" i="64"/>
  <c r="AC19" i="64" s="1"/>
  <c r="AC24" i="64" s="1"/>
  <c r="M32" i="141" l="1"/>
  <c r="N32" i="141" s="1"/>
  <c r="V24" i="86"/>
  <c r="S23" i="86"/>
  <c r="V23" i="86" s="1"/>
  <c r="Z23" i="86" s="1"/>
  <c r="V21" i="86"/>
  <c r="S92" i="5"/>
  <c r="W84" i="5"/>
  <c r="AD19" i="64"/>
  <c r="AD24" i="64" s="1"/>
  <c r="R25" i="63" s="1"/>
  <c r="R26" i="63" s="1"/>
  <c r="AF20" i="64"/>
  <c r="AF19" i="64" s="1"/>
  <c r="AF24" i="64" s="1"/>
  <c r="O19" i="63"/>
  <c r="O24" i="63" s="1"/>
  <c r="Q20" i="63"/>
  <c r="S17" i="86" l="1"/>
  <c r="S30" i="86" s="1"/>
  <c r="Q19" i="63"/>
  <c r="Q24" i="63" s="1"/>
  <c r="R20" i="63"/>
  <c r="R19" i="63" s="1"/>
  <c r="R24" i="63" s="1"/>
  <c r="O31" i="63"/>
  <c r="O27" i="63"/>
  <c r="V17" i="86" l="1"/>
  <c r="V30" i="86" s="1"/>
  <c r="S20" i="63"/>
  <c r="S19" i="63" s="1"/>
  <c r="S24" i="63" s="1"/>
  <c r="S31" i="63" s="1"/>
  <c r="R31" i="63"/>
  <c r="R27" i="63"/>
  <c r="Q27" i="63"/>
  <c r="Q31" i="63"/>
  <c r="J26" i="100" l="1"/>
  <c r="H25" i="100"/>
  <c r="P25" i="100"/>
  <c r="P26" i="100" s="1"/>
  <c r="U25" i="100"/>
  <c r="K103" i="114" s="1"/>
  <c r="K89" i="114" s="1"/>
  <c r="R416" i="135" l="1"/>
  <c r="K105" i="114"/>
  <c r="K106" i="114" s="1"/>
  <c r="U26" i="100"/>
  <c r="R25" i="100"/>
  <c r="R26" i="100" s="1"/>
  <c r="Q109" i="114" l="1"/>
  <c r="G32" i="71"/>
  <c r="Q105" i="114"/>
  <c r="Q106" i="114"/>
  <c r="D32" i="71" l="1"/>
  <c r="G12" i="71"/>
  <c r="G36" i="71" s="1"/>
</calcChain>
</file>

<file path=xl/comments1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U3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7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272/22 qd-qsg</t>
        </r>
      </text>
    </comment>
  </commentList>
</comments>
</file>

<file path=xl/comments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<sst xmlns="http://schemas.openxmlformats.org/spreadsheetml/2006/main" count="11551" uniqueCount="1922">
  <si>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</si>
  <si>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</si>
  <si>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</si>
  <si>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</si>
  <si>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</si>
  <si>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</si>
  <si>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</si>
  <si>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</si>
  <si>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</si>
  <si>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</si>
  <si>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Tổng cộng 
thu nhập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</si>
  <si>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</si>
  <si>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</si>
  <si>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</si>
  <si>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</si>
  <si>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</si>
  <si>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</si>
  <si>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</si>
  <si>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</si>
  <si>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</si>
  <si>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</si>
  <si>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</si>
  <si>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Hệ số</t>
  </si>
  <si>
    <t>Phụ cấp</t>
  </si>
  <si>
    <t>Thành tiền</t>
  </si>
  <si>
    <t>Tổng lương quy đổi
 USD - Kip</t>
  </si>
  <si>
    <t>Chức
 vụ</t>
  </si>
  <si>
    <t>LƯƠNG</t>
  </si>
  <si>
    <t xml:space="preserve">Thuế TNCN </t>
  </si>
  <si>
    <t>Thực nhận</t>
  </si>
  <si>
    <t>Lương chăm sóc</t>
  </si>
  <si>
    <t>Lương sản lượng</t>
  </si>
  <si>
    <t>Phụ cấp khai thác</t>
  </si>
  <si>
    <t xml:space="preserve">Lào </t>
  </si>
  <si>
    <t>Đơn
 giá</t>
  </si>
  <si>
    <t>Thành 
tiền</t>
  </si>
  <si>
    <t xml:space="preserve">Mủ tạp
 quy
khô
</t>
  </si>
  <si>
    <t xml:space="preserve">Hạng
kỹ
thuật
</t>
  </si>
  <si>
    <t>Thành
tiền</t>
  </si>
  <si>
    <t>Phụ cấp ngày công (25.000)</t>
  </si>
  <si>
    <t>CNKT</t>
  </si>
  <si>
    <t>Grand Total</t>
  </si>
  <si>
    <t>NGƯỜI LẬP</t>
  </si>
  <si>
    <t>Tổng  
công</t>
  </si>
  <si>
    <t>PHÒNG TC - HC</t>
  </si>
  <si>
    <t>PHÒNG TC - KT</t>
  </si>
  <si>
    <t>TỔNG GIÁM ĐỐC</t>
  </si>
  <si>
    <t>Tổng công</t>
  </si>
  <si>
    <t xml:space="preserve">Quy Khô </t>
  </si>
  <si>
    <t>Mủ tạp</t>
  </si>
  <si>
    <t>Ngày công</t>
  </si>
  <si>
    <t>Xác Nhận</t>
  </si>
  <si>
    <t>A</t>
  </si>
  <si>
    <t>C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</si>
  <si>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</si>
  <si>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</si>
  <si>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</si>
  <si>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</si>
  <si>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VPNT Total</t>
  </si>
  <si>
    <t>ĐVT: Kip</t>
  </si>
  <si>
    <t>Tổng 
lương 
=(8)+(11)+(14)</t>
  </si>
  <si>
    <t xml:space="preserve">Tổng cộng 
thu nhập
 </t>
  </si>
  <si>
    <t>Bảo Vệ Total</t>
  </si>
  <si>
    <t xml:space="preserve">Tỷ giá: USD qua Kíp </t>
  </si>
  <si>
    <t xml:space="preserve">Tỷ giá Việt qua Kip </t>
  </si>
  <si>
    <t xml:space="preserve">Tỷ giá USD qua Kíp </t>
  </si>
  <si>
    <t>ì©</t>
  </si>
  <si>
    <t>§ˆ²¾¦¾ì¾¸</t>
  </si>
  <si>
    <t>§ˆ²¾¦¾¹¸¼©</t>
  </si>
  <si>
    <t>ª¿ÁÎÈ¤</t>
  </si>
  <si>
    <t>¸ñ­¤¾­</t>
  </si>
  <si>
    <t>À¤ò­Â©ì¾</t>
  </si>
  <si>
    <t>¹ö¸ÎÈ¸¨</t>
  </si>
  <si>
    <t>À¯ñ­À¤ò­</t>
  </si>
  <si>
    <t>À¤ò­À©õº­£ò©À¯ñ­À¤ò­¡ó®</t>
  </si>
  <si>
    <t>¦½¹¸ñ©©ó¡¾­</t>
  </si>
  <si>
    <t>ì¸´À¤ò­»ñ®</t>
  </si>
  <si>
    <t>º¾¡º­ì¾¨Ä©É</t>
  </si>
  <si>
    <t>À¤ò­£ñ¤¡¿´½®¾­</t>
  </si>
  <si>
    <t>À¤ò­»ñ®ªö¸¥ò¤</t>
  </si>
  <si>
    <t>À§ñ­»ñ®</t>
  </si>
  <si>
    <t>§ˆ²¾¦¾¹¸¼©­¾´</t>
  </si>
  <si>
    <t>ì¸´ì¾¨»ñ®</t>
  </si>
  <si>
    <t>£ñ¤¡¿´½®¾­</t>
  </si>
  <si>
    <t>»ñ®ªö¸¥ò¤</t>
  </si>
  <si>
    <t>ì¾£¾</t>
  </si>
  <si>
    <t>µ¾¤­Õ£ò©
ª¾´ºñ©ª¾
Á¹É¤</t>
  </si>
  <si>
    <t>§˜­Àªñ¡ ­ò¡</t>
  </si>
  <si>
    <t>º÷©Îø­ ¸ñ­¤¾­</t>
  </si>
  <si>
    <t>º÷©Îø­ ¸ñ­º¾êò©</t>
  </si>
  <si>
    <t xml:space="preserve">ì¸´À¤ò­
À©õº­ </t>
  </si>
  <si>
    <t>º¾¡º­ ì¾¨Ä©É</t>
  </si>
  <si>
    <t>B</t>
  </si>
  <si>
    <t>D</t>
  </si>
  <si>
    <t>Phạm Vũ Khiêm</t>
  </si>
  <si>
    <t>Lê Đinh Thanh Tuấn</t>
  </si>
  <si>
    <t>Dương Văn Việt</t>
  </si>
  <si>
    <t>Phạm Thị Hảo</t>
  </si>
  <si>
    <t>Lê Phước Thịnh</t>
  </si>
  <si>
    <t>Cấp dưỡng</t>
  </si>
  <si>
    <t>Văn Ma</t>
  </si>
  <si>
    <t>Thảo Xúc</t>
  </si>
  <si>
    <t>Lay</t>
  </si>
  <si>
    <t>Khăm</t>
  </si>
  <si>
    <t>Vắt Đi</t>
  </si>
  <si>
    <t>Bố Toong</t>
  </si>
  <si>
    <t>A Khên</t>
  </si>
  <si>
    <t xml:space="preserve">A Hôm </t>
  </si>
  <si>
    <t>La Nôi</t>
  </si>
  <si>
    <t>A Cơ</t>
  </si>
  <si>
    <t>A Tôn</t>
  </si>
  <si>
    <t>A Khay</t>
  </si>
  <si>
    <t xml:space="preserve">Chăn </t>
  </si>
  <si>
    <t xml:space="preserve">Hạng </t>
  </si>
  <si>
    <t>NÔNG TRƯỜNG 4 - ĐỘI SX SÊPON</t>
  </si>
  <si>
    <t>PHIẾU KIỂM TRA QUY TRÌNH KỸ THUẬT CẠO NGỮA VỎ NGUYÊN SINH THÁNG 08/2016</t>
  </si>
  <si>
    <t>Độ sâu
3 điểm xăm</t>
  </si>
  <si>
    <t>Lỗi và mức độ vi phạm kỹ thuật</t>
  </si>
  <si>
    <t>Tổng số
điểm bị trừ
(xếp hạng)</t>
  </si>
  <si>
    <t>Cạo
 sát</t>
  </si>
  <si>
    <t>Cạo phạm</t>
  </si>
  <si>
    <t>Cạo cạn</t>
  </si>
  <si>
    <t>Hao dăm</t>
  </si>
  <si>
    <t>Miệng cạo</t>
  </si>
  <si>
    <t>Vệ 
sinh
kém</t>
  </si>
  <si>
    <t>Cây
bỏ
cạo</t>
  </si>
  <si>
    <t>Tận
thu
kém</t>
  </si>
  <si>
    <t>Trang bi
chăm sóc
cây cạo
kém</t>
  </si>
  <si>
    <t>Trang bị
dụng cụ CN
không
đầy đủ</t>
  </si>
  <si>
    <t>Nặng</t>
  </si>
  <si>
    <t>Nhẹ</t>
  </si>
  <si>
    <t>Mỏng
dăm</t>
  </si>
  <si>
    <t>Dày
dăm
nhẹ</t>
  </si>
  <si>
    <t>Dày
dăm
nặng</t>
  </si>
  <si>
    <t>Không vuông</t>
  </si>
  <si>
    <t>Lệch</t>
  </si>
  <si>
    <t>Gợn
sóng</t>
  </si>
  <si>
    <t>Không
lòng
máng</t>
  </si>
  <si>
    <t>//</t>
  </si>
  <si>
    <t>Λ</t>
  </si>
  <si>
    <t>V</t>
  </si>
  <si>
    <t>o</t>
  </si>
  <si>
    <t>x</t>
  </si>
  <si>
    <t>W</t>
  </si>
  <si>
    <t>∆</t>
  </si>
  <si>
    <t>s</t>
  </si>
  <si>
    <t>Điểm lỗi kỹ thuật bị trừ</t>
  </si>
  <si>
    <t>I</t>
  </si>
  <si>
    <t>II</t>
  </si>
  <si>
    <t>III</t>
  </si>
  <si>
    <t>X</t>
  </si>
  <si>
    <t>8B</t>
  </si>
  <si>
    <t>0-5</t>
  </si>
  <si>
    <t>6-10</t>
  </si>
  <si>
    <t>11-15</t>
  </si>
  <si>
    <t>16-20</t>
  </si>
  <si>
    <t>21-</t>
  </si>
  <si>
    <t>E</t>
  </si>
  <si>
    <t>3A</t>
  </si>
  <si>
    <t>2A</t>
  </si>
  <si>
    <t>4A</t>
  </si>
  <si>
    <t>PT. Nông Nghiệp</t>
  </si>
  <si>
    <t>Tổ trưởng</t>
  </si>
  <si>
    <t>Lô/ Số phần</t>
  </si>
  <si>
    <t>CÔNG TY TNHH CP QUASA - GERUCO</t>
  </si>
  <si>
    <t>CỘNG HÒA DÂN CHỦ NHÂN DÂN LÀO</t>
  </si>
  <si>
    <t>Ghi chú:</t>
  </si>
  <si>
    <t>THỦ TRƯỞNG ĐƠN VỊ</t>
  </si>
  <si>
    <t>TỔ TRƯỞNG</t>
  </si>
  <si>
    <t>Thiết kế miệng cạo</t>
  </si>
  <si>
    <t xml:space="preserve">CỘNG HÒA DÂN CHỦ NHÂN DÂN LÀO </t>
  </si>
  <si>
    <t>Hòa bình - Độc lập - Dân chủ - Thống nhất - Thịnh vượng</t>
  </si>
  <si>
    <t>( Từ ngày 01 tháng 08 năm 2016 đến ngày 25 tháng 08 năm 2016)</t>
  </si>
  <si>
    <t>Tên công nhân</t>
  </si>
  <si>
    <t>Địa chỉ</t>
  </si>
  <si>
    <t>Chi tiết công việc trong tháng</t>
  </si>
  <si>
    <t xml:space="preserve">Tổng tiền
ĐVT: Kíp </t>
  </si>
  <si>
    <t>Holua</t>
  </si>
  <si>
    <t>Keng Cốc</t>
  </si>
  <si>
    <t>K.Nhang</t>
  </si>
  <si>
    <t>B. Neo</t>
  </si>
  <si>
    <t>B. Rức</t>
  </si>
  <si>
    <t>B.Neo</t>
  </si>
  <si>
    <t>K.Cooc</t>
  </si>
  <si>
    <t>Tổng cộng</t>
  </si>
  <si>
    <t>PT. KẾ HOẠCH - V.TƯ</t>
  </si>
  <si>
    <t>Phụ cấp chủ nhật 
(10.000)</t>
  </si>
  <si>
    <t>TỔNG</t>
  </si>
  <si>
    <t>Công sản phẩm
30.000 Kíp</t>
  </si>
  <si>
    <t>Bằng chữ: Một triệu, hai trăm chín mươi ngàn, sáu trăm kíp</t>
  </si>
  <si>
    <t>CN KTCB Total</t>
  </si>
  <si>
    <t>Thủ Trưởng Đơn Vị</t>
  </si>
  <si>
    <t>Tổng xếp hạng KT tháng 8 năm 2016</t>
  </si>
  <si>
    <t>Sêpon, ngày 25  tháng 08  năm 2016</t>
  </si>
  <si>
    <t>ຟາມທິຮ່າວ</t>
  </si>
  <si>
    <t>ວັນມາ</t>
  </si>
  <si>
    <t>ຫວັດດີ</t>
  </si>
  <si>
    <t>ເລດ້າວ</t>
  </si>
  <si>
    <t>Bố Stoong</t>
  </si>
  <si>
    <t>A Ký</t>
  </si>
  <si>
    <t>A Hôm</t>
  </si>
  <si>
    <t>A Lý</t>
  </si>
  <si>
    <t>A Ngăn</t>
  </si>
  <si>
    <t>Chăn</t>
  </si>
  <si>
    <t>Bôi thuốc kích thích</t>
  </si>
  <si>
    <t>BẢNG TỔNG HỢP CÔNG SẢN XUẤT THEO TỪNG CÔNG NHÂN THÁNG 09 -2016 (VCKD)</t>
  </si>
  <si>
    <t>7B</t>
  </si>
  <si>
    <t>10B</t>
  </si>
  <si>
    <t>5A</t>
  </si>
  <si>
    <t>9B</t>
  </si>
  <si>
    <t>Ngày Tháng</t>
  </si>
  <si>
    <t>Mủ Nước để đông</t>
  </si>
  <si>
    <t>Mủ Tạp</t>
  </si>
  <si>
    <t>Mủ Đông Chén</t>
  </si>
  <si>
    <t>Tổng Quy khô
(kg)</t>
  </si>
  <si>
    <t>Ghi Chú</t>
  </si>
  <si>
    <t>Số lượng (kg)</t>
  </si>
  <si>
    <t>DRC (%)</t>
  </si>
  <si>
    <t>Quy khô NT</t>
  </si>
  <si>
    <t>Quy khô (kg)</t>
  </si>
  <si>
    <t>PT. NÔNG NGHIỆP</t>
  </si>
  <si>
    <t>Trang bị vật tư</t>
  </si>
  <si>
    <t>Cạo xã miệng</t>
  </si>
  <si>
    <t>BÁO CÁO SẢN LƯỢNG MỦ HÀNG NGÀY THÁNG 09 NĂM 2016</t>
  </si>
  <si>
    <t>Ký tên Công nhân</t>
  </si>
  <si>
    <t>Ly</t>
  </si>
  <si>
    <t>(Từ ngày 01 tháng 09 đến ngày 30 tháng 09 năm 2016)</t>
  </si>
  <si>
    <t>Ngày…01… Tháng…10…. Năm 2016</t>
  </si>
  <si>
    <t>Mưa nghĩ</t>
  </si>
  <si>
    <t>Mưa trôi mủ</t>
  </si>
  <si>
    <t>Chưa trút</t>
  </si>
  <si>
    <t>CN Khoán</t>
  </si>
  <si>
    <t>ĐƠN VỊ: ĐỘI SẢN XUẤT SÊPON</t>
  </si>
  <si>
    <t>Tổng lương</t>
  </si>
  <si>
    <t xml:space="preserve"> ĐƠN VỊ: ĐỘI SẢN XUẤT SÊPON</t>
  </si>
  <si>
    <t>ĐƠN VỊ:  ĐỘI SẢN XUẤT SÊPON</t>
  </si>
  <si>
    <t>ĐỘI SẢN XUẤT SÊPON</t>
  </si>
  <si>
    <t>CN</t>
  </si>
  <si>
    <t>Đội Trưởng</t>
  </si>
  <si>
    <t>MSNV</t>
  </si>
  <si>
    <t>00480</t>
  </si>
  <si>
    <t>00482</t>
  </si>
  <si>
    <t>00483</t>
  </si>
  <si>
    <t>00490</t>
  </si>
  <si>
    <t>00491</t>
  </si>
  <si>
    <t>00493</t>
  </si>
  <si>
    <t>00495</t>
  </si>
  <si>
    <t>Kíp</t>
  </si>
  <si>
    <t>Thành 
tiền
(Kíp)</t>
  </si>
  <si>
    <t>Phụ trách NN - KHVT</t>
  </si>
  <si>
    <t>Hòa bình- Độc lập-Dân chủ-Thống nhất-Thịnh vượng</t>
  </si>
  <si>
    <t>Đội sản xuất SêPôn</t>
  </si>
  <si>
    <t>00501</t>
  </si>
  <si>
    <t>Phụ cấp CN</t>
  </si>
  <si>
    <t>Mon</t>
  </si>
  <si>
    <t>Phêng</t>
  </si>
  <si>
    <t>VC KTCB</t>
  </si>
  <si>
    <t>PHÒNG TC-HC</t>
  </si>
  <si>
    <t xml:space="preserve">Bảo vệ </t>
  </si>
  <si>
    <t>CNK</t>
  </si>
  <si>
    <t xml:space="preserve">Bảo vệ vườn cây Total </t>
  </si>
  <si>
    <t>Đinh</t>
  </si>
  <si>
    <t>ĐỘI SẢN XUÁT SÊPON</t>
  </si>
  <si>
    <t>CN khoán</t>
  </si>
  <si>
    <t>Chanh</t>
  </si>
  <si>
    <t>VC tái canh</t>
  </si>
  <si>
    <t>Stoong</t>
  </si>
  <si>
    <t>Quốc</t>
  </si>
  <si>
    <t>Rạng</t>
  </si>
  <si>
    <t>Phông</t>
  </si>
  <si>
    <t>Hăm</t>
  </si>
  <si>
    <t>Loon</t>
  </si>
  <si>
    <t>Tổ 1</t>
  </si>
  <si>
    <t>Tổ 2</t>
  </si>
  <si>
    <t>Thảo Chanh</t>
  </si>
  <si>
    <t>Phò Đan</t>
  </si>
  <si>
    <t>Phò Viu</t>
  </si>
  <si>
    <t>Phan Đình Hùng</t>
  </si>
  <si>
    <t>Văt Đi</t>
  </si>
  <si>
    <t>Gà</t>
  </si>
  <si>
    <t>Chăn Đi</t>
  </si>
  <si>
    <t>Savan</t>
  </si>
  <si>
    <t>Đêng</t>
  </si>
  <si>
    <t>Thông la</t>
  </si>
  <si>
    <t>00739</t>
  </si>
  <si>
    <t>00742</t>
  </si>
  <si>
    <t>00745</t>
  </si>
  <si>
    <t>00748</t>
  </si>
  <si>
    <t>00749</t>
  </si>
  <si>
    <t>00750</t>
  </si>
  <si>
    <t>00751</t>
  </si>
  <si>
    <t>00753</t>
  </si>
  <si>
    <t>00754</t>
  </si>
  <si>
    <t>00755</t>
  </si>
  <si>
    <t>00758</t>
  </si>
  <si>
    <t>00759</t>
  </si>
  <si>
    <t>00760</t>
  </si>
  <si>
    <t>00761</t>
  </si>
  <si>
    <t>00762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</si>
  <si>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</si>
  <si>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 xml:space="preserve">Số ngày công </t>
  </si>
  <si>
    <t>Phép bệnh</t>
  </si>
  <si>
    <t>Không cạo</t>
  </si>
  <si>
    <t>Chuyên cần</t>
  </si>
  <si>
    <t>Điểm theo ngày công</t>
  </si>
  <si>
    <t>ABC Theo Hạng kỹ thuật</t>
  </si>
  <si>
    <t>Điểm quy trình kỹ thuật</t>
  </si>
  <si>
    <t xml:space="preserve"> Tổng điểm</t>
  </si>
  <si>
    <t>Xếp loại trong tháng</t>
  </si>
  <si>
    <t>Ghi chú</t>
  </si>
  <si>
    <t>Hạng kỹ thuật</t>
  </si>
  <si>
    <t>Điểm</t>
  </si>
  <si>
    <t>Tổng xếp loại</t>
  </si>
  <si>
    <t>Loại A</t>
  </si>
  <si>
    <t>Loại A 95-&gt;100</t>
  </si>
  <si>
    <t>Loại B</t>
  </si>
  <si>
    <t>Loại B 81-&gt;94</t>
  </si>
  <si>
    <t>Loại C</t>
  </si>
  <si>
    <t>Họ tên</t>
  </si>
  <si>
    <t>Nàng Cu lạp</t>
  </si>
  <si>
    <t>Thảo Pon</t>
  </si>
  <si>
    <t>TỔ 1</t>
  </si>
  <si>
    <t>TỔ 2</t>
  </si>
  <si>
    <t>Loại C 70-&gt;80</t>
  </si>
  <si>
    <t>ĐỘI SX SÊPON</t>
  </si>
  <si>
    <t>Chức
 Vụ</t>
  </si>
  <si>
    <t>00895</t>
  </si>
  <si>
    <t>00897</t>
  </si>
  <si>
    <t>00898</t>
  </si>
  <si>
    <t>00900</t>
  </si>
  <si>
    <t>NV PHÒNG KT - NN</t>
  </si>
  <si>
    <t>00756</t>
  </si>
  <si>
    <t>Thong</t>
  </si>
  <si>
    <t>Vườn cây kinh doanh</t>
  </si>
  <si>
    <t>00050</t>
  </si>
  <si>
    <t>ê ¹¤¸¼­ ´ò¤ ÁêÈÈ¤</t>
  </si>
  <si>
    <t>Nguyễn Minh Thành</t>
  </si>
  <si>
    <t>Lê Tấn Đắc Toại</t>
  </si>
  <si>
    <t>ດັກ ຕວ່າຍ</t>
  </si>
  <si>
    <t>00521</t>
  </si>
  <si>
    <t>Phụ trách NN-LĐTL</t>
  </si>
  <si>
    <t>Nguyễn Phạm Mỹ</t>
  </si>
  <si>
    <t>TỔNG CÔNG</t>
  </si>
  <si>
    <t>ĐƠN GIÁ (25,000 Kíp)</t>
  </si>
  <si>
    <t>THÀNH TIỀN</t>
  </si>
  <si>
    <t>GHI CHÚ</t>
  </si>
  <si>
    <t>HẠNG MỤC CÔNG VIỆC</t>
  </si>
  <si>
    <t>ly</t>
  </si>
  <si>
    <t>1</t>
  </si>
  <si>
    <t>2</t>
  </si>
  <si>
    <t>3</t>
  </si>
  <si>
    <t>5</t>
  </si>
  <si>
    <t>7</t>
  </si>
  <si>
    <t>Thay</t>
  </si>
  <si>
    <t>55</t>
  </si>
  <si>
    <t>Đào hố trồng mới</t>
  </si>
  <si>
    <t>Vận chuyển phân ra lô</t>
  </si>
  <si>
    <t>Bốc phân ra lô</t>
  </si>
  <si>
    <t>Vi la</t>
  </si>
  <si>
    <t>BẢN NGHIỆM THU KHỐI LƯỢNG CHI TIẾT THEO TỪNG CÔNG NHÂN</t>
  </si>
  <si>
    <t>Bôi thuốc KT
(Phần)</t>
  </si>
  <si>
    <t>Định mức</t>
  </si>
  <si>
    <t>Công</t>
  </si>
  <si>
    <t>Trang bi VT</t>
  </si>
  <si>
    <t>Xã miệng 
rong mương</t>
  </si>
  <si>
    <t>thiết kế đầu mùa cạo</t>
  </si>
  <si>
    <t>Tổng
 công</t>
  </si>
  <si>
    <t>Sepon , ngày26 tháng 08 năm 2017</t>
  </si>
  <si>
    <t>PHỤ TRÁCH NN</t>
  </si>
  <si>
    <t>NHÂN VIÊN NN</t>
  </si>
  <si>
    <t>Người Lập</t>
  </si>
  <si>
    <t>TỔ 3</t>
  </si>
  <si>
    <t>Nguyễn Văn Quang</t>
  </si>
  <si>
    <t>Nàng Chanh</t>
  </si>
  <si>
    <t>Vườn ươm</t>
  </si>
  <si>
    <t>Bón phân , thêm đất vào bầu</t>
  </si>
  <si>
    <t>Nhổ cỏ bầu</t>
  </si>
  <si>
    <t>Kg</t>
  </si>
  <si>
    <t>Thảo Chộ</t>
  </si>
  <si>
    <t>Nàng Khăm</t>
  </si>
  <si>
    <t>Thảo Vi</t>
  </si>
  <si>
    <t>Nàng Thong</t>
  </si>
  <si>
    <t>Thảo Súc</t>
  </si>
  <si>
    <t>Phun diêt cỏ</t>
  </si>
  <si>
    <t>Phun diệt cỏ đại trà</t>
  </si>
  <si>
    <t>Đào hố trồng dặm</t>
  </si>
  <si>
    <t>bốc bầu xuông xe , bứng bầu</t>
  </si>
  <si>
    <t>Sêpôn, Ngày 01 tháng 08 năm 2018</t>
  </si>
  <si>
    <t>BẢNG LƯƠNG CÔNG NHÂN CHĂM SÓC VƯỜN ƯƠM THÁNG 07 NĂM 2018</t>
  </si>
  <si>
    <t>(Bằng chữ: Tám trăm bốn tám ngàn, bảy trăm năm mươi kíp)</t>
  </si>
  <si>
    <t>Bón phân rãi</t>
  </si>
  <si>
    <t>tỉa chồi cắt dây leo</t>
  </si>
  <si>
    <t>CÔNG TY CỔ PHẦN QUASA - GERUCO</t>
  </si>
  <si>
    <t>Tổ 1,2,3</t>
  </si>
  <si>
    <t>Sêpôn, Ngày 01 tháng 11 năm 2018</t>
  </si>
  <si>
    <t>BẢNG LƯƠNG CÔNG NHÂN VƯỜN CÂY TÁI CANH THÁNG 10 NĂM 2018</t>
  </si>
  <si>
    <t>(Bằng chữ: bốn trăm bốn mươi mốt ngàn, hai trăm năm mươi kíp)</t>
  </si>
  <si>
    <t xml:space="preserve">                                                                                                                                                                                                          </t>
  </si>
  <si>
    <t>Phụ cấp bóc mủ</t>
  </si>
  <si>
    <t>Bi</t>
  </si>
  <si>
    <t>Nàng Ven</t>
  </si>
  <si>
    <t>Thảo Chôm</t>
  </si>
  <si>
    <t>Nàng Na</t>
  </si>
  <si>
    <t>Thảo Kỉ</t>
  </si>
  <si>
    <t>Thảo Sun Thon</t>
  </si>
  <si>
    <t>Thảo Kok</t>
  </si>
  <si>
    <t>Nàng Bun Non</t>
  </si>
  <si>
    <t>Thảo Khút</t>
  </si>
  <si>
    <t>Nàng Savan</t>
  </si>
  <si>
    <t>Thảo Vàng</t>
  </si>
  <si>
    <t>Thảo Quốc</t>
  </si>
  <si>
    <t>Nàng ly</t>
  </si>
  <si>
    <t>Thảo Rạng</t>
  </si>
  <si>
    <t>Thảo Vi la</t>
  </si>
  <si>
    <t>Nàng Thay</t>
  </si>
  <si>
    <t>Thảo Chăn Đi</t>
  </si>
  <si>
    <t>Thảo Sum</t>
  </si>
  <si>
    <t>Thảo Chứ</t>
  </si>
  <si>
    <t>mủ dây</t>
  </si>
  <si>
    <t>01871</t>
  </si>
  <si>
    <t>ທ ສຸກ</t>
  </si>
  <si>
    <t>01872</t>
  </si>
  <si>
    <t>ນ ນາ</t>
  </si>
  <si>
    <t>01892</t>
  </si>
  <si>
    <t>01875</t>
  </si>
  <si>
    <t>ທ ກອກ</t>
  </si>
  <si>
    <t>01874</t>
  </si>
  <si>
    <t>ເພັງ</t>
  </si>
  <si>
    <t>01873</t>
  </si>
  <si>
    <t>ສະຕອງ</t>
  </si>
  <si>
    <t>01876</t>
  </si>
  <si>
    <t>ມອນ</t>
  </si>
  <si>
    <t>01877</t>
  </si>
  <si>
    <t>ເງິນ</t>
  </si>
  <si>
    <t>ລອນ</t>
  </si>
  <si>
    <t>01879</t>
  </si>
  <si>
    <t>ທ ກີ່</t>
  </si>
  <si>
    <t>01880</t>
  </si>
  <si>
    <t>ທ ສົມ</t>
  </si>
  <si>
    <t>01894</t>
  </si>
  <si>
    <t>ທ ດິນ</t>
  </si>
  <si>
    <t>01895</t>
  </si>
  <si>
    <t>ທ ຫວ່າງ</t>
  </si>
  <si>
    <t>01896</t>
  </si>
  <si>
    <t>ທ ຈັນ</t>
  </si>
  <si>
    <t>01897</t>
  </si>
  <si>
    <t>ທ ກວັກ</t>
  </si>
  <si>
    <t>01898</t>
  </si>
  <si>
    <t>ທ ຈັນດີ</t>
  </si>
  <si>
    <t>01899</t>
  </si>
  <si>
    <t>ທ ຫລັ່ງ</t>
  </si>
  <si>
    <t>01900</t>
  </si>
  <si>
    <t>ນ ສະຫວັນ</t>
  </si>
  <si>
    <t>01901</t>
  </si>
  <si>
    <t>ທ ສູນທອນ</t>
  </si>
  <si>
    <t>01882</t>
  </si>
  <si>
    <t>ນ ລີ</t>
  </si>
  <si>
    <t>01902</t>
  </si>
  <si>
    <t>ພົງ</t>
  </si>
  <si>
    <t>01883</t>
  </si>
  <si>
    <t>ທອງລາ</t>
  </si>
  <si>
    <t>01884</t>
  </si>
  <si>
    <t>ຫຳ</t>
  </si>
  <si>
    <t>01885</t>
  </si>
  <si>
    <t>ທ ຄຸດ</t>
  </si>
  <si>
    <t>01886</t>
  </si>
  <si>
    <t>ນ ວັນ</t>
  </si>
  <si>
    <t>ທ ຈາບ</t>
  </si>
  <si>
    <t>ນ ກຸຫລາບ</t>
  </si>
  <si>
    <t>01889</t>
  </si>
  <si>
    <t>ທ ປອນ</t>
  </si>
  <si>
    <t>01890</t>
  </si>
  <si>
    <t>01891</t>
  </si>
  <si>
    <t>ນ ບຸນນອງ</t>
  </si>
  <si>
    <t>01893</t>
  </si>
  <si>
    <t>ທ ວັນ</t>
  </si>
  <si>
    <t>01903</t>
  </si>
  <si>
    <t>ທ ວີລະ</t>
  </si>
  <si>
    <t>01904</t>
  </si>
  <si>
    <t>ນ ໄທ</t>
  </si>
  <si>
    <t>01905</t>
  </si>
  <si>
    <t>Nàng Đôm</t>
  </si>
  <si>
    <t>ທ ໂຈ້</t>
  </si>
  <si>
    <t>01906</t>
  </si>
  <si>
    <t>ນ ຄຳ</t>
  </si>
  <si>
    <t>01907</t>
  </si>
  <si>
    <t>ທ ວີ</t>
  </si>
  <si>
    <t>01908</t>
  </si>
  <si>
    <t>ນ ທອງ</t>
  </si>
  <si>
    <t>01909</t>
  </si>
  <si>
    <t>ທ ຕາ</t>
  </si>
  <si>
    <t>01910</t>
  </si>
  <si>
    <t>ທ ຈື່</t>
  </si>
  <si>
    <t>01911</t>
  </si>
  <si>
    <t>ທ ທອງ</t>
  </si>
  <si>
    <t>01912</t>
  </si>
  <si>
    <t>ທ ເຢັນ</t>
  </si>
  <si>
    <t>ນ ຈັນ</t>
  </si>
  <si>
    <t>01914</t>
  </si>
  <si>
    <t>ທ ດຳດີ</t>
  </si>
  <si>
    <t>ທ ໂຈມ</t>
  </si>
  <si>
    <t>01916</t>
  </si>
  <si>
    <t>ນ ແວ່ນ</t>
  </si>
  <si>
    <t>01917</t>
  </si>
  <si>
    <t>ນ ດົມ</t>
  </si>
  <si>
    <t>01918</t>
  </si>
  <si>
    <t>Tên Lào</t>
  </si>
  <si>
    <t>Dò</t>
  </si>
  <si>
    <t>DANH SÁCH CÔNG NHÂN TỔ 1,2,3</t>
  </si>
  <si>
    <t>HỌ VÀ TÊN</t>
  </si>
  <si>
    <t>TÊN LÀO</t>
  </si>
  <si>
    <t>NĂM SINH</t>
  </si>
  <si>
    <t xml:space="preserve">BẢN </t>
  </si>
  <si>
    <t>HUYỆN</t>
  </si>
  <si>
    <t>TỈNH</t>
  </si>
  <si>
    <t>Ken Giang</t>
  </si>
  <si>
    <t>Se Pon</t>
  </si>
  <si>
    <t>Savanakhet</t>
  </si>
  <si>
    <t>Tổ1</t>
  </si>
  <si>
    <t>Hơ loa</t>
  </si>
  <si>
    <t>Phon Thon</t>
  </si>
  <si>
    <t>Champasak</t>
  </si>
  <si>
    <t>Bản Neo</t>
  </si>
  <si>
    <t>Kenh nhao</t>
  </si>
  <si>
    <t>Lon Xã</t>
  </si>
  <si>
    <t>Tổ2</t>
  </si>
  <si>
    <t>Thảo Đinh</t>
  </si>
  <si>
    <t>Nàng Ly</t>
  </si>
  <si>
    <t>Lon Sắc</t>
  </si>
  <si>
    <t>Thảo Văn</t>
  </si>
  <si>
    <t>Thảo vi la</t>
  </si>
  <si>
    <t>Nàng thay</t>
  </si>
  <si>
    <t>Tổ3</t>
  </si>
  <si>
    <t>Thảo Ta</t>
  </si>
  <si>
    <t>Nủn Cung</t>
  </si>
  <si>
    <t xml:space="preserve">Thảo Thong </t>
  </si>
  <si>
    <t>Cường</t>
  </si>
  <si>
    <t>vét rãnh, cuốc lổ bón phân</t>
  </si>
  <si>
    <t>Đào hố trồng dặm, chở bầu ra lô</t>
  </si>
  <si>
    <t>48 công nhân chính đứng phần chính</t>
  </si>
  <si>
    <t>CÔNG TY TNHH CỔ PHẦN  QUASA - GERUCO</t>
  </si>
  <si>
    <t>ĐỘI SẢN XUẤT SEPON</t>
  </si>
  <si>
    <t>TÊN BẢN</t>
  </si>
  <si>
    <t>CHỨC VỤ</t>
  </si>
  <si>
    <t>SỐ CÔNG NHÂN</t>
  </si>
  <si>
    <t>THỰC NHẬN</t>
  </si>
  <si>
    <t>KÝ NHẬN</t>
  </si>
  <si>
    <t>A Liệt</t>
  </si>
  <si>
    <t>Hơ Lua</t>
  </si>
  <si>
    <t>Trưởng bản</t>
  </si>
  <si>
    <t>Phò Kíc</t>
  </si>
  <si>
    <t>Keng Nhang</t>
  </si>
  <si>
    <t>Buôn Tiêm</t>
  </si>
  <si>
    <t>Keng Cóc</t>
  </si>
  <si>
    <t>Buôn Ma</t>
  </si>
  <si>
    <t>Rức</t>
  </si>
  <si>
    <t>Thông Xi</t>
  </si>
  <si>
    <t>Neo</t>
  </si>
  <si>
    <t>A Nhuôm</t>
  </si>
  <si>
    <t>Sung</t>
  </si>
  <si>
    <t>Phò Vừng</t>
  </si>
  <si>
    <t>A Xin</t>
  </si>
  <si>
    <t>La Hợi</t>
  </si>
  <si>
    <t>Sa Mun</t>
  </si>
  <si>
    <t>Khăm Son</t>
  </si>
  <si>
    <t>Hu San</t>
  </si>
  <si>
    <t>(Bằng chữ: Một triệu ba trăm năm mươi ngàn kíp)</t>
  </si>
  <si>
    <t xml:space="preserve">   PHÒNG TC -KT</t>
  </si>
  <si>
    <t xml:space="preserve">           PHÒNG TC - HC</t>
  </si>
  <si>
    <t>phát chồi</t>
  </si>
  <si>
    <t>Cắt dọn cây dưới đường dây điện</t>
  </si>
  <si>
    <t>(Bằng chữ: Hai triệu, bảy trăm ngàn kíp)</t>
  </si>
  <si>
    <t>( Bằng chữ: Năm trăm ngàn kíp)</t>
  </si>
  <si>
    <t xml:space="preserve">           TỔNG GIÁM ĐỐC                               PHÒNG TC-KT                                PHÒNG TC- HC                             THỦ TRƯỞNG ĐƠN VỊ                             NGƯỜI LẬP            </t>
  </si>
  <si>
    <t>CÔNG TY TNHH CỔ PHẦN QUASA - GERUCO LÀO</t>
  </si>
  <si>
    <t>BẢNG TỔNG HỢP CÔNG CÔNG VIỆC KHÁC THÁNG 06 NĂM 2020</t>
  </si>
  <si>
    <t xml:space="preserve"> ( Từ ngày 01/06/2020 đến ngày 30/06/2020)</t>
  </si>
  <si>
    <t>Huyện Sepon, ngày 01 tháng 07 năm 2020</t>
  </si>
  <si>
    <t>Nàng Lạ</t>
  </si>
  <si>
    <t>Thảo Pôn</t>
  </si>
  <si>
    <t>Thảo Khăm Phẩy</t>
  </si>
  <si>
    <t>Nàng Khỏn</t>
  </si>
  <si>
    <t>Thảo Toong</t>
  </si>
  <si>
    <t>Thảo Tùy</t>
  </si>
  <si>
    <t>BẢNG TỔNG HỢP CÔNG THỰC HIỆN THÁNG 07  NĂM 2020</t>
  </si>
  <si>
    <t xml:space="preserve">Phun diệt cỏ </t>
  </si>
  <si>
    <t>Bôi thuốc kích thich</t>
  </si>
  <si>
    <t>Sêpôn, Ngày 01 tháng 08 năm 2020</t>
  </si>
  <si>
    <t>BẢNG LƯƠNG CÁN BỘ NHÂN VIÊN THÁNG 07 NĂM 2020</t>
  </si>
  <si>
    <t>BẢNG LƯƠNG BẢO VỆ THÁNG 07 NĂM 2020</t>
  </si>
  <si>
    <t>BẢNG ĐỀ NGHỊ THANH TOÁN TIỀN HỖ TRỢ CHO TRƯỞNG BẢN THÁNG 07 NĂM 2020</t>
  </si>
  <si>
    <t>THÁNG 07</t>
  </si>
  <si>
    <t xml:space="preserve">                            Huyện sepon, ngày 01 tháng 08 năm 2020</t>
  </si>
  <si>
    <t>BẢNG PHÂN HẠNG KỸ THUẬT THÁNG 07 NĂM 2020</t>
  </si>
  <si>
    <t>Sepon , ngày 26 tháng 07 năm 2020</t>
  </si>
  <si>
    <t>(Bằng chữ: Mười bốn triệu, hai trăm ba mươi tám ngàn, ba trăm ba mươi kíp)</t>
  </si>
  <si>
    <t>Vệ sinh chén nhưa</t>
  </si>
  <si>
    <t>Vệ sinh mặt cạo</t>
  </si>
  <si>
    <t>Tổng thu nhập</t>
  </si>
  <si>
    <t>Tổng thu nhập (USD)</t>
  </si>
  <si>
    <t>Nàng Phìn</t>
  </si>
  <si>
    <t>Sa Muôn</t>
  </si>
  <si>
    <t>CÔNG TY TNHH CỔ PHẦN QUASA-GERUCO LÀO</t>
  </si>
  <si>
    <t>Tỷ giá: USD qua LAK</t>
  </si>
  <si>
    <t>Tỷ giá: VND qua LAK</t>
  </si>
  <si>
    <t xml:space="preserve">Trích KP
công đoàn
</t>
  </si>
  <si>
    <t>(1)</t>
  </si>
  <si>
    <t>(2)</t>
  </si>
  <si>
    <t>(3)</t>
  </si>
  <si>
    <t>(4)</t>
  </si>
  <si>
    <t>(5)</t>
  </si>
  <si>
    <t>(6)</t>
  </si>
  <si>
    <t xml:space="preserve">TỔNG </t>
  </si>
  <si>
    <t>PHÒNG TC-KT</t>
  </si>
  <si>
    <t>NGƯỜI LẬP BIỂU</t>
  </si>
  <si>
    <t>ĐỘI TRƯỞNG</t>
  </si>
  <si>
    <t>BHXH-YT-TN
(USD)</t>
  </si>
  <si>
    <t>Tổng lương sau trừ BH
(USD)</t>
  </si>
  <si>
    <t>Thuế
TNCN
(USD)</t>
  </si>
  <si>
    <t>Truy lĩnh thuế TNCN tháng 01</t>
  </si>
  <si>
    <t>Trích KP
công đoàn
(USD)</t>
  </si>
  <si>
    <t>Thực nhận
(USD)</t>
  </si>
  <si>
    <t>Ngày
 làm việc</t>
  </si>
  <si>
    <t>Đvt</t>
  </si>
  <si>
    <t>8=(6/4)*5</t>
  </si>
  <si>
    <t>10=8-9</t>
  </si>
  <si>
    <t>12=10-11</t>
  </si>
  <si>
    <t>13=(10-11)*1%</t>
  </si>
  <si>
    <t>14=12-13</t>
  </si>
  <si>
    <t>TỔ TRƯỞNG KHAI THÁC</t>
  </si>
  <si>
    <t>CÁN BỘ QUẢN LÝ, PHỤC VỤ</t>
  </si>
  <si>
    <t>BẢNG LƯƠNG VƯỜN CÂY KTCB THÁNG 11 NĂM 2020</t>
  </si>
  <si>
    <t>Ngày 01  tháng 12 năm 2020</t>
  </si>
  <si>
    <t>(Bằng chữ: Một triệu, chín trăm chín mươi bốn ngàn kip)</t>
  </si>
  <si>
    <t>Ghi chú</t>
  </si>
  <si>
    <t>(7)</t>
  </si>
  <si>
    <t>(9)</t>
  </si>
  <si>
    <t>(10)</t>
  </si>
  <si>
    <t>Hồ Tiến Đạt</t>
  </si>
  <si>
    <t>Lái xe</t>
  </si>
  <si>
    <t>CÔNG TY TNHH CP QUASA-GERUCO</t>
  </si>
  <si>
    <t xml:space="preserve"> CỘNG HOÀ DÂN CHỦ NHÂN DÂN LÀO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</si>
  <si>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</si>
  <si>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</si>
  <si>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</si>
  <si>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</si>
  <si>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</si>
  <si>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</si>
  <si>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</si>
  <si>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</si>
  <si>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</si>
  <si>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Khăm Bay</t>
  </si>
  <si>
    <t xml:space="preserve">On </t>
  </si>
  <si>
    <t>Thảo Thong</t>
  </si>
  <si>
    <t>Tạp vụ</t>
  </si>
  <si>
    <t>Tạp vụ Văn phòng</t>
  </si>
  <si>
    <t>Pun</t>
  </si>
  <si>
    <t>Hạng mục công việc khác</t>
  </si>
  <si>
    <t>Đơn giá
kíp</t>
  </si>
  <si>
    <t>Thành tiền
kíp</t>
  </si>
  <si>
    <t>Mủ dây</t>
  </si>
  <si>
    <t xml:space="preserve">Thảo Ken </t>
  </si>
  <si>
    <t>Thảo Sơm</t>
  </si>
  <si>
    <t>Nàng Bun Nhơn</t>
  </si>
  <si>
    <t xml:space="preserve">Thảo Khăm </t>
  </si>
  <si>
    <t xml:space="preserve">Nàng Lem </t>
  </si>
  <si>
    <t xml:space="preserve">Thảo Hen </t>
  </si>
  <si>
    <t>Thảo Khênh</t>
  </si>
  <si>
    <t>THÁNG 06</t>
  </si>
  <si>
    <t>Danh mục</t>
  </si>
  <si>
    <t>Số lượng</t>
  </si>
  <si>
    <t xml:space="preserve">Sản lượng thực hiện quy khô 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</si>
  <si>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</si>
  <si>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</si>
  <si>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</si>
  <si>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</si>
  <si>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Tiền lương bảo vệ vườn cây</t>
  </si>
  <si>
    <t>TỔNG CỘNG:</t>
  </si>
  <si>
    <t xml:space="preserve">                            Huyện sepon, ngày 02 tháng 07 năm 2022</t>
  </si>
  <si>
    <t>BẢNG THANH TOÁN HỖ TRỢ TIỀN ĂN CB CNV THÁNG 05</t>
  </si>
  <si>
    <t>Đội trưởng</t>
  </si>
  <si>
    <t>PT KH - VT</t>
  </si>
  <si>
    <t>Lái Xe</t>
  </si>
  <si>
    <t>(Bằng chữ: một triệu, Không trăm năm mươi ngàn kíp)</t>
  </si>
  <si>
    <t>Hoà Bình - Độc Lập - Dân Chủ - Thống Nhất - Thịnh Vượng</t>
  </si>
  <si>
    <t>Nguyễn Thị Thùy Linh</t>
  </si>
  <si>
    <t>ĐỘI SẢN XUÁT SEPON</t>
  </si>
  <si>
    <t>ĐƠN VỊ:  ĐỘI SẢN XUẤT SEPON</t>
  </si>
  <si>
    <t>TỔNG CỘNG</t>
  </si>
  <si>
    <t>Tổng lương *80%</t>
  </si>
  <si>
    <t>mức lương bh bằng mức lương vùng nhân hệ số</t>
  </si>
  <si>
    <t>3070000*hệ số</t>
  </si>
  <si>
    <t>(8)</t>
  </si>
  <si>
    <t>(12)</t>
  </si>
  <si>
    <t>(13)</t>
  </si>
  <si>
    <t>(14)=(8)-(9)</t>
  </si>
  <si>
    <t>(16)=(11)*1%</t>
  </si>
  <si>
    <t>(17)</t>
  </si>
  <si>
    <t>(18)</t>
  </si>
  <si>
    <t>(11)=(7)-(8)-(9)</t>
  </si>
  <si>
    <t>Nguyễn Thị Thuỳ Linh</t>
  </si>
  <si>
    <t>Quy đổi</t>
  </si>
  <si>
    <t xml:space="preserve">Thuế
TNCN
</t>
  </si>
  <si>
    <t>Truy thu BHXH (USD)</t>
  </si>
  <si>
    <t>Sepon, ngày ……tháng 11 năm 2022</t>
  </si>
  <si>
    <t>Số 272 QĐ-QSG</t>
  </si>
  <si>
    <t>Sâm Mút</t>
  </si>
  <si>
    <t>Đơn giá</t>
  </si>
  <si>
    <t xml:space="preserve">      PHÒNG TC-HC                        PHÒNG KTNN</t>
  </si>
  <si>
    <t>BẢNG PHỤ CẤP CÔNG NHÂN TRỰC ĐÊM CHỐNG MẤT MỦ THÁNG 10 NĂM 2022</t>
  </si>
  <si>
    <t xml:space="preserve">    PHÒNG TC-HC</t>
  </si>
  <si>
    <t>Lâm ngân</t>
  </si>
  <si>
    <t>(Bằng chữ: Hai triệu, bốn trăm bảy mươi ba nghìn, hai trăm năm mươi kíp)</t>
  </si>
  <si>
    <t>Sâm Say</t>
  </si>
  <si>
    <t>Sepon, Ngày 01 tháng 01 năm 2023</t>
  </si>
  <si>
    <t>BẢNG LƯƠNG VƯỜN CÂY KTCB THÁNG 12 NĂM 2022</t>
  </si>
  <si>
    <t>Viết bằng chữ: Hai nghìn chín trăm lẻ năm Đô La Mỹ và mười sáu cent</t>
  </si>
  <si>
    <t>đúng</t>
  </si>
  <si>
    <t>còn trả lại cn</t>
  </si>
  <si>
    <t>sai</t>
  </si>
  <si>
    <t>cvk</t>
  </si>
  <si>
    <t>trưởng bản</t>
  </si>
  <si>
    <t>công an bản đen</t>
  </si>
  <si>
    <t>tiền đón trực tết</t>
  </si>
  <si>
    <t>tổng</t>
  </si>
  <si>
    <t xml:space="preserve"> </t>
  </si>
  <si>
    <t>-----oOo-----</t>
  </si>
  <si>
    <t>CÔNG TY TNHH CP QUASA - GERUCO LÀO</t>
  </si>
  <si>
    <t>Phước</t>
  </si>
  <si>
    <t>Nàng Khênh</t>
  </si>
  <si>
    <t>Sin Khăm</t>
  </si>
  <si>
    <t>A Kê</t>
  </si>
  <si>
    <t>A Suân</t>
  </si>
  <si>
    <t>Khỏn Savanh</t>
  </si>
  <si>
    <t>CÔNG TY TNHH CỔ PHẦN  QUASA - GERUCO LÀO</t>
  </si>
  <si>
    <t>Nàng Keo</t>
  </si>
  <si>
    <t>Truy thu BHXH tháng 1</t>
  </si>
  <si>
    <t>B.</t>
  </si>
  <si>
    <t>A.</t>
  </si>
  <si>
    <t>On</t>
  </si>
  <si>
    <t>Hăn</t>
  </si>
  <si>
    <t>H'Phơ</t>
  </si>
  <si>
    <t>Hôm</t>
  </si>
  <si>
    <t>Bơ Văn</t>
  </si>
  <si>
    <t>Đăm</t>
  </si>
  <si>
    <t>Ve</t>
  </si>
  <si>
    <t>Thảo Cơ</t>
  </si>
  <si>
    <t>Phò Đăm</t>
  </si>
  <si>
    <t>Phét</t>
  </si>
  <si>
    <t>Đao</t>
  </si>
  <si>
    <t>Say</t>
  </si>
  <si>
    <t>Khốc</t>
  </si>
  <si>
    <t>Kợt</t>
  </si>
  <si>
    <t>Thảo Xay</t>
  </si>
  <si>
    <t>Bố Em</t>
  </si>
  <si>
    <t>Truy thu</t>
  </si>
  <si>
    <t>Thảo Lay</t>
  </si>
  <si>
    <t>Nàng Lăm</t>
  </si>
  <si>
    <t>Nàng Ngột</t>
  </si>
  <si>
    <t>Thảo Linh</t>
  </si>
  <si>
    <t xml:space="preserve"> Lay</t>
  </si>
  <si>
    <t>Sao Vắt</t>
  </si>
  <si>
    <t xml:space="preserve">Nàng Chon </t>
  </si>
  <si>
    <t>Phết</t>
  </si>
  <si>
    <t xml:space="preserve">BHXH (8%)
</t>
  </si>
  <si>
    <t xml:space="preserve">BHTN (1,5%)      </t>
  </si>
  <si>
    <t>BHYT (1%)</t>
  </si>
  <si>
    <t>Thảo Tơi</t>
  </si>
  <si>
    <t>Xếp loại kỹ thuật C (đơn giá phụ cấp )</t>
  </si>
  <si>
    <t>Lương qui Kíp</t>
  </si>
  <si>
    <t>Tổng lương sau trừ BH (Kíp)</t>
  </si>
  <si>
    <t>Thảo Tôn</t>
  </si>
  <si>
    <t>(Theo Quyết định số 189/QD-QSG ngày 01/08/2023 về việc ban hành quy chế trả lương của Đội/ Tổ)</t>
  </si>
  <si>
    <t>Tổ/ Đội</t>
  </si>
  <si>
    <t>Đơn vị tính</t>
  </si>
  <si>
    <t>Tỷ lệ hoàn thành nhiệm vụ</t>
  </si>
  <si>
    <t>Mức lương hiện hưởng</t>
  </si>
  <si>
    <t>Mức lương thực hiện trong tháng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</si>
  <si>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</si>
  <si>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</si>
  <si>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</si>
  <si>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</si>
  <si>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</si>
  <si>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</si>
  <si>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</si>
  <si>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(6)=(3)*50%</t>
  </si>
  <si>
    <t>(7)=(3)*50%*(1)</t>
  </si>
  <si>
    <t>(9)=(6)+(7)+(8)</t>
  </si>
  <si>
    <t>(12)=(9)-(11)</t>
  </si>
  <si>
    <t>Lương USD</t>
  </si>
  <si>
    <t>Tổ 3</t>
  </si>
  <si>
    <t xml:space="preserve">             PHÒNG TC-KT</t>
  </si>
  <si>
    <t>PHÒNG TC- HC</t>
  </si>
  <si>
    <t>Tổ/
 Đội</t>
  </si>
  <si>
    <t>Sản lượng giao kế hoạch tháng (tấn)</t>
  </si>
  <si>
    <t>Sản lượng thực hiện trong tháng (tấn)</t>
  </si>
  <si>
    <t xml:space="preserve">TỔ 1 </t>
  </si>
  <si>
    <t>Truy lãnh 
lương T7 +T8</t>
  </si>
  <si>
    <t>Lương 
tổ</t>
  </si>
  <si>
    <t>Truy lãnh
 lương T7 +T8</t>
  </si>
  <si>
    <t>THỦ TRƯỞNG ĐƠN VI</t>
  </si>
  <si>
    <t>Không hoàn thành 
kế hoạch sản lượng</t>
  </si>
  <si>
    <t>Tổng tiền lương</t>
  </si>
  <si>
    <t>Tiền lương tính thu nhập</t>
  </si>
  <si>
    <t>Tổng
 cộng</t>
  </si>
  <si>
    <t>TÊN CN</t>
  </si>
  <si>
    <t>TẠP</t>
  </si>
  <si>
    <t>TỔNG  CỘNG</t>
  </si>
  <si>
    <t xml:space="preserve">Phụ cấp bốc mủ 2 lát </t>
  </si>
  <si>
    <t>CÔNG TY TNHH CỔ PHẦN QUASA- GERUCO LÀO</t>
  </si>
  <si>
    <t>Tên công việc</t>
  </si>
  <si>
    <t>Khối lượng</t>
  </si>
  <si>
    <t>Số lần</t>
  </si>
  <si>
    <t>Ghi 
chú</t>
  </si>
  <si>
    <t>Lô</t>
  </si>
  <si>
    <t>KL</t>
  </si>
  <si>
    <t xml:space="preserve"> VƯỜN CÂY KINH DOANH</t>
  </si>
  <si>
    <t>SẢN LƯỢNG</t>
  </si>
  <si>
    <t>Tấn</t>
  </si>
  <si>
    <t>Quy khô</t>
  </si>
  <si>
    <t>PHỤ CẤP CẠO MỦ</t>
  </si>
  <si>
    <t>Phụ cấp ngày chủ nhật</t>
  </si>
  <si>
    <t>Ngày công đi cạo</t>
  </si>
  <si>
    <t>VCKD năm 7</t>
  </si>
  <si>
    <t>VCKD năm 8</t>
  </si>
  <si>
    <t>CÔNG BẢO VỆ</t>
  </si>
  <si>
    <t>Bảo vệ Lào 4 người chính thức</t>
  </si>
  <si>
    <t>ĐỘI TRƯỞNG ĐỘI SẢN XUẤT</t>
  </si>
  <si>
    <t>Đoàn nghiệm thu công ty:</t>
  </si>
  <si>
    <t>Ngày</t>
  </si>
  <si>
    <t>MS
NV</t>
  </si>
  <si>
    <t>Bộ 
phận</t>
  </si>
  <si>
    <t>P.TC -KT</t>
  </si>
  <si>
    <t>P.TC -HC</t>
  </si>
  <si>
    <t xml:space="preserve"> ĐƠN VỊ: ĐỘI SX SEPON</t>
  </si>
  <si>
    <t>Số kg qui khô đạt trong tháng</t>
  </si>
  <si>
    <t>Tiền thưởng
 (Kíp)</t>
  </si>
  <si>
    <t>1.1</t>
  </si>
  <si>
    <t>1.2</t>
  </si>
  <si>
    <t>NGƯỜI  LẬP</t>
  </si>
  <si>
    <t>Sepon,ngày 03 tháng 12 năm 2023</t>
  </si>
  <si>
    <t>TIỀN THƯỞNG  HOÀN THÀNH VƯỢT SẢN LƯỢNG 
THÁNG 11 NĂM 2023</t>
  </si>
  <si>
    <t>Cộng</t>
  </si>
  <si>
    <t>Xếp loại kỹ thuật A (đơn giá phụ cấp )</t>
  </si>
  <si>
    <t>Xếp loại kỹ thuật B (đơn giá phụ cấp )</t>
  </si>
  <si>
    <t>Xếp loại kỹ thuật D (đơn giá phụ cấp )</t>
  </si>
  <si>
    <t xml:space="preserve">BẢNG THANH TOÁN TIỀN THƯỞNG TẾT DƯƠNG LỊCH NĂM 2024 </t>
  </si>
  <si>
    <t xml:space="preserve">Tỷ giá: USD qua Kíp: </t>
  </si>
  <si>
    <t xml:space="preserve">Tỷ giá: Việt qua Kíp: </t>
  </si>
  <si>
    <t>Thành tiền (Kíp)</t>
  </si>
  <si>
    <t>Cán bộ quản lý, phục vụ</t>
  </si>
  <si>
    <t>Bảo vệ</t>
  </si>
  <si>
    <t>Huyện Noong, ngày 31 tháng 12 năm 2023</t>
  </si>
  <si>
    <t xml:space="preserve">Bộ phận </t>
  </si>
  <si>
    <t>Tạp vụ văn phòng</t>
  </si>
  <si>
    <t>BẢNG TÍNH LƯƠNG ĐỘI/TỔ TRƯỞNG, ĐỘI/TỔ PHÓ THÁNG 12/2023</t>
  </si>
  <si>
    <t>Truy lãnh lương T7 -T12</t>
  </si>
  <si>
    <t>Truy lãnh
 lương T7 -T12</t>
  </si>
  <si>
    <t>Truy lãnh lương tháng</t>
  </si>
  <si>
    <t>Tháng 7</t>
  </si>
  <si>
    <t>Tháng 9</t>
  </si>
  <si>
    <t>Tháng 10</t>
  </si>
  <si>
    <t>Tháng 11</t>
  </si>
  <si>
    <t xml:space="preserve">TỔ KHAI THÁC </t>
  </si>
  <si>
    <t>BẢNG KÊ TRUY LÃNH LƯƠNG  CB.CNV  T7 - T12  NĂM 2023</t>
  </si>
  <si>
    <t>Tháng 8</t>
  </si>
  <si>
    <t>Tháng 12</t>
  </si>
  <si>
    <t xml:space="preserve">           PHÒNG TC-KT</t>
  </si>
  <si>
    <t>Sepon, ngày 03 tháng 01  năm 2024</t>
  </si>
  <si>
    <t>Bằng chữ : Một nghìn ba trăm hai mươi ba Đô la Mỹ</t>
  </si>
  <si>
    <t>TẠP VỤ VĂN PHÒNG</t>
  </si>
  <si>
    <t>Tỷ giá: USD - LAK</t>
  </si>
  <si>
    <t>VND-LAK</t>
  </si>
  <si>
    <t>Số người</t>
  </si>
  <si>
    <t>Tổng 
lương 
(kip)</t>
  </si>
  <si>
    <t xml:space="preserve">BHXH
BHYT
BHTN 10.5%
</t>
  </si>
  <si>
    <t xml:space="preserve">Truy thu BHXH
BHYT
BHTN năm 2020
</t>
  </si>
  <si>
    <t>Tổng 
cộng 
 ( kip)</t>
  </si>
  <si>
    <t xml:space="preserve">Thuế 
TNCN </t>
  </si>
  <si>
    <t>Trích KP Công Đoàn</t>
  </si>
  <si>
    <t>Tổng thu nhập (Kíp)</t>
  </si>
  <si>
    <t>Truy lĩnh lương T7+T8</t>
  </si>
  <si>
    <t>Truy lãnh lương T8 - T12</t>
  </si>
  <si>
    <t>Tổng  lương</t>
  </si>
  <si>
    <t>Quy đổi 
USD-LAK</t>
  </si>
  <si>
    <t>Phụ cấp trách nhiệm</t>
  </si>
  <si>
    <t>BẢO VỆ</t>
  </si>
  <si>
    <t>VƯỜN CÂY KINH DOANH</t>
  </si>
  <si>
    <t>Lương công nhân  khai thác</t>
  </si>
  <si>
    <t>3.1</t>
  </si>
  <si>
    <t xml:space="preserve">TỔNG CỘNG </t>
  </si>
  <si>
    <t>PHÒNG TC- KT</t>
  </si>
  <si>
    <t>PHÒNG TC - HC</t>
  </si>
  <si>
    <t>2..1</t>
  </si>
  <si>
    <t>Tỷ giá Bath qua Kíp</t>
  </si>
  <si>
    <t>Lương (USD)</t>
  </si>
  <si>
    <t>Lương theo bậc</t>
  </si>
  <si>
    <t>Xa nhà</t>
  </si>
  <si>
    <t>Lương sản lượng thực hiện</t>
  </si>
  <si>
    <t>Sepon, ngày 03 tháng 02 năm 2024</t>
  </si>
  <si>
    <t xml:space="preserve">
Lương (USD)</t>
  </si>
  <si>
    <t xml:space="preserve">Xa nhà </t>
  </si>
  <si>
    <t>Lượng thực hiện trong tháng</t>
  </si>
  <si>
    <t>BẢNG THANH TOÁN LƯƠNG CB - CNV THÁNG 01 NĂM 2024</t>
  </si>
  <si>
    <t>Viết bằng chữ: Một nghìn bảy trăm linh bốn  Đô la Mỹ và năm cent</t>
  </si>
  <si>
    <t>BATH-LAK</t>
  </si>
  <si>
    <t>BẢNG KÊ CÁC KHOẢN TRÍCH THEO LƯƠNG THÁNG 01 NĂM 2024</t>
  </si>
  <si>
    <t xml:space="preserve">Số ngày </t>
  </si>
  <si>
    <t>Đơn giá 
( Kíp)</t>
  </si>
  <si>
    <t xml:space="preserve"> Thành tiền
( Kíp)</t>
  </si>
  <si>
    <t>CỘNG</t>
  </si>
  <si>
    <t>PHÒNG TC - KT</t>
  </si>
  <si>
    <t>NĂM</t>
  </si>
  <si>
    <t>THÁNG</t>
  </si>
  <si>
    <t>Mã NV</t>
  </si>
  <si>
    <t xml:space="preserve">                            Ngày/thứ
   Họ và tên</t>
  </si>
  <si>
    <t>NGƯƠI LẬP</t>
  </si>
  <si>
    <t>Hồ  Tiến Đạt</t>
  </si>
  <si>
    <t>Hoàng Tấn Tuận</t>
  </si>
  <si>
    <t>Nguyễn Văn Đông</t>
  </si>
  <si>
    <t>P</t>
  </si>
  <si>
    <t>ngày công đi làm</t>
  </si>
  <si>
    <t>Ngày 
công  đi làm</t>
  </si>
  <si>
    <t>Tổng ngày
công</t>
  </si>
  <si>
    <t>BẢNG CHẤM CÔNG  TIỀN XĂNG</t>
  </si>
  <si>
    <t>Thảo Mi</t>
  </si>
  <si>
    <t>Thảo Đăm</t>
  </si>
  <si>
    <t>VCKD năm 3</t>
  </si>
  <si>
    <t>VCKD năm 9</t>
  </si>
  <si>
    <t>4.1</t>
  </si>
  <si>
    <t>VƯỜN CÂY KTCB</t>
  </si>
  <si>
    <t>Lương thực hiện trong tháng</t>
  </si>
  <si>
    <t>IV</t>
  </si>
  <si>
    <t>Lương công nhân khoán</t>
  </si>
  <si>
    <t>P. TC - HC</t>
  </si>
  <si>
    <t>P.KT -NN</t>
  </si>
  <si>
    <t>P.TC - KT</t>
  </si>
  <si>
    <t>(5)=250*(3)</t>
  </si>
  <si>
    <t>(3)=(2)/(1)*100%</t>
  </si>
  <si>
    <t>Huyện Nong, ngày 03 tháng 04 năm 2024</t>
  </si>
  <si>
    <t>Thảo Phét</t>
  </si>
  <si>
    <t>Thảo Hăm</t>
  </si>
  <si>
    <t>Nàng Đao</t>
  </si>
  <si>
    <t>Thảo Chòi</t>
  </si>
  <si>
    <t>Thảo Hôm</t>
  </si>
  <si>
    <t>Nàng Lam</t>
  </si>
  <si>
    <t>Thảo Khốc</t>
  </si>
  <si>
    <t>Thảo Sợt</t>
  </si>
  <si>
    <t>Thảo Tuỳ</t>
  </si>
  <si>
    <t>Nàng Chay</t>
  </si>
  <si>
    <t>Nàng Nơm</t>
  </si>
  <si>
    <t>Thảo Ây</t>
  </si>
  <si>
    <t>Thảo Âm Thong</t>
  </si>
  <si>
    <t>Thảo Phon Say</t>
  </si>
  <si>
    <t xml:space="preserve">Phụ cấp ngày công </t>
  </si>
  <si>
    <t>Phụ cấp chủ nhật</t>
  </si>
  <si>
    <t>CHĂM SÓC,TRANG BỊ</t>
  </si>
  <si>
    <t>Phần</t>
  </si>
  <si>
    <t>Nàng Hđao</t>
  </si>
  <si>
    <t>Nàng Kiên</t>
  </si>
  <si>
    <t>Thảo Ky Nọi</t>
  </si>
  <si>
    <t>Thảo Hơ Phơ</t>
  </si>
  <si>
    <t>Nàng Ọt</t>
  </si>
  <si>
    <t>Thào Tòng</t>
  </si>
  <si>
    <t>Nàng phon</t>
  </si>
  <si>
    <t>Nàng Pít</t>
  </si>
  <si>
    <t>Thảo Mai</t>
  </si>
  <si>
    <t>2.1</t>
  </si>
  <si>
    <t>3.2</t>
  </si>
  <si>
    <t>Rút, vs máng dẫn mủ</t>
  </si>
  <si>
    <t>Phụ cấp cây non ngày BT</t>
  </si>
  <si>
    <t>Phụ cấp cây non ngày chủ nhật</t>
  </si>
  <si>
    <t>Sepon, ngày 01 tháng 05 năm 2024</t>
  </si>
  <si>
    <t>Kinh Kóc</t>
  </si>
  <si>
    <t>Nàng Nọi</t>
  </si>
  <si>
    <t>Thảo Tưng</t>
  </si>
  <si>
    <t>Phát chồi đại trà</t>
  </si>
  <si>
    <t>bôi kt</t>
  </si>
  <si>
    <t>Say Thong</t>
  </si>
  <si>
    <t>PC</t>
  </si>
  <si>
    <t>K</t>
  </si>
  <si>
    <t>BẢNG THANH TOÁN TIỀN PHỤ CẤP TIỀN XĂNG CB.CNV THÁNG 05 NĂM 2024</t>
  </si>
  <si>
    <t>Bằng chữ: tám trăm nghìn kíp</t>
  </si>
  <si>
    <t xml:space="preserve"> Nàng Ngột</t>
  </si>
  <si>
    <t>Thảo tít</t>
  </si>
  <si>
    <t>Thảo ớt</t>
  </si>
  <si>
    <t>Thảo phắt</t>
  </si>
  <si>
    <t>Thảo út</t>
  </si>
  <si>
    <t>Nàng ăm</t>
  </si>
  <si>
    <t>Thảo Lơ</t>
  </si>
  <si>
    <t>Chức  vụ</t>
  </si>
  <si>
    <t>Hòa Bình - Độc Lập - Dân Chủ -Thống Nhất - Thịnh Vượng</t>
  </si>
  <si>
    <t>-----o0o-----</t>
  </si>
  <si>
    <r>
      <t>Lưu ý</t>
    </r>
    <r>
      <rPr>
        <sz val="10"/>
        <rFont val="Times New Roman"/>
        <family val="1"/>
        <charset val="163"/>
      </rPr>
      <t>:  Các ngày nghỉ phép ( P ) được tính  như ngày làm việc</t>
    </r>
  </si>
  <si>
    <r>
      <t>Quy ước:</t>
    </r>
    <r>
      <rPr>
        <b/>
        <sz val="10"/>
        <rFont val="Times New Roman"/>
        <family val="1"/>
        <charset val="163"/>
      </rPr>
      <t xml:space="preserve">                        X</t>
    </r>
  </si>
  <si>
    <t xml:space="preserve">     Làm việc</t>
  </si>
  <si>
    <t xml:space="preserve">     Nghỉ phép</t>
  </si>
  <si>
    <t xml:space="preserve">     Nghỉ không phép (hoặc phép không lương) </t>
  </si>
  <si>
    <t>HS</t>
  </si>
  <si>
    <t xml:space="preserve">     Nghỉ khám chữa  bệnh ( 70 % lương hệ số )</t>
  </si>
  <si>
    <t>T</t>
  </si>
  <si>
    <t xml:space="preserve">     Nghĩ tết</t>
  </si>
  <si>
    <t>VN</t>
  </si>
  <si>
    <t xml:space="preserve">    Công tác VN</t>
  </si>
  <si>
    <t>TT</t>
  </si>
  <si>
    <t xml:space="preserve">   Trực tết</t>
  </si>
  <si>
    <t>ĐỘI  SẢN XUẤT SEPON</t>
  </si>
  <si>
    <t>Loại D</t>
  </si>
  <si>
    <t>Phụ cấp Chủ Nhật</t>
  </si>
  <si>
    <t>BẢNG LƯƠNG CÔNG NHÂN  TRỰC TIẾP NGƯỜI LÀO THÁNG 06 NĂM 2024</t>
  </si>
  <si>
    <t>Phạm Đắc Nhân</t>
  </si>
  <si>
    <t>Sepon, ngày 30 tháng 06 năm 2024</t>
  </si>
  <si>
    <t>Hòa bình – Độc lập – Dân chủ - Thống nhất – Thịnh vượng</t>
  </si>
  <si>
    <t>CÔNG TY TNHH CP QUASA GERUCO</t>
  </si>
  <si>
    <t>BIÊN BẢN NGHIỆM THU CHI TIẾT</t>
  </si>
  <si>
    <t>2. Hội đồng nghiệm thu :</t>
  </si>
  <si>
    <t>Tổ trưởng : Tổ 1</t>
  </si>
  <si>
    <t>Chức vụ : CNKT</t>
  </si>
  <si>
    <t xml:space="preserve">  Căn cứ vào các biên bản nghiệm thu hàng ngày (hoặc nhật ký) của nhóm ………………………………………..</t>
  </si>
  <si>
    <t>Đoàn đã tiến hành nghiệm thu hoàn thành các công việc thực hiện trong tháng cụ thể như sau :</t>
  </si>
  <si>
    <t>Ngày Nký/NT hàng ngày</t>
  </si>
  <si>
    <t>Tổng khối lượng</t>
  </si>
  <si>
    <t>ĐG công (kíp/công)</t>
  </si>
  <si>
    <t>Phụ cấp (kíp/công)</t>
  </si>
  <si>
    <t>Thành tiền (kíp)</t>
  </si>
  <si>
    <t>7=5/6</t>
  </si>
  <si>
    <t>10=7*(8+9)</t>
  </si>
  <si>
    <t>phần</t>
  </si>
  <si>
    <r>
      <t>Nhận xét, đánh giá, đề xuất của đoàn</t>
    </r>
    <r>
      <rPr>
        <sz val="12"/>
        <rFont val="Times New Roman"/>
        <family val="1"/>
      </rPr>
      <t>:</t>
    </r>
  </si>
  <si>
    <r>
      <t>1.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1: ……………………………………………</t>
    </r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</si>
  <si>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2: ……………………………………………</t>
    </r>
  </si>
  <si>
    <t xml:space="preserve">                                Đại diện công nhân </t>
  </si>
  <si>
    <t>4.Ông: Thảo Ê</t>
  </si>
  <si>
    <t>Tổ trưởng : Tổ 3</t>
  </si>
  <si>
    <t>Sepon, Ngày 30 tháng 06 năm 2024</t>
  </si>
  <si>
    <t>(Từ ngày 01/07/2024 đến ngày 31/07/2024)</t>
  </si>
  <si>
    <t>(59 người * 4 ngày công * 70.000 kíp/25.000 kíp)</t>
  </si>
  <si>
    <t>(59 người * 27 ngày công * 50.000 kíp/25.000 kíp)</t>
  </si>
  <si>
    <t>Phụ cấp ngày chủ nhật cạo vườn cây non</t>
  </si>
  <si>
    <t>(8 người * 4ngày công * 90.000 kíp/25.000 kíp)</t>
  </si>
  <si>
    <t>Ngày công đi cạo vườn cây non</t>
  </si>
  <si>
    <t>(8 người * 27 ngày công * 70.000 kíp/25.000 kíp)</t>
  </si>
  <si>
    <t>Gắn máng che mưa miệng cạo ngữa</t>
  </si>
  <si>
    <t>Gắn màng phủ chén</t>
  </si>
  <si>
    <t>1.3</t>
  </si>
  <si>
    <t>1.4</t>
  </si>
  <si>
    <t xml:space="preserve">Phát chồi đại trà </t>
  </si>
  <si>
    <t>Ha</t>
  </si>
  <si>
    <t>lô 1D</t>
  </si>
  <si>
    <t>lô 8A</t>
  </si>
  <si>
    <t>Lô 9</t>
  </si>
  <si>
    <t>1.5</t>
  </si>
  <si>
    <t>Bón phân (rãi)</t>
  </si>
  <si>
    <t>1D</t>
  </si>
  <si>
    <t>8A</t>
  </si>
  <si>
    <t>Đơn</t>
  </si>
  <si>
    <t>1E</t>
  </si>
  <si>
    <t>9A</t>
  </si>
  <si>
    <t>11A</t>
  </si>
  <si>
    <t>1.6</t>
  </si>
  <si>
    <t>Trộn phân đơn</t>
  </si>
  <si>
    <t>Phun thuốc diệt cỏ</t>
  </si>
  <si>
    <t>2.2</t>
  </si>
  <si>
    <t>2.3</t>
  </si>
  <si>
    <t>2.4</t>
  </si>
  <si>
    <t>2.5</t>
  </si>
  <si>
    <t>2.6</t>
  </si>
  <si>
    <t xml:space="preserve">Lô 8 </t>
  </si>
  <si>
    <t>bón phân</t>
  </si>
  <si>
    <t>2.7</t>
  </si>
  <si>
    <t>1C</t>
  </si>
  <si>
    <t>9C</t>
  </si>
  <si>
    <t>NPK</t>
  </si>
  <si>
    <t>7D</t>
  </si>
  <si>
    <t>2.8</t>
  </si>
  <si>
    <t>2.9</t>
  </si>
  <si>
    <t>3.3</t>
  </si>
  <si>
    <t>Gắn máng che mưa miệng cạo úp</t>
  </si>
  <si>
    <t>3.4</t>
  </si>
  <si>
    <t>3.5</t>
  </si>
  <si>
    <t>3.6</t>
  </si>
  <si>
    <t>Lô 10</t>
  </si>
  <si>
    <t>2B</t>
  </si>
  <si>
    <t>3B</t>
  </si>
  <si>
    <t>7C</t>
  </si>
  <si>
    <t>N1</t>
  </si>
  <si>
    <t>N4</t>
  </si>
  <si>
    <t>N2</t>
  </si>
  <si>
    <t>N5</t>
  </si>
  <si>
    <t>N3</t>
  </si>
  <si>
    <t>N6</t>
  </si>
  <si>
    <t>N8</t>
  </si>
  <si>
    <t>N7</t>
  </si>
  <si>
    <t>lô 2A</t>
  </si>
  <si>
    <t>4.2</t>
  </si>
  <si>
    <t>4.3</t>
  </si>
  <si>
    <t>1A</t>
  </si>
  <si>
    <t>5C</t>
  </si>
  <si>
    <t>1B</t>
  </si>
  <si>
    <t>5B</t>
  </si>
  <si>
    <t>CÔNG VIỆC KHÁC</t>
  </si>
  <si>
    <t>Phụ cấp vùng khó khăn</t>
  </si>
  <si>
    <t>Xếp loại kỹ thuật D (đơn giá chuẩn)</t>
  </si>
  <si>
    <t>Tiền lương chăm sóc vườn cây</t>
  </si>
  <si>
    <t>ĐỘI TRƯỞNG ĐỘI SEPON</t>
  </si>
  <si>
    <t>ĐỘI SÁN XUẤT SEPON</t>
  </si>
  <si>
    <t>PHIẾU KIỂM TRA QUY TRÌNH KỸ THUẬT CẠO NGỬA VỎ NGUYÊN SINH THÁNG 06 NĂM 2024</t>
  </si>
  <si>
    <t>Họ và tên/số phần
cây công nhân</t>
  </si>
  <si>
    <t>Tổng xếp hạng KT ngày ......tháng.......năm 2024</t>
  </si>
  <si>
    <t>Phòng KT-NN</t>
  </si>
  <si>
    <t>Đội trưởng đội Sepon</t>
  </si>
  <si>
    <t>Tổ Trưởng</t>
  </si>
  <si>
    <t>A +</t>
  </si>
  <si>
    <t>PHIẾU KIỂM TRA QUY TRÌNH KỸ THUẬT MIỆNG CẠO ÚP THÁNG......NĂM 2024</t>
  </si>
  <si>
    <t>Sepon, ngày      tháng       năm 2024</t>
  </si>
  <si>
    <t>PHIẾU KIỂM TRA QUY TRÌNH KỸ THUẬT CẠO NGỬA VỎ NGUYÊN SINH THÁNG ….. NĂM 2024</t>
  </si>
  <si>
    <t>Sepon, ngày... Tháng ... năm 2024</t>
  </si>
  <si>
    <t xml:space="preserve">  PHÒNG KT - NN</t>
  </si>
  <si>
    <t>cn1: đi cạo ngày chủ nhật vc năm 1</t>
  </si>
  <si>
    <t>x: ngày đi cạo</t>
  </si>
  <si>
    <t>cn: đi cạo ngày chủ nhật</t>
  </si>
  <si>
    <t>x1: ngày đi cạo bình thường vc năm 1</t>
  </si>
  <si>
    <t>I. Mủ Tạp</t>
  </si>
  <si>
    <t>Tổng mủ tạp</t>
  </si>
  <si>
    <t>II. Mủ Dây</t>
  </si>
  <si>
    <t>Tổng mủ dây</t>
  </si>
  <si>
    <t>Tổng mủ Tạp:</t>
  </si>
  <si>
    <t>kg</t>
  </si>
  <si>
    <t>DRC:</t>
  </si>
  <si>
    <t>%</t>
  </si>
  <si>
    <t>Tổng mủ dây:</t>
  </si>
  <si>
    <t>Quy khô:</t>
  </si>
  <si>
    <t>PHÒNG KT-NN</t>
  </si>
  <si>
    <t xml:space="preserve">TỔ </t>
  </si>
  <si>
    <t>(Bằng chữ: Một trăm lẻ hai triệu năm trăm lẻ tám nghìn tám trăm ba chín kíp)</t>
  </si>
  <si>
    <t>(Bằng chữ: Tám bốn triệu một trăm hai mươi nghìn tám trăm tám mốt kíp)</t>
  </si>
  <si>
    <t>(Bằng chữ: Hai mươi bảy triệu tám trăm năm chín nghìn chín trăm bảy lăm kíp)</t>
  </si>
  <si>
    <t>(Bằng chữ: Hai trăm hai bốn triệu một trăm tám chín nghìn sáu trăm chín lăm nghìn)</t>
  </si>
  <si>
    <t>Thảo Ê</t>
  </si>
  <si>
    <t xml:space="preserve">CNK </t>
  </si>
  <si>
    <t>Thảo e</t>
  </si>
  <si>
    <t>Tiền lương kinh doanh</t>
  </si>
  <si>
    <t>Tiền lương công nhân trực tiếp</t>
  </si>
  <si>
    <t>Lương chăm sóc (25.000 kíp/công)</t>
  </si>
  <si>
    <t>PHÒNG. KTNN</t>
  </si>
  <si>
    <t>Xếp hạng kỹ thuật</t>
  </si>
  <si>
    <t>HẠNG KỸ THUẬT</t>
  </si>
  <si>
    <t>SẢN LƯỢNG MỦ TẠP (kg)</t>
  </si>
  <si>
    <t>Mủ tạp (kg)</t>
  </si>
  <si>
    <t xml:space="preserve">Mủ tạp
 quy
khô (kg)
</t>
  </si>
  <si>
    <t>Phụ cấp ngày công 
vườn cây năm nhất</t>
  </si>
  <si>
    <t>Phụ cấp chủ nhật
vườn cây năm nhất</t>
  </si>
  <si>
    <t>Tiền lương còn lại</t>
  </si>
  <si>
    <t>BẢNG LƯƠNG CÔNG NHÂN  KHAI THÁC  THÁNG 06 NĂM 2024</t>
  </si>
  <si>
    <t>ĐVT: kíp</t>
  </si>
  <si>
    <t>Tổng tiền lương còn lại</t>
  </si>
  <si>
    <t>Ký tên</t>
  </si>
  <si>
    <t>NGÀY</t>
  </si>
  <si>
    <t>Lương chăm sóc (25000kip[/công)</t>
  </si>
  <si>
    <t>Lương chăm sóc (25000kip/công)</t>
  </si>
  <si>
    <t>Lương chăm sóc (25000kip/tháng)</t>
  </si>
  <si>
    <t>(Số tiền bẳng chữ: ba trăm ba sáu triệu tám trăm bốn lăm nghìn chín trăm bốn lăm kíp)</t>
  </si>
  <si>
    <t xml:space="preserve">Tổng 
lương 
</t>
  </si>
  <si>
    <t>----- ooOoo-----</t>
  </si>
  <si>
    <t xml:space="preserve"> Tài xế</t>
  </si>
  <si>
    <t xml:space="preserve">  PHÒNG TC - KT</t>
  </si>
  <si>
    <t xml:space="preserve">       PHÒNG TC - HC</t>
  </si>
  <si>
    <t>Đoàn Văn Nghĩa</t>
  </si>
  <si>
    <t>Đvt: Kip</t>
  </si>
  <si>
    <t>Phụ cấp xăng xe</t>
  </si>
  <si>
    <t>BẢNG TỔNG HỢP CÔNG THỰC HIỆN THÁNG 07 NĂM 2024</t>
  </si>
  <si>
    <t>Sepon, Ngày 31 tháng 07 năm 2024</t>
  </si>
  <si>
    <t>BẢNG TỔNG HỢP SẢN LƯỢNG THÁNG 07 NĂM 2024</t>
  </si>
  <si>
    <t>Đội Sepon, ngày 31 tháng 07 năm 2024</t>
  </si>
  <si>
    <t>BẢNG LƯƠNG CÔNG NHÂN  TRỰC TIẾP NGƯỜI LÀO THÁNG 07 NĂM 2024</t>
  </si>
  <si>
    <t>BẢNG TỔNG HỢP CÔNG CẠO THÁNG 07 NĂM 2024</t>
  </si>
  <si>
    <t>BẢNG CHẤM CÔNG  BẢO VỆ  ĐỘI SX SEPON</t>
  </si>
  <si>
    <t>T Ô Vên</t>
  </si>
  <si>
    <t>Nàng Túc</t>
  </si>
  <si>
    <t>Thảo Say</t>
  </si>
  <si>
    <t>Thảo Cợt</t>
  </si>
  <si>
    <t>Thong La</t>
  </si>
  <si>
    <t>Thảo kok</t>
  </si>
  <si>
    <t>Nàng Chon</t>
  </si>
  <si>
    <t>Mã số nhân viên</t>
  </si>
  <si>
    <t>Tiền lương</t>
  </si>
  <si>
    <r>
      <t>Tổng tiền lương</t>
    </r>
    <r>
      <rPr>
        <sz val="13"/>
        <rFont val="Times New Roman"/>
        <family val="1"/>
      </rPr>
      <t xml:space="preserve">
</t>
    </r>
  </si>
  <si>
    <t>BẢO VỆ VƯỜN CÂY</t>
  </si>
  <si>
    <t>Tổng tiền lương vườn cây kinh doanh (1)</t>
  </si>
  <si>
    <t>Tổng tiền lương bảo vệ vườn cây (2)</t>
  </si>
  <si>
    <t>ịi</t>
  </si>
  <si>
    <t>Tổng cộng (1)+(2)</t>
  </si>
  <si>
    <t>ĐỘI SX SEPON</t>
  </si>
  <si>
    <t>Hai</t>
  </si>
  <si>
    <t>Ba</t>
  </si>
  <si>
    <t>Tư</t>
  </si>
  <si>
    <t>Năm</t>
  </si>
  <si>
    <t>Sáu</t>
  </si>
  <si>
    <t>Bảy</t>
  </si>
  <si>
    <t xml:space="preserve">  Căn cứ vào các biên bản nghiệm thu hàng ngày (hoặc nhật ký) của nhóm Thảo Ê</t>
  </si>
  <si>
    <t>Xã Miệng cạo</t>
  </si>
  <si>
    <t>8=6/7</t>
  </si>
  <si>
    <t>Bón phân</t>
  </si>
  <si>
    <t>Phát dọn vệ sinh khuôn viên đội</t>
  </si>
  <si>
    <t>KẾ HOẠCH  SẢN XUẤT THÁNG 08 NĂM 2024</t>
  </si>
  <si>
    <t>(Từ ngày 01/08/2024 đến ngày 31/08/2024)</t>
  </si>
  <si>
    <t>Danh mục</t>
  </si>
  <si>
    <t>Phát chồi</t>
  </si>
  <si>
    <t>Xịt thuốc</t>
  </si>
  <si>
    <t>Gắn mái</t>
  </si>
  <si>
    <t>gắn màng</t>
  </si>
  <si>
    <t>btkk</t>
  </si>
  <si>
    <t>xã</t>
  </si>
  <si>
    <t>ĐƠN</t>
  </si>
  <si>
    <t>kd</t>
  </si>
  <si>
    <t>ktcb</t>
  </si>
  <si>
    <t>Xả miệng cạo, rong mương, đóng máng úp (miệng mới)</t>
  </si>
  <si>
    <t>4B</t>
  </si>
  <si>
    <t>(4 người * 2.600.000 kip / 25.000 kíp)</t>
  </si>
  <si>
    <t xml:space="preserve">TỔNG CÔNG </t>
  </si>
  <si>
    <t>Sepon, ngày 01 tháng 08 năm  2024</t>
  </si>
  <si>
    <t xml:space="preserve">                    TỔNG GIÁM ĐỐC                 PHÒNG TC-KT                    PHÒNG TC-HC                   PHÒNG KH-XDCB                      PHÒNG KT-NN              </t>
  </si>
  <si>
    <t>BÁO CÁO  SẢN XUẤT THÁNG 07 NĂM 2024</t>
  </si>
  <si>
    <t>Địa điểm và khối lượng thực hiện</t>
  </si>
  <si>
    <t>Xả miệng cạo, rong mương, đóng máng  (miệng cạo mới)</t>
  </si>
  <si>
    <t>BTKK</t>
  </si>
  <si>
    <t>xã cạo</t>
  </si>
  <si>
    <t>xịt thuốc</t>
  </si>
  <si>
    <t>Thành Tiền</t>
  </si>
  <si>
    <t>Xả miệng cạo, rong mương, đóng máng miệng úp (miệng cạo mới)</t>
  </si>
  <si>
    <t>4.4</t>
  </si>
  <si>
    <t>15 công</t>
  </si>
  <si>
    <t>Đào hố phẫu diện</t>
  </si>
  <si>
    <t>1 Hố</t>
  </si>
  <si>
    <t xml:space="preserve">Cắt dọn cây rừng gãy đổ </t>
  </si>
  <si>
    <t>1 cây</t>
  </si>
  <si>
    <t>Sepon, ngày 31 tháng 07 năm  2024</t>
  </si>
  <si>
    <t xml:space="preserve">  TỔNG GIÁM ĐỐC                   PHÒNG TC-KT                     PHÒNG TC-HC                 PHÒNG KH-XDCB                  PHÒNG KT-NN        </t>
  </si>
  <si>
    <t>Kí nhận</t>
  </si>
  <si>
    <t>Tiền lương KTCB</t>
  </si>
  <si>
    <t>Vườn cây 2018</t>
  </si>
  <si>
    <t>Phụ cấp ngày công 
vườn cây non</t>
  </si>
  <si>
    <t>Phụ cấp chủ nhật
vườn cây non</t>
  </si>
  <si>
    <t>t3</t>
  </si>
  <si>
    <t xml:space="preserve">Thành 
tiền
</t>
  </si>
  <si>
    <t>(11)</t>
  </si>
  <si>
    <t>(15)</t>
  </si>
  <si>
    <t xml:space="preserve">Đơn giá </t>
  </si>
  <si>
    <t>Tổng tiền thực nhận</t>
  </si>
  <si>
    <t>Tiền lương tạm ứng theo sản lượng</t>
  </si>
  <si>
    <t>Phụ cấp chủ nhật vườn cây non</t>
  </si>
  <si>
    <t>(14)</t>
  </si>
  <si>
    <t>Đvt: Usd</t>
  </si>
  <si>
    <t>Phụ cấp ngày công thường</t>
  </si>
  <si>
    <t>Phụ cấp ngày công chủ nhật</t>
  </si>
  <si>
    <t>Thảo Pheng</t>
  </si>
  <si>
    <t>Nang Lon</t>
  </si>
  <si>
    <t>Pha Xúc</t>
  </si>
  <si>
    <t>3.Ông:: Hoàng Hữu Huy</t>
  </si>
  <si>
    <t>1. Hôm nay, vào lúc 7 giờ 30 ngày 31 tháng 08 năm 2024. Tại văn phòng Đội sản xuất Sepon. Chúng tôi gồm có</t>
  </si>
  <si>
    <t>Từ 01/08 đến 31/08</t>
  </si>
  <si>
    <t>3.Ông:: Hồ Tất Minh Tâm</t>
  </si>
  <si>
    <t>Phụ trách Tổ 2</t>
  </si>
  <si>
    <t>3.Ông:: Dương Văn Việt</t>
  </si>
  <si>
    <t>Gắn máng chắn mưa</t>
  </si>
  <si>
    <t>miệng ngữa</t>
  </si>
  <si>
    <t>miệng úp</t>
  </si>
  <si>
    <t>Gia cố máng chắn mưa</t>
  </si>
  <si>
    <t>3.Ông: Hoàng Hữu Huy</t>
  </si>
  <si>
    <t>3.Ông: Dương Văn Việt</t>
  </si>
  <si>
    <t>Công sản phẩm</t>
  </si>
  <si>
    <t>PC ngày công đi cạo</t>
  </si>
  <si>
    <t>Sản lượng mủ</t>
  </si>
  <si>
    <t xml:space="preserve">Tạm ứng </t>
  </si>
  <si>
    <t>Tổng trừ:</t>
  </si>
  <si>
    <t xml:space="preserve">Còn lãnh </t>
  </si>
  <si>
    <t>BÁO CÁO  SẢN XUẤT THÁNG 08 NĂM 2024</t>
  </si>
  <si>
    <t>gắn mpc</t>
  </si>
  <si>
    <t>gắn mcm</t>
  </si>
  <si>
    <t>gia cố mcm</t>
  </si>
  <si>
    <t>Bôi thuốc KT</t>
  </si>
  <si>
    <t>Xã cạo</t>
  </si>
  <si>
    <t>diện tích/phần</t>
  </si>
  <si>
    <t>công</t>
  </si>
  <si>
    <t>thành tiền</t>
  </si>
  <si>
    <t>Phụ cấp ngày công đi cạo tổ 3</t>
  </si>
  <si>
    <t>Gia cố máng chắn mưa (miệng úp)</t>
  </si>
  <si>
    <t>2.10</t>
  </si>
  <si>
    <t xml:space="preserve">B </t>
  </si>
  <si>
    <t>Sepon, ngày 31 tháng 08 năm  2024</t>
  </si>
  <si>
    <t xml:space="preserve">                   TỔNG GIÁM ĐỐC                  PHÒNG TC-KT                        PHÒNG TC-HC                PHÒNG KH-XDCB                    PHÒNG KT-NN              </t>
  </si>
  <si>
    <t>KẾ HOẠCH  SẢN XUẤT THÁNG 09 NĂM 2024</t>
  </si>
  <si>
    <t>(Từ ngày 01/09/2024 đến ngày 30/09/2024)</t>
  </si>
  <si>
    <t>(43 người * 4 ngày công * 70.000 kíp/25.000 kíp)</t>
  </si>
  <si>
    <t>Phụ cấp ngày công đi cạo</t>
  </si>
  <si>
    <t>(43 người * 26 ngày công * 50.000 kíp/25.000 kíp)</t>
  </si>
  <si>
    <t>Phụ cấp ngày công đi cạo vườn cây non</t>
  </si>
  <si>
    <t>(8 người * 26 ngày công * 70.000 kíp/25.000 kíp)</t>
  </si>
  <si>
    <t>Phun cỏ</t>
  </si>
  <si>
    <t>gắn mái</t>
  </si>
  <si>
    <t>(16 người * 30 ngày công * 100.000 kíp/25.000 kíp)</t>
  </si>
  <si>
    <t>Phun thuốc diệt cỏ (VC 2018)</t>
  </si>
  <si>
    <t>Phun thuốc diệt cỏ (VC 2017)</t>
  </si>
  <si>
    <t>Phát chồi đại trà (VC 2018)</t>
  </si>
  <si>
    <t>Sepon, ngày 01 tháng 09 năm  2024</t>
  </si>
  <si>
    <t>Hoàng Hữu Huy</t>
  </si>
  <si>
    <t>Hồ Tất Minh Tâm</t>
  </si>
  <si>
    <t>Từ 01/08 đến 31/09</t>
  </si>
  <si>
    <t xml:space="preserve">SẢN LƯỢNG MỦ QUY KHÔ </t>
  </si>
  <si>
    <t>Phụ cấp ngày công tổ 3</t>
  </si>
  <si>
    <t>Từ 01/09 đến 30/09</t>
  </si>
  <si>
    <t>1. Hôm nay, vào lúc 7 giờ 30 ngày 30 tháng 09 năm 2024. Tại văn phòng Đội sản xuất Sepon. Chúng tôi gồm có</t>
  </si>
  <si>
    <t>Sepon, ngày 03 tháng 10 năm 2024</t>
  </si>
  <si>
    <t>Miệng ngữa</t>
  </si>
  <si>
    <t>Miệng úp</t>
  </si>
  <si>
    <t xml:space="preserve"> BẢNG LƯƠNG QUẢN  LÝ VÀ CÔNG NHÂN TRỰC TIẾP NGƯỜI LÀO THÁNG 09 NĂM 2024</t>
  </si>
  <si>
    <t>Kéo xe mắc lầy</t>
  </si>
  <si>
    <t xml:space="preserve">             CÔNG TY TNHH CỔ PHẦN QUASA - GERUCO LÀO</t>
  </si>
  <si>
    <t>Phụ trách Tổ 3</t>
  </si>
  <si>
    <t>BÁO CÁO  SẢN XUẤT THÁNG 09 NĂM 2024</t>
  </si>
  <si>
    <t>bôi thuốc</t>
  </si>
  <si>
    <t>kéo xe</t>
  </si>
  <si>
    <t>tiền</t>
  </si>
  <si>
    <t>Phát chồi đại trà ( VC 2018)</t>
  </si>
  <si>
    <t>48 công/(2 chuyến)</t>
  </si>
  <si>
    <t>Sepon, ngày 30 tháng 09 năm  2024</t>
  </si>
  <si>
    <t>KẾ HOẠCH  SẢN XUẤT THÁNG 10 NĂM 2024</t>
  </si>
  <si>
    <t>(Từ ngày 01/10/2024 đến ngày 31/10/2024)</t>
  </si>
  <si>
    <t>(43 người * 27 ngày công * 50.000 kíp/25.000 kíp)</t>
  </si>
  <si>
    <t>(16 người * 31 ngày công * 100.000 kíp/25.000 kíp)</t>
  </si>
  <si>
    <t>Phun thuốc diệt cỏ( 100% diện tích)</t>
  </si>
  <si>
    <t>KTCB</t>
  </si>
  <si>
    <t>Phun thuốc diệt cỏ( 80% diện tích)</t>
  </si>
  <si>
    <t>Xịt thuốc bao lô</t>
  </si>
  <si>
    <t>Nghiệm thu theo thực tế</t>
  </si>
  <si>
    <t>Phun thuốc diệt cỏ(100% diện tích)</t>
  </si>
  <si>
    <t>Phun thuốc diệt cỏ(80% diện tích)</t>
  </si>
  <si>
    <t>tổ 1</t>
  </si>
  <si>
    <t>tổ 2</t>
  </si>
  <si>
    <t>tổ 3</t>
  </si>
  <si>
    <t>Phun thuốc diệt cỏ(VC 2018)</t>
  </si>
  <si>
    <t>Phun thuốc diệt cỏ(VC 2017)</t>
  </si>
  <si>
    <t>Xử lý cây nghiêng</t>
  </si>
  <si>
    <t>Cây</t>
  </si>
  <si>
    <t xml:space="preserve">Dọn vệ sinh khuôn viên đội </t>
  </si>
  <si>
    <t>BẢNG THANH TOÁN HỔ TRỢ PHỤ CẤP TIỀN LƯƠNG CHO CÔNG NHÂN KHAI THÁC TRONG KỲ LƯƠNG THÁNG 09 NĂM 2024</t>
  </si>
  <si>
    <t>Số ngày công đi làm</t>
  </si>
  <si>
    <t>P. TC - KẾ TOÁN</t>
  </si>
  <si>
    <t>P. TC - HÀNH CHÍNH</t>
  </si>
  <si>
    <t>Sepon, ngày 02 tháng 10 năm 2024</t>
  </si>
  <si>
    <t>Số tiền bằng chữ : Ba mươi mốt triệu bốn trăm nghìn kíp.</t>
  </si>
  <si>
    <t>Số tiền bằng chữ: Năm trăm nghìn kíp.</t>
  </si>
  <si>
    <t>Phụ cấp khó khăn</t>
  </si>
  <si>
    <t xml:space="preserve">Lương phụ cấp khai thác </t>
  </si>
  <si>
    <t>Phụ cấp khai thác</t>
  </si>
  <si>
    <t>TIỀN LƯƠNG GIÁN TIẾP</t>
  </si>
  <si>
    <t>TIỀN LƯƠNG TRỰC TIẾP</t>
  </si>
  <si>
    <t>NVNN</t>
  </si>
  <si>
    <t>Hồ tiến Đạt</t>
  </si>
  <si>
    <t>Thuế</t>
  </si>
  <si>
    <t>Công đoàn</t>
  </si>
  <si>
    <t>Các khoản trừ</t>
  </si>
  <si>
    <t xml:space="preserve">Tỉ giá USD qua Kíp </t>
  </si>
  <si>
    <t xml:space="preserve">Quy đổi kíp </t>
  </si>
  <si>
    <t>tổng trừ</t>
  </si>
  <si>
    <t>usd</t>
  </si>
  <si>
    <t>tổng usd</t>
  </si>
  <si>
    <t>còn lại</t>
  </si>
  <si>
    <t>Thuế TNCN</t>
  </si>
  <si>
    <t>(9)=(7)-(8)</t>
  </si>
  <si>
    <t>Tiền lương tạp vụ</t>
  </si>
  <si>
    <t xml:space="preserve">               TỔNG GIÁM ĐỐC                                       PHÒNG TC - KT                                                       PHÒNG TC - HC                                                     ĐỘI SẢN XUẤT SEPON  </t>
  </si>
  <si>
    <t>phun cỏ</t>
  </si>
  <si>
    <t>bao lô</t>
  </si>
  <si>
    <t>T1</t>
  </si>
  <si>
    <t>T2</t>
  </si>
  <si>
    <t>T3</t>
  </si>
  <si>
    <t>Phò Đắc</t>
  </si>
  <si>
    <t>Thảo Chay</t>
  </si>
  <si>
    <t>Thảo Uột</t>
  </si>
  <si>
    <t>Nàng Phon</t>
  </si>
  <si>
    <t>Nàng Ăm</t>
  </si>
  <si>
    <t>A Mai</t>
  </si>
  <si>
    <t>Thảo Út</t>
  </si>
  <si>
    <t>Thảo Phắt</t>
  </si>
  <si>
    <t>Bua Xay</t>
  </si>
  <si>
    <t xml:space="preserve">Tươi </t>
  </si>
  <si>
    <t>Ang</t>
  </si>
  <si>
    <t>Bun Ma</t>
  </si>
  <si>
    <t>A Pan</t>
  </si>
  <si>
    <t xml:space="preserve">Phút </t>
  </si>
  <si>
    <t>A Băn</t>
  </si>
  <si>
    <t xml:space="preserve">A kẻ </t>
  </si>
  <si>
    <t>A Têm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</si>
  <si>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</si>
  <si>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</si>
  <si>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</si>
  <si>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</si>
  <si>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</si>
  <si>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</si>
  <si>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</si>
  <si>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</si>
  <si>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</si>
  <si>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</si>
  <si>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</si>
  <si>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</si>
  <si>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Hằng</t>
  </si>
  <si>
    <t>Tý</t>
  </si>
  <si>
    <t>Lâm</t>
  </si>
  <si>
    <t>Cợt</t>
  </si>
  <si>
    <t>Cha Nang</t>
  </si>
  <si>
    <t>Khăm Le</t>
  </si>
  <si>
    <t>A Cả</t>
  </si>
  <si>
    <t>A Kết</t>
  </si>
  <si>
    <t>A Ba</t>
  </si>
  <si>
    <t>A Đôn</t>
  </si>
  <si>
    <t>A  Luân</t>
  </si>
  <si>
    <t>Nàng Piêu</t>
  </si>
  <si>
    <t>A Lung</t>
  </si>
  <si>
    <t>Thảo Ợt</t>
  </si>
  <si>
    <t>Nạng Sộn</t>
  </si>
  <si>
    <t>Thảo Tít</t>
  </si>
  <si>
    <t>T. kay kẹo</t>
  </si>
  <si>
    <t>A luỗi</t>
  </si>
  <si>
    <t>Nàng Chan</t>
  </si>
  <si>
    <t>A chang</t>
  </si>
  <si>
    <t>T.Loc</t>
  </si>
  <si>
    <t>Pết</t>
  </si>
  <si>
    <t>Ka Thinh</t>
  </si>
  <si>
    <t>T tin</t>
  </si>
  <si>
    <t>Tục</t>
  </si>
  <si>
    <t>Phai văn</t>
  </si>
  <si>
    <t>A nhom</t>
  </si>
  <si>
    <t>Păn</t>
  </si>
  <si>
    <t>Thui</t>
  </si>
  <si>
    <t>khoai</t>
  </si>
  <si>
    <t>ka te</t>
  </si>
  <si>
    <t>lăm</t>
  </si>
  <si>
    <t>nộc</t>
  </si>
  <si>
    <t>teo</t>
  </si>
  <si>
    <t>kui</t>
  </si>
  <si>
    <t>Két</t>
  </si>
  <si>
    <t>Éch</t>
  </si>
  <si>
    <t>Lơt</t>
  </si>
  <si>
    <t>Ừm</t>
  </si>
  <si>
    <t>Sai Khăm</t>
  </si>
  <si>
    <t>Xút Chay</t>
  </si>
  <si>
    <t>Khăm Đeng</t>
  </si>
  <si>
    <t>sau</t>
  </si>
  <si>
    <t>linh</t>
  </si>
  <si>
    <t>ninh</t>
  </si>
  <si>
    <t>pui</t>
  </si>
  <si>
    <t>Bun Nác</t>
  </si>
  <si>
    <t>Thảo Mút</t>
  </si>
  <si>
    <t>Xăm Phon</t>
  </si>
  <si>
    <t>Nàng Chăn A</t>
  </si>
  <si>
    <t>Phươn</t>
  </si>
  <si>
    <t>Điêu</t>
  </si>
  <si>
    <t>Cha Lon</t>
  </si>
  <si>
    <t>Me Đuông</t>
  </si>
  <si>
    <t>Soi</t>
  </si>
  <si>
    <t>Sắc</t>
  </si>
  <si>
    <t>Thảo La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</si>
  <si>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</si>
  <si>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</si>
  <si>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</si>
  <si>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</si>
  <si>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</si>
  <si>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</si>
  <si>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</si>
  <si>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</si>
  <si>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</si>
  <si>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</si>
  <si>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</si>
  <si>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</si>
  <si>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</si>
  <si>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</si>
  <si>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Thảo Long</t>
  </si>
  <si>
    <t>Thảo Bùa Khăm</t>
  </si>
  <si>
    <t>Thảo Séng</t>
  </si>
  <si>
    <t>A Nha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</si>
  <si>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</si>
  <si>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</si>
  <si>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</si>
  <si>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</si>
  <si>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</si>
  <si>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</si>
  <si>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</si>
  <si>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</si>
  <si>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</si>
  <si>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</si>
  <si>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</si>
  <si>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</si>
  <si>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</si>
  <si>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</si>
  <si>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</si>
  <si>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</si>
  <si>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</si>
  <si>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</si>
  <si>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Pon</t>
  </si>
  <si>
    <t>A Tha</t>
  </si>
  <si>
    <t>Xin Xay</t>
  </si>
  <si>
    <t>Von</t>
  </si>
  <si>
    <t>Tà Mai</t>
  </si>
  <si>
    <t>Thông May</t>
  </si>
  <si>
    <t>Nàng Pa Têng</t>
  </si>
  <si>
    <t>A Seo</t>
  </si>
  <si>
    <t>Thảo Ụ</t>
  </si>
  <si>
    <t>Thảo Vắt</t>
  </si>
  <si>
    <t>Căn Nha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</si>
  <si>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</si>
  <si>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</si>
  <si>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</si>
  <si>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</si>
  <si>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</si>
  <si>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</si>
  <si>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</si>
  <si>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</si>
  <si>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</si>
  <si>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</si>
  <si>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Bun No</t>
  </si>
  <si>
    <t>Kay Thong</t>
  </si>
  <si>
    <t>Mừn</t>
  </si>
  <si>
    <t>A Vun</t>
  </si>
  <si>
    <t>Ta Pa</t>
  </si>
  <si>
    <t>Xôm Phết</t>
  </si>
  <si>
    <t>Ôn</t>
  </si>
  <si>
    <t>Bun Mi</t>
  </si>
  <si>
    <t>Đốt</t>
  </si>
  <si>
    <t>P Lăng</t>
  </si>
  <si>
    <t>A Lay</t>
  </si>
  <si>
    <t>A Lóc</t>
  </si>
  <si>
    <t>Keo</t>
  </si>
  <si>
    <t>Ngân</t>
  </si>
  <si>
    <t>A Tay</t>
  </si>
  <si>
    <t>A Vêu</t>
  </si>
  <si>
    <t>A Long</t>
  </si>
  <si>
    <t>Tà Khơ</t>
  </si>
  <si>
    <t>Phò Xưa</t>
  </si>
  <si>
    <t>Tim</t>
  </si>
  <si>
    <t>BẢNG PHÂN TOÁN TIỀN LƯƠNG THÁNG 10 NĂM 2024</t>
  </si>
  <si>
    <t>Từ ngày 01/10/2024 đến ngày 31/10/2024</t>
  </si>
  <si>
    <t>Sepon, Ngày 02 tháng 11 năm 2024</t>
  </si>
  <si>
    <t>Sepon, ngày 31 tháng 10 năm 2024</t>
  </si>
  <si>
    <t>Sepon, ngày 02 tháng 11 năm 2024</t>
  </si>
  <si>
    <t>Từ 01/10 đến 31/10</t>
  </si>
  <si>
    <t>Giật cành cây nghiêng</t>
  </si>
  <si>
    <t>Mủ tạp quy khô (DRC 40%)</t>
  </si>
  <si>
    <t>Hạng kỹ thuật</t>
  </si>
  <si>
    <t>Quy khô (40%)</t>
  </si>
  <si>
    <t>Số tiền bằng chữ: Bốn triệu bảy trăm hai mươi nghìn chín trăm năm mươi tư kíp.</t>
  </si>
  <si>
    <t>BẢNG THEO DÕI SẢN LƯỢNG MỦ THÁNG 10 NĂM 2024 TẠM TÍNH DRC 40%</t>
  </si>
  <si>
    <t>t1</t>
  </si>
  <si>
    <t>t2</t>
  </si>
  <si>
    <t>Số tiền bằng chữ: Năm trăm bốn mươi bảy triệu một trăm tám mươi lăm nghìn tám trăm năm mươi tám kíp.</t>
  </si>
  <si>
    <t>BẢNG TẠM ỨNG LƯƠNG KHAI THÁC TỔ 3 THÁNG 10 NĂM 2024 (DRC TẠM TÍNH )</t>
  </si>
  <si>
    <t>----- o0o-----</t>
  </si>
  <si>
    <t>Đơn giá (kíp)</t>
  </si>
  <si>
    <t>Chi phí tiếp khách</t>
  </si>
  <si>
    <t>Công việc khác</t>
  </si>
  <si>
    <t>Tiền hỗ trợ xe biển số 2421</t>
  </si>
  <si>
    <t>SỐ CN TRONG BẢN</t>
  </si>
  <si>
    <t>Hòa Bình -Độc Lập  - Dân Chủ - Thống Nhất - Thịnh Vượng</t>
  </si>
  <si>
    <t>THUẾ TNCN</t>
  </si>
  <si>
    <t>tim</t>
  </si>
  <si>
    <t>Phò Văn</t>
  </si>
  <si>
    <t>Lắt</t>
  </si>
  <si>
    <t>T.Lệ</t>
  </si>
  <si>
    <t>N.Việt</t>
  </si>
  <si>
    <t>T.Tư</t>
  </si>
  <si>
    <t>1. Hôm nay, vào lúc 7 giờ 30 ngày 30 tháng 11 năm 2024. Tại văn phòng Đội sản xuất Sepon. Chúng tôi gồm có</t>
  </si>
  <si>
    <t>Từ 01/11 đến 30/11</t>
  </si>
  <si>
    <t>Viết bằng chữ: Ba triệu bảy trăm năm mươi nghìn kíp.</t>
  </si>
  <si>
    <t>Sepon, ngày 30 tháng 11 năm 2024</t>
  </si>
  <si>
    <t xml:space="preserve">thiếu </t>
  </si>
  <si>
    <t>k bôi</t>
  </si>
  <si>
    <t>Thảo khên</t>
  </si>
  <si>
    <t>Thảo khon</t>
  </si>
  <si>
    <t>Ngày 
chủ nhật ( CN)</t>
  </si>
  <si>
    <t>Phụ cấp ngày công 
vườn cây năm nhất (X1)</t>
  </si>
  <si>
    <t>Phụ cấp chủ nhật
vườn cây năm nhất (CN1)</t>
  </si>
  <si>
    <t>BẢNG THEO DÕI SẢN LƯỢNG MỦ THÁNG 10 NĂM 2024</t>
  </si>
  <si>
    <t xml:space="preserve">Quy khô </t>
  </si>
  <si>
    <t>Phụ cấp Trưởng bản</t>
  </si>
  <si>
    <t>Tiền lương tháng 10</t>
  </si>
  <si>
    <r>
      <t>Tổng tiền lương</t>
    </r>
    <r>
      <rPr>
        <sz val="12"/>
        <rFont val="Times New Roman"/>
        <family val="1"/>
      </rPr>
      <t xml:space="preserve">
</t>
    </r>
  </si>
  <si>
    <t>Thảo Văng</t>
  </si>
  <si>
    <t>Xay Thoong</t>
  </si>
  <si>
    <t>Xi</t>
  </si>
  <si>
    <t>Nhon</t>
  </si>
  <si>
    <t>Nàng Bát</t>
  </si>
  <si>
    <t>Dộc</t>
  </si>
  <si>
    <t>Thảo Ki</t>
  </si>
  <si>
    <t>Khăm A</t>
  </si>
  <si>
    <t>Ô</t>
  </si>
  <si>
    <t>Nui</t>
  </si>
  <si>
    <t>T. Chẹck</t>
  </si>
  <si>
    <t>N.cuối</t>
  </si>
  <si>
    <t>Sôm Đi</t>
  </si>
  <si>
    <t>Tiêm Thong</t>
  </si>
  <si>
    <t>Bun Nát</t>
  </si>
  <si>
    <t>Khăm Sung</t>
  </si>
  <si>
    <t>A Phăn</t>
  </si>
  <si>
    <t>Thong Chăn</t>
  </si>
  <si>
    <t>N.bich</t>
  </si>
  <si>
    <t>N.Em</t>
  </si>
  <si>
    <t>A.sụm</t>
  </si>
  <si>
    <t>Kan</t>
  </si>
  <si>
    <t>Phò A Khăm</t>
  </si>
  <si>
    <t>N. Văn ta</t>
  </si>
  <si>
    <t>N Nang</t>
  </si>
  <si>
    <t>T.Cớt</t>
  </si>
  <si>
    <t>Lọi</t>
  </si>
  <si>
    <t>Nút</t>
  </si>
  <si>
    <t>Sôm Phết</t>
  </si>
  <si>
    <t>Khăm Hăc</t>
  </si>
  <si>
    <t>Thiên</t>
  </si>
  <si>
    <t>Tọi</t>
  </si>
  <si>
    <t>lô</t>
  </si>
  <si>
    <t>phai sục</t>
  </si>
  <si>
    <t>pa tha nạ</t>
  </si>
  <si>
    <t>khăm lạ</t>
  </si>
  <si>
    <t>a nhi</t>
  </si>
  <si>
    <t>thăn va</t>
  </si>
  <si>
    <t>bua khăm</t>
  </si>
  <si>
    <t>miu</t>
  </si>
  <si>
    <t>Lăm Phon</t>
  </si>
  <si>
    <t>Pò Vy</t>
  </si>
  <si>
    <t>Lay Viêng</t>
  </si>
  <si>
    <t>Nọi</t>
  </si>
  <si>
    <t>Thỉa</t>
  </si>
  <si>
    <t>Nang Nọi</t>
  </si>
  <si>
    <t>Khăm nọi</t>
  </si>
  <si>
    <t>Lit</t>
  </si>
  <si>
    <t>Lăng A</t>
  </si>
  <si>
    <t>Tà</t>
  </si>
  <si>
    <t>Man</t>
  </si>
  <si>
    <t>Đăm (3)</t>
  </si>
  <si>
    <t>Ten</t>
  </si>
  <si>
    <t>Muôi</t>
  </si>
  <si>
    <t>Xi No (3)</t>
  </si>
  <si>
    <t>Ót</t>
  </si>
  <si>
    <t>Tha Mon Ta</t>
  </si>
  <si>
    <t>Tom</t>
  </si>
  <si>
    <t>Đen</t>
  </si>
  <si>
    <t>Nít</t>
  </si>
  <si>
    <t>Ka Te</t>
  </si>
  <si>
    <t>Son (3)</t>
  </si>
  <si>
    <t>In Đia</t>
  </si>
  <si>
    <t>Nàng Son</t>
  </si>
  <si>
    <t>Cong</t>
  </si>
  <si>
    <t>Khăm B</t>
  </si>
  <si>
    <t>Phum Hom</t>
  </si>
  <si>
    <t>Nàng Ta</t>
  </si>
  <si>
    <t>Lên</t>
  </si>
  <si>
    <t>Méo</t>
  </si>
  <si>
    <t>Thảo Ký</t>
  </si>
  <si>
    <t>Sét</t>
  </si>
  <si>
    <t>S Ting</t>
  </si>
  <si>
    <t>Thảo Sone</t>
  </si>
  <si>
    <t>Khăm Bun</t>
  </si>
  <si>
    <t>Nang Py</t>
  </si>
  <si>
    <t>Nang Ny</t>
  </si>
  <si>
    <t>Thảo Pha</t>
  </si>
  <si>
    <t>Khăn Ma</t>
  </si>
  <si>
    <t>Ki koi</t>
  </si>
  <si>
    <t>Laăm phone</t>
  </si>
  <si>
    <t>Nạ</t>
  </si>
  <si>
    <t>Lạn</t>
  </si>
  <si>
    <t>Pui</t>
  </si>
  <si>
    <t>Nộc</t>
  </si>
  <si>
    <t>Phăn</t>
  </si>
  <si>
    <t>Pany</t>
  </si>
  <si>
    <t>Lui</t>
  </si>
  <si>
    <t>Sepon, ngày 02 tháng 01 năm 2025</t>
  </si>
  <si>
    <t>BẢNG ĐỀ NGHỊ THANH TOÁN TIỀN HỖ TRỢ CHO TRƯỞNG BẢN THÁNG 12 NĂM 2024</t>
  </si>
  <si>
    <t>THÁNG 12</t>
  </si>
  <si>
    <t>ĐVT : Kíp</t>
  </si>
  <si>
    <t>Tên Công nhân</t>
  </si>
  <si>
    <t>Chức Vụ</t>
  </si>
  <si>
    <t xml:space="preserve">    NGƯỜI LẬP BIỂU</t>
  </si>
  <si>
    <t>Hồ Văn Tăng</t>
  </si>
  <si>
    <t>Hồ Văn Khoa</t>
  </si>
  <si>
    <t>Hồ Xa My</t>
  </si>
  <si>
    <t>Ủi bao lô + ủi cục bộ</t>
  </si>
  <si>
    <t>Tỉ lệ % theo hạng kỹ thuật</t>
  </si>
  <si>
    <t>BẢNG CHẤM CÔNG CB-CNV</t>
  </si>
  <si>
    <t>CHĂM SÓC, TRANG BỊ</t>
  </si>
  <si>
    <t>Bằng chữ: Một triệu bảy trăm nghìn kíp.</t>
  </si>
  <si>
    <t>Khăm khay</t>
  </si>
  <si>
    <t>Xay Not</t>
  </si>
  <si>
    <t>Ket</t>
  </si>
  <si>
    <t>Lin</t>
  </si>
  <si>
    <t>N. Không</t>
  </si>
  <si>
    <t xml:space="preserve">Nang On Teng </t>
  </si>
  <si>
    <t>T. Đôn Ma</t>
  </si>
  <si>
    <t>T Nôn</t>
  </si>
  <si>
    <t>Thảo Xi</t>
  </si>
  <si>
    <t>Thảo Cu Đê</t>
  </si>
  <si>
    <t>Thảo Đin</t>
  </si>
  <si>
    <t>Thảo Pong</t>
  </si>
  <si>
    <t>Thảo Bay</t>
  </si>
  <si>
    <t>(16)=(4)+(8)+(15)</t>
  </si>
  <si>
    <t>Bảo vệ thời vụ</t>
  </si>
  <si>
    <t>Bảo vệ chính</t>
  </si>
  <si>
    <t>Bảo vệ chính</t>
  </si>
  <si>
    <t>Bảo vệ thời vụ</t>
  </si>
  <si>
    <t>p</t>
  </si>
  <si>
    <t>BẢNG CHẤM CÔNG XĂNG XE CB-CNV</t>
  </si>
  <si>
    <t>Ngày nghỉ phép</t>
  </si>
  <si>
    <t>CỘNG HOÀ DÂN CHỦ NHÂN DÂN LÀO</t>
  </si>
  <si>
    <t>Hoà bình - Độc lập - Dân chủ - Thống nhất - Thịnh vượng</t>
  </si>
  <si>
    <t>----oOo----</t>
  </si>
  <si>
    <t>Mã nhân viên</t>
  </si>
  <si>
    <t>Ghi
chú</t>
  </si>
  <si>
    <t>Phụ 
cấp</t>
  </si>
  <si>
    <t>Tổ trưởng tổ 3</t>
  </si>
  <si>
    <t>Tổ trưởng tổ 1</t>
  </si>
  <si>
    <t>Phụ cấp xăng xe CB.CNV</t>
  </si>
  <si>
    <t>TỔNG GIÁM ĐỐC                      P. TC - KT                              P. TC - HC                                 ĐỘI TRƯỞNG</t>
  </si>
  <si>
    <t>Sepon, ngày 03 tháng 03 năm 2025</t>
  </si>
  <si>
    <t>BẢNG THANH TOÁN TIỀN PHỤ CẤP  THÁNG 02 NĂM 2025</t>
  </si>
  <si>
    <t>BẢNG LƯƠNG CÔNG NHÂN TRỰC TIẾP THÁNG 02 NĂM 2025</t>
  </si>
  <si>
    <t>Ngày 03 tháng 03 năm 2025</t>
  </si>
  <si>
    <t>BẢNG LƯƠNG VƯỜN CÂY KTCB THÁNG 02 NĂM 2025</t>
  </si>
  <si>
    <t>Pong</t>
  </si>
  <si>
    <t>Trưởng CA cụm Bản Đông</t>
  </si>
  <si>
    <t>Trưởng CA cụm Đensavan</t>
  </si>
  <si>
    <t>Bốc vật tư lên xuống xe</t>
  </si>
  <si>
    <t>Số tiền bằng chữ: Bốn triệu năm trăm sáu mươi nghìn kíp.</t>
  </si>
  <si>
    <t>Thảo Bê</t>
  </si>
  <si>
    <t>bv</t>
  </si>
  <si>
    <t>Bảo vệ thời vụ + Phụ cấp ( 10 người )</t>
  </si>
  <si>
    <t>Bốc vật tư xuống xe</t>
  </si>
  <si>
    <t>VCKD năm 1</t>
  </si>
  <si>
    <t>VCKD năm 4</t>
  </si>
  <si>
    <t>Thiết kế miệng cạo ( ngửa )</t>
  </si>
  <si>
    <t>Trang bị vật tư ( dây, kiềng, chén )</t>
  </si>
  <si>
    <t>BV</t>
  </si>
  <si>
    <t>Che mưa</t>
  </si>
  <si>
    <t>VCKD năm 10</t>
  </si>
  <si>
    <t>(10 người * 2.620.000 kip / 25.000 kíp)</t>
  </si>
  <si>
    <t xml:space="preserve">             TỔNG GIÁM ĐỐC                                       PHÒNG TC - KT                                               PHÒNG TC - HC                                              ĐỘI SẢN XUẤT SEPON  </t>
  </si>
  <si>
    <t>Ngày công đi làm</t>
  </si>
  <si>
    <t>Tỷ lệ hoàn thành công việc ( % )</t>
  </si>
  <si>
    <t>Lương tính theo tỷ lệ hoành thành công việc</t>
  </si>
  <si>
    <t>(7) = (4) +(5)+(6)</t>
  </si>
  <si>
    <t>Sản lượng mủ -ປະລິມານນ້ຳຢາງ</t>
  </si>
  <si>
    <t>Phụ cấp -ອຸດໜູນ</t>
  </si>
  <si>
    <t>A Súc</t>
  </si>
  <si>
    <t>A Kai</t>
  </si>
  <si>
    <t>Sút Chay</t>
  </si>
  <si>
    <t>Sơ Mút</t>
  </si>
  <si>
    <t>Số tiền bằng chữ: Bốn trăm sáu mươi lăm triệu năm trăm sáu mươi ba nghìn năm trăm bảy mươi bảy kíp.</t>
  </si>
  <si>
    <t xml:space="preserve">LƯƠNG THÁNG 02/2025 </t>
  </si>
  <si>
    <t>BHXH ( 10,5%)</t>
  </si>
  <si>
    <t xml:space="preserve">Công đoàn </t>
  </si>
  <si>
    <t>Tiền thưởng 3 tháng</t>
  </si>
  <si>
    <t xml:space="preserve">Họ và tên - ຊື່ເຕັມ
</t>
  </si>
  <si>
    <t xml:space="preserve">Công sản xuất -ການຜະລິດ
</t>
  </si>
  <si>
    <t xml:space="preserve">Ngày cạo -ມື້ຂີດ
</t>
  </si>
  <si>
    <t xml:space="preserve">Tạm ứng -ຍືມກ່ອນ
</t>
  </si>
  <si>
    <t xml:space="preserve">Tổng trừ - ລວມຕັດ
</t>
  </si>
  <si>
    <t xml:space="preserve">Còn lãnh - ຍັງເຫລືອ
</t>
  </si>
  <si>
    <t xml:space="preserve">LƯƠNG THÁNG 02/2025  - ເງິນເດືອນ 02/2025
</t>
  </si>
  <si>
    <t>BẢNG CHẤM CÔNG CẠO MỦ HẰNG NGÀY CÔNG NHÂN THÁNG 04 NĂM 2025</t>
  </si>
  <si>
    <t>Mẹ Leo</t>
  </si>
  <si>
    <t>Thảo Phút</t>
  </si>
  <si>
    <t>Thảo Mằn</t>
  </si>
  <si>
    <t>Thảo Sắp</t>
  </si>
  <si>
    <t xml:space="preserve">Thảo Khăm  </t>
  </si>
  <si>
    <t>Nàng Sút Chay</t>
  </si>
  <si>
    <t>Thảo Khăm Phay</t>
  </si>
  <si>
    <t>Thảo Sớm</t>
  </si>
  <si>
    <t>Thảo Chăn</t>
  </si>
  <si>
    <t>Thảo Cum Pha</t>
  </si>
  <si>
    <t>Thảo Tong</t>
  </si>
  <si>
    <t>Thảo Đa Văn</t>
  </si>
  <si>
    <t>X1</t>
  </si>
  <si>
    <t>CN1</t>
  </si>
  <si>
    <t>Thảo Xa Đết</t>
  </si>
  <si>
    <t>Thảo Sột</t>
  </si>
  <si>
    <t>Nàng Phắt</t>
  </si>
  <si>
    <t>Nàng May</t>
  </si>
  <si>
    <t>Thảo Bênh</t>
  </si>
  <si>
    <t>Mẹ Sột</t>
  </si>
  <si>
    <t>Nàng Heo</t>
  </si>
  <si>
    <t>Thảo Chăn Ti</t>
  </si>
  <si>
    <t>Nàng Ve</t>
  </si>
  <si>
    <t>Nàng Phết</t>
  </si>
  <si>
    <t>Thảo On</t>
  </si>
  <si>
    <t>Cha La</t>
  </si>
  <si>
    <t>Nàng Binh</t>
  </si>
  <si>
    <t>Thảo Bun</t>
  </si>
  <si>
    <t>Thảo Nga</t>
  </si>
  <si>
    <t>Thảo Tia</t>
  </si>
  <si>
    <t>Thảo Nuy</t>
  </si>
  <si>
    <t>Thảo Khon</t>
  </si>
  <si>
    <t>Thảo Bắt</t>
  </si>
  <si>
    <t>Thảo Lăm Ma</t>
  </si>
  <si>
    <t>Thảo Đăm Đi</t>
  </si>
  <si>
    <t xml:space="preserve"> Thảo Khên </t>
  </si>
  <si>
    <t xml:space="preserve"> Thảo Đăm </t>
  </si>
  <si>
    <t>Sepon, ngày 01 tháng 05 năm 2025</t>
  </si>
  <si>
    <t>,</t>
  </si>
  <si>
    <t>BẢNG THEO DÕI SẢN LƯỢNG MỦ THÁNG 04 NĂM 2025</t>
  </si>
  <si>
    <t>BẢNG PHÂN TOÁN TIỀN LƯƠNG THÁNG 04 NĂM 2025</t>
  </si>
  <si>
    <t>Từ ngày 01/04/2025 đến ngày 30/04/2025</t>
  </si>
  <si>
    <t>BẢNG TÍNH LƯƠNG TỔ TRƯỞNG THỰC HIỆN TRONG THÁNG 04/2025</t>
  </si>
  <si>
    <t>BẢNG LƯƠNG CÔNG NHÂN TRỰC TIẾP THÁNG 04 NĂM 2025</t>
  </si>
  <si>
    <t>BẢNG LƯƠNG KHAI THÁC THÁNG 04 NĂM 2025</t>
  </si>
  <si>
    <t>Sepon, Ngày 01 tháng 05 năm 2025</t>
  </si>
  <si>
    <t>BẢNG LƯƠNG KHAI THÁC TỔ 1 THÁNG 04 NĂM 2025</t>
  </si>
  <si>
    <t>BẢNG LƯƠNG KHAI THÁC TỔ 2 THÁNG 04 NĂM 2025</t>
  </si>
  <si>
    <t>BẢNG LƯƠNG KHAI THÁC TỔ 3 THÁNG 04 NĂM 2025</t>
  </si>
  <si>
    <t>BẢNG LƯƠNG BẢO VỆ THÁNG 04 NĂM 2025</t>
  </si>
  <si>
    <t>Tháng 04 năm 2025</t>
  </si>
  <si>
    <t>BÁO CÁO SẢN XUẤT THÁNG 04 NĂM 2025</t>
  </si>
  <si>
    <t>(Từ ngày 01/04/2025 đến ngày 30/04/2025)</t>
  </si>
  <si>
    <t xml:space="preserve">II </t>
  </si>
  <si>
    <t>Xả miệng cạo, rong mương, đóng máng</t>
  </si>
  <si>
    <t>5.1</t>
  </si>
  <si>
    <t>5.2</t>
  </si>
  <si>
    <t>xả cạo</t>
  </si>
  <si>
    <t>trang bị</t>
  </si>
  <si>
    <t>thiết kế</t>
  </si>
  <si>
    <t>(10 người * 2.600.000 kip / 25.000 kíp)</t>
  </si>
  <si>
    <t>cv khác</t>
  </si>
  <si>
    <t>30 thùng keo gắn máng , 25.828 chén nhựa hứng mủ, 6 cân đồng hồ , 6 sọt sắt cân mủ , ……</t>
  </si>
  <si>
    <t xml:space="preserve">Chặt cây háp lá </t>
  </si>
  <si>
    <t>Lô 9: 157 cây; Lô 5B: 96 cây; Lô 2B: 76 cây; Lô 2A: 43 cây; Lô 4B: 24 cây; Lô N6: 173 cây; Lô N8: 40 cây----Tổng 609 cây</t>
  </si>
  <si>
    <t>Sepon, ngày 30 tháng 04 năm  2025</t>
  </si>
  <si>
    <t xml:space="preserve">ĐỘI TRƯỞNG </t>
  </si>
  <si>
    <t xml:space="preserve">      TỔNG GIÁM ĐỐC                       PHÒNG TC-KT                         PHÒNG TC-HC                     PHÒNG KH-XDCB                       PHÒNG KT-NN             </t>
  </si>
  <si>
    <t>ĐỘI 9</t>
  </si>
  <si>
    <t>KẾ HOẠCH SẢN XUẤT THÁNG 05 NĂM 2025</t>
  </si>
  <si>
    <t>(Từ ngày 01/05/2025 đến ngày 31/05/2025)</t>
  </si>
  <si>
    <t>(51 người * 4 ngày công * 70.000 kíp/25.000 kíp)</t>
  </si>
  <si>
    <t>(51 người * 27 ngày công * 50.000 kíp/25.000 kíp)</t>
  </si>
  <si>
    <t>(5 người * 4 ngày công * 90.000 kíp/25.000 kíp)</t>
  </si>
  <si>
    <t>(5 người * 27 ngày công * 70.000 kíp/25.000 kíp)</t>
  </si>
  <si>
    <t>Gắn mái che mưa miệng cạo ngửa</t>
  </si>
  <si>
    <t>Gắn mái che mưa miệng cạo úp</t>
  </si>
  <si>
    <t>4.5</t>
  </si>
  <si>
    <t>Phủ chén</t>
  </si>
  <si>
    <t>5.3</t>
  </si>
  <si>
    <t>Kích thích</t>
  </si>
  <si>
    <t>Cạo mủ</t>
  </si>
  <si>
    <t>5.4</t>
  </si>
  <si>
    <t>5.5</t>
  </si>
  <si>
    <t>5.6</t>
  </si>
  <si>
    <t>THỐNG KÊ - TỔNG HỢP</t>
  </si>
  <si>
    <t xml:space="preserve">               TỔNG GIÁM ĐỐC                            PHÒNG TC-KT                           PHÒNG TC-HC                      PHÒNG KH-XDCB                           PHÒNG KT-NN              </t>
  </si>
  <si>
    <t>Bằng chữ: Ba mươi sáu triệu bốn trăm nghìn kíp.</t>
  </si>
  <si>
    <t>BẢNG LƯƠNG TẠP VỤ THÁNG 04 NĂM 2025</t>
  </si>
  <si>
    <t>DANH SÁCH CBCNV NỘP THUẾ TNCN THÁNG 04/2025</t>
  </si>
  <si>
    <t>Bằng chữ: Hai mươi nghìn kíp.</t>
  </si>
  <si>
    <t>Trần Văn Sơn</t>
  </si>
  <si>
    <t>Đoàn Nhật Nam</t>
  </si>
  <si>
    <t>Souvannasane Lamngeune</t>
  </si>
  <si>
    <t>k</t>
  </si>
  <si>
    <t>Ngày nghỉ không phép</t>
  </si>
  <si>
    <t>PHỤ CẤP XĂNG XE CB.CNV THÁNG 04 NĂM 2025</t>
  </si>
  <si>
    <t>Tổ trưởng tổ 2</t>
  </si>
  <si>
    <t>Tài xế</t>
  </si>
  <si>
    <t>Sepon , ngày 30 tháng 04 năm 2025</t>
  </si>
  <si>
    <t>BẢNG PHÂN HẠNG KỸ THUẬT THÁNG 04 NĂM 2025</t>
  </si>
  <si>
    <t>BẢNG THANH TOÁN TIỀN CÔNG VIỆC KHÁC THÁNG 04 NĂM 2025</t>
  </si>
  <si>
    <t>Thảo Xin</t>
  </si>
  <si>
    <t>Viết bằng chữ: Một triệu bảy trăm năm mươi nghìn kíp.</t>
  </si>
  <si>
    <t>Chặt cây háp lá</t>
  </si>
  <si>
    <t>BẢNG ĐỀ NGHỊ THANH TOÁN TIỀN HỖ TRỢ CHO TRƯỞNG BẢN THÁNG 04 NĂM 2025</t>
  </si>
  <si>
    <t>THÁNG 04</t>
  </si>
  <si>
    <t>BẢNG PHÂN TOÁN TỔNG HỢP CHI PHÍ KHÁC THÁNG 04 NĂM 2025</t>
  </si>
  <si>
    <t>( Từ ngày 01/04/2025 đến ngày 30/04/2025)</t>
  </si>
  <si>
    <t>Tổng tiền quyết toán (Kíp)</t>
  </si>
  <si>
    <t>BẢNG THANH TOÁN TIỀN HỔ TRỢ XE QUẢN LÝ THÁNG 04 NĂM 2025</t>
  </si>
  <si>
    <t>Ngày thường (X)</t>
  </si>
  <si>
    <t>CV khác</t>
  </si>
  <si>
    <t>Bv</t>
  </si>
  <si>
    <t>Xả cạo</t>
  </si>
  <si>
    <t>Thiết kế</t>
  </si>
  <si>
    <t>Huồi Lua</t>
  </si>
  <si>
    <t>Huồi Sán</t>
  </si>
  <si>
    <t>Xi Tha</t>
  </si>
  <si>
    <t>Khâm Phong</t>
  </si>
  <si>
    <t>Seng</t>
  </si>
  <si>
    <t>THÁNG 04,05,06</t>
  </si>
  <si>
    <t>Viết bằng chữ: Bảy triệu chín trăm năm mươi nghìn kíp.</t>
  </si>
  <si>
    <t xml:space="preserve">Thành tiền
</t>
  </si>
  <si>
    <t>Phụ cấp nhận phần cây</t>
  </si>
  <si>
    <t>(16)</t>
  </si>
  <si>
    <t>(17)=(5)+(9)+(16)</t>
  </si>
  <si>
    <t>Phụ cấp tiền nhận phần cây</t>
  </si>
  <si>
    <t>Bằng chữ: Năm mươi ba triệu một trăm tám mươi sáu nghìn sáu trăm hai mươi mốt kíp.</t>
  </si>
  <si>
    <t>(14)=(5)+(9)+(13)</t>
  </si>
  <si>
    <t>CÔNG TY TNHH CP QUASA GERUCO LÀO</t>
  </si>
  <si>
    <t>1. Hôm nay, vào lúc 7 giờ 30 ngày 30 tháng 04 năm 2025. Tại văn phòng Đội sản xuất Sepon. Chúng tôi gồm có</t>
  </si>
  <si>
    <t>3.Ông: Trần Văn Sơn</t>
  </si>
  <si>
    <t>10=8*9</t>
  </si>
  <si>
    <t>Từ 01/04 đến 30/04</t>
  </si>
  <si>
    <t>Thiết kế cạo ngửa</t>
  </si>
  <si>
    <t>3.Ông: Đoàn Nhật Nam</t>
  </si>
  <si>
    <t>Tổ trưởng : Tổ 2</t>
  </si>
  <si>
    <t>Trang bị vật tư ( dây, chén, kiềng</t>
  </si>
  <si>
    <t>Xã Miệng cạo cũ</t>
  </si>
  <si>
    <t>Trang bị vật tư (dây,chén,kiềng )</t>
  </si>
  <si>
    <t>Xã miệng cạo</t>
  </si>
  <si>
    <t>Trang bị vật tư( dây,chén,kiềng</t>
  </si>
  <si>
    <t>t4</t>
  </si>
  <si>
    <t>(Bằng chữ: Bốn triệu bốn trăm bốn mươi nghìn kíp.)</t>
  </si>
  <si>
    <t>Bằng chữ : Hai mươi triệu sáu trăm năm mươi ba nghìn kíp.</t>
  </si>
  <si>
    <t>Thanh toán bù tháng 03</t>
  </si>
  <si>
    <t>Sepon, ngày 03 tháng 05 năm 2025</t>
  </si>
  <si>
    <t>Ngày 03 tháng 05 năm 2025</t>
  </si>
  <si>
    <t>Sepon, Ngày 03 tháng 05 năm 2025</t>
  </si>
  <si>
    <t>Sepon, ngày 03 tháng 05 năm 2025</t>
  </si>
  <si>
    <t>Bằng chữ: Một trăm lẻ chín triệu tám trăm chín mươi bốn nghìn một trăm lẻ ba kíp.</t>
  </si>
  <si>
    <t>Bằng chữ: Năm mươi bốn triệu ba trăm hai mươi hai nghìn chín trăm ba mươi tám kíp.</t>
  </si>
  <si>
    <t>Bằng chữ: Hai trăm mười bảy triệu bốn trăm lẻ ba nghìn sáu trăm sáu mươi hai kíp.</t>
  </si>
  <si>
    <t>Số tiền bằng chữ: Hai trăm năm mươi ba triệu tám trăm lẻ ba nghìn sáu trăm sáu mươi hai kíp.</t>
  </si>
  <si>
    <t>Số tiền bằng chữ: Hai trăm năm mươi lăm triệu năm trăm lẻ ba nghìn sáu trăm sáu mươi hai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</si>
</sst>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&quot;$&quot;#,##0_);[Red]\(&quot;$&quot;#,##0\)"/>
    <numFmt numFmtId="188" formatCode="_(* #,##0_);_(* \(#,##0\);_(* &quot;-&quot;_);_(@_)"/>
    <numFmt numFmtId="189" formatCode="_(* #,##0.00_);_(* \(#,##0.00\);_(* &quot;-&quot;??_);_(@_)"/>
    <numFmt numFmtId="190" formatCode="_-* #,##0.00_-;\-* #,##0.00_-;_-* &quot;-&quot;??_-;_-@_-"/>
    <numFmt numFmtId="191" formatCode="_-* #,##0\ _₫_-;\-* #,##0\ _₫_-;_-* &quot;-&quot;??\ _₫_-;_-@_-"/>
    <numFmt numFmtId="192" formatCode="_(* #,##0_);_(* \(#,##0\);_(* &quot;-&quot;??_);_(@_)"/>
    <numFmt numFmtId="193" formatCode="_(* #,##0.0_);_(* \(#,##0.0\);_(* &quot;-&quot;??_);_(@_)"/>
    <numFmt numFmtId="194" formatCode="_(* #,##0.0_);_(* \(#,##0.0\);_(* &quot;-&quot;?_);_(@_)"/>
    <numFmt numFmtId="195" formatCode="0.0"/>
    <numFmt numFmtId="196" formatCode="dd/mm"/>
    <numFmt numFmtId="197" formatCode="#,##0.0"/>
    <numFmt numFmtId="198" formatCode="0.0000"/>
    <numFmt numFmtId="199" formatCode="#,##0;[Red]#,##0"/>
    <numFmt numFmtId="200" formatCode="_(* #,##0.00_);_(* \(#,##0.00\);_(* &quot;-&quot;_);_(@_)"/>
    <numFmt numFmtId="201" formatCode="_-* #,##0.00\ _₫_-;\-* #,##0.00\ _₫_-;_-* &quot;-&quot;&quot;?&quot;&quot;?&quot;\ _₫_-;_-@_-"/>
    <numFmt numFmtId="202" formatCode="_(* #,##0_);_(* \(#,##0\);_(* &quot;-&quot;&quot;?&quot;&quot;?&quot;_);_(@_)"/>
    <numFmt numFmtId="203" formatCode="_(* #,##0.0_);_(* \(#,##0.0\);_(* &quot;-&quot;&quot;?&quot;&quot;?&quot;_);_(@_)"/>
    <numFmt numFmtId="204" formatCode="_(* #,##0.00_);_(* \(#,##0.00\);_(* &quot;-&quot;&quot;?&quot;&quot;?&quot;_);_(@_)"/>
    <numFmt numFmtId="205" formatCode="0.000"/>
    <numFmt numFmtId="206" formatCode="#,##0.0000"/>
    <numFmt numFmtId="207" formatCode="\$#,##0\ ;\(\$#,##0\)"/>
    <numFmt numFmtId="208" formatCode="&quot;\&quot;#,##0;[Red]&quot;\&quot;&quot;\&quot;\-#,##0"/>
    <numFmt numFmtId="209" formatCode="&quot;\&quot;#,##0.00;[Red]&quot;\&quot;&quot;\&quot;&quot;\&quot;&quot;\&quot;&quot;\&quot;&quot;\&quot;\-#,##0.00"/>
    <numFmt numFmtId="210" formatCode="&quot;\&quot;#,##0.00;[Red]&quot;\&quot;\-#,##0.00"/>
    <numFmt numFmtId="211" formatCode="&quot;\&quot;#,##0;[Red]&quot;\&quot;\-#,##0"/>
    <numFmt numFmtId="212" formatCode="_-* #,##0.0\ _₫_-;\-* #,##0.0\ _₫_-;_-* &quot;-&quot;??\ _₫_-;_-@_-"/>
    <numFmt numFmtId="213" formatCode="#,##0_ ;\-#,##0\ "/>
    <numFmt numFmtId="214" formatCode="_(* #,##0.0000_);_(* \(#,##0.0000\);_(* &quot;-&quot;??_);_(@_)"/>
    <numFmt numFmtId="215" formatCode="#,##0.00000000000"/>
    <numFmt numFmtId="216" formatCode="_(* #,##0.0000000_);_(* \(#,##0.0000000\);_(* &quot;-&quot;??_);_(@_)"/>
    <numFmt numFmtId="217" formatCode="#,##0.000000000"/>
    <numFmt numFmtId="218" formatCode="_-* #,##0\ _₫_-;\-* #,##0\ _₫_-;_-* &quot;-&quot;&quot;?&quot;&quot;?&quot;\ _₫_-;_-@_-"/>
    <numFmt numFmtId="219" formatCode="0_);\(0\)"/>
    <numFmt numFmtId="220" formatCode="_(* #,##0.000_);_(* \(#,##0.000\);_(* &quot;-&quot;_);_(@_)"/>
    <numFmt numFmtId="221" formatCode="0_);[Red]\(0\)"/>
    <numFmt numFmtId="222" formatCode="_(* #,##0.000_);_(* \(#,##0.000\);_(* &quot;-&quot;??_);_(@_)"/>
    <numFmt numFmtId="223" formatCode="0.00_ ;\-0.00\ "/>
    <numFmt numFmtId="224" formatCode="_-* #,##0.0000\ _₫_-;\-* #,##0.0000\ _₫_-;_-* &quot;-&quot;??\ _₫_-;_-@_-"/>
    <numFmt numFmtId="225" formatCode="_-* #,##0_-;\-* #,##0_-;_-* &quot;-&quot;??_-;_-@_-"/>
    <numFmt numFmtId="226" formatCode="_-* #,##0.00\ &quot;₫&quot;_-;\-* #,##0.00\ &quot;₫&quot;_-;_-* &quot;-&quot;&quot;?&quot;&quot;?&quot;\ &quot;₫&quot;_-;_-@_-"/>
    <numFmt numFmtId="227" formatCode="_-* #,##0.0000\ _₫_-;\-* #,##0.0000\ _₫_-;_-* &quot;-&quot;&quot;?&quot;&quot;?&quot;\ _₫_-;_-@_-"/>
    <numFmt numFmtId="228" formatCode="_(* #,##0.000_);_(* \(#,##0.000\);_(* &quot;-&quot;&quot;?&quot;&quot;?&quot;_);_(@_)"/>
    <numFmt numFmtId="229" formatCode="0;[Red]0"/>
    <numFmt numFmtId="230" formatCode="_-* #,##0.00000000\ _₫_-;\-* #,##0.00000000\ _₫_-;_-* &quot;-&quot;??\ _₫_-;_-@_-"/>
    <numFmt numFmtId="231" formatCode="_-* #,##0.00000000000\ _₫_-;\-* #,##0.00000000000\ _₫_-;_-* &quot;-&quot;??\ _₫_-;_-@_-"/>
    <numFmt numFmtId="232" formatCode="#,##0.0;[Red]#,##0.0"/>
    <numFmt numFmtId="233" formatCode="#,##0.00;[Red]#,##0.00"/>
    <numFmt numFmtId="234" formatCode="0.0000000"/>
    <numFmt numFmtId="235" formatCode="0.0000000000000"/>
    <numFmt numFmtId="236" formatCode="#,##0.0_);\(#,##0.0\)"/>
    <numFmt numFmtId="237" formatCode="#,##0.000000"/>
    <numFmt numFmtId="238" formatCode="#,##0.00_ ;\-#,##0.00\ "/>
    <numFmt numFmtId="239" formatCode="0.00_);\(0.00\)"/>
    <numFmt numFmtId="240" formatCode="#,##0.0_ ;\-#,##0.0\ "/>
    <numFmt numFmtId="241" formatCode="#,##0.000;[Red]#,##0.000"/>
    <numFmt numFmtId="242" formatCode="_(* #,##0_);_(* \(#,##0\);_(* &quot;-&quot;???_);_(@_)"/>
    <numFmt numFmtId="243" formatCode="_(* #,##0.000000_);_(* \(#,##0.000000\);_(* &quot;-&quot;??_);_(@_)"/>
    <numFmt numFmtId="244" formatCode="_-* #,##0.000\ _þ_-;\-* #,##0.000\ _þ_-;_-* &quot;-&quot;??\ _þ_-;_-@_-"/>
    <numFmt numFmtId="245" formatCode="_-* #,##0.000\ _₫_-;\-* #,##0.000\ _₫_-;_-* &quot;-&quot;??\ _₫_-;_-@_-"/>
    <numFmt numFmtId="246" formatCode="0.00000"/>
  </numFmts>
  <fonts count="286">
    <font>
      <sz val="11"/>
      <color theme="1"/>
      <name val="Tahoma"/>
      <family val="2"/>
      <charset val="163"/>
      <scheme val="minor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8"/>
      <name val="Saysettha Lao"/>
      <family val="2"/>
    </font>
    <font>
      <sz val="10"/>
      <name val="VNI-Times"/>
    </font>
    <font>
      <b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sz val="16"/>
      <name val="Times New Roman"/>
      <family val="1"/>
    </font>
    <font>
      <b/>
      <i/>
      <sz val="11"/>
      <name val="Times New Roman"/>
      <family val="1"/>
    </font>
    <font>
      <sz val="14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5"/>
      <name val="Times New Roman"/>
      <family val="1"/>
    </font>
    <font>
      <i/>
      <sz val="11"/>
      <name val="Times New Roman"/>
      <family val="1"/>
    </font>
    <font>
      <b/>
      <i/>
      <sz val="10"/>
      <name val="Times New Roman"/>
      <family val="1"/>
    </font>
    <font>
      <i/>
      <sz val="12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Wingdings 3"/>
      <family val="1"/>
      <charset val="2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Saysettha Lao"/>
      <family val="2"/>
    </font>
    <font>
      <sz val="10"/>
      <color indexed="10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color indexed="8"/>
      <name val="Saysettha OT"/>
      <family val="2"/>
    </font>
    <font>
      <b/>
      <sz val="10"/>
      <color indexed="10"/>
      <name val="Times New Roman"/>
      <family val="1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  <charset val="163"/>
    </font>
    <font>
      <sz val="8"/>
      <name val="Calibri"/>
      <family val="2"/>
      <charset val="163"/>
    </font>
    <font>
      <b/>
      <u/>
      <sz val="12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alibri"/>
      <family val="2"/>
      <charset val="163"/>
    </font>
    <font>
      <sz val="10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63"/>
      <name val="Times New Roman"/>
      <family val="1"/>
    </font>
    <font>
      <sz val="8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1"/>
      <color indexed="63"/>
      <name val="Times New Roman"/>
      <family val="1"/>
    </font>
    <font>
      <sz val="10"/>
      <color indexed="10"/>
      <name val="Times New Roman"/>
      <family val="1"/>
    </font>
    <font>
      <sz val="12"/>
      <name val="VNI-Times"/>
    </font>
    <font>
      <sz val="11"/>
      <color indexed="8"/>
      <name val="Saysettha OT"/>
      <family val="2"/>
    </font>
    <font>
      <sz val="11"/>
      <name val="Saysettha OT"/>
      <family val="2"/>
    </font>
    <font>
      <b/>
      <sz val="13"/>
      <name val="Times New Roman"/>
      <family val="1"/>
      <charset val="163"/>
    </font>
    <font>
      <i/>
      <sz val="10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0"/>
      <name val="Arial"/>
      <family val="2"/>
      <charset val="163"/>
    </font>
    <font>
      <sz val="10"/>
      <name val="VNI-Helve-Condense"/>
    </font>
    <font>
      <sz val="11"/>
      <color indexed="8"/>
      <name val="Arial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i/>
      <u/>
      <sz val="12"/>
      <name val="Times New Roman"/>
      <family val="1"/>
    </font>
    <font>
      <b/>
      <u/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3"/>
      <color indexed="8"/>
      <name val="Times New Roman"/>
      <family val="1"/>
      <charset val="163"/>
    </font>
    <font>
      <sz val="13"/>
      <color indexed="8"/>
      <name val="Saysettha Lao"/>
      <family val="2"/>
    </font>
    <font>
      <sz val="12"/>
      <color indexed="63"/>
      <name val="Times New Roman"/>
      <family val="1"/>
    </font>
    <font>
      <b/>
      <i/>
      <sz val="12"/>
      <color indexed="63"/>
      <name val="Times New Roman"/>
      <family val="1"/>
    </font>
    <font>
      <b/>
      <i/>
      <sz val="13"/>
      <color indexed="10"/>
      <name val="Times New Roman"/>
      <family val="1"/>
    </font>
    <font>
      <sz val="13"/>
      <color indexed="10"/>
      <name val="Times New Roman"/>
      <family val="1"/>
    </font>
    <font>
      <sz val="13"/>
      <name val="Times New Roman"/>
      <family val="1"/>
      <charset val="163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3"/>
      <name val="Saysettha OT"/>
      <family val="2"/>
    </font>
    <font>
      <u/>
      <sz val="13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8"/>
      <name val="Times New Roman"/>
      <family val="1"/>
    </font>
    <font>
      <sz val="11"/>
      <color theme="1"/>
      <name val="Tahoma"/>
      <family val="2"/>
      <charset val="163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  <family val="2"/>
      <charset val="163"/>
    </font>
    <font>
      <sz val="12"/>
      <color theme="1"/>
      <name val="Times New Roman"/>
      <family val="1"/>
    </font>
    <font>
      <sz val="11"/>
      <color theme="1"/>
      <name val="Saysettha OT"/>
      <family val="2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theme="1"/>
      <name val="Tahoma"/>
      <family val="2"/>
      <charset val="163"/>
      <scheme val="minor"/>
    </font>
    <font>
      <b/>
      <sz val="12"/>
      <color rgb="FFFF0000"/>
      <name val="Times New Roman"/>
      <family val="1"/>
    </font>
    <font>
      <sz val="12"/>
      <color theme="1"/>
      <name val="Tahoma"/>
      <family val="2"/>
      <charset val="163"/>
      <scheme val="minor"/>
    </font>
    <font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Saysettha OT"/>
      <family val="2"/>
    </font>
    <font>
      <b/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1"/>
      <name val="Times New Roman"/>
      <family val="1"/>
      <charset val="163"/>
    </font>
    <font>
      <sz val="14"/>
      <color theme="1"/>
      <name val="Times New Roman"/>
      <family val="1"/>
    </font>
    <font>
      <b/>
      <i/>
      <sz val="11"/>
      <color rgb="FFFF0000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8"/>
      <name val="Times New Roman"/>
      <family val="1"/>
    </font>
    <font>
      <sz val="14"/>
      <color indexed="10"/>
      <name val="Times New Roman"/>
      <family val="1"/>
    </font>
    <font>
      <b/>
      <sz val="15"/>
      <color indexed="8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0000"/>
      <name val="Times New Roman"/>
      <family val="1"/>
    </font>
    <font>
      <i/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11"/>
      <color theme="1"/>
      <name val="Times New Roman"/>
      <family val="1"/>
      <charset val="163"/>
    </font>
    <font>
      <sz val="14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sz val="8"/>
      <name val="Tahoma"/>
      <family val="2"/>
      <charset val="163"/>
      <scheme val="minor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u/>
      <sz val="13"/>
      <name val="Times New Roman"/>
      <family val="1"/>
    </font>
    <font>
      <sz val="12"/>
      <color indexed="30"/>
      <name val="Times New Roman"/>
      <family val="1"/>
    </font>
    <font>
      <b/>
      <sz val="12"/>
      <color indexed="30"/>
      <name val="Times New Roman"/>
      <family val="1"/>
    </font>
    <font>
      <b/>
      <sz val="14"/>
      <color indexed="63"/>
      <name val="Times New Roman"/>
      <family val="1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1"/>
      <color indexed="63"/>
      <name val="Times New Roman"/>
      <family val="1"/>
    </font>
    <font>
      <b/>
      <sz val="11"/>
      <color theme="0"/>
      <name val="Times New Roman"/>
      <family val="1"/>
    </font>
    <font>
      <i/>
      <sz val="12"/>
      <name val="Times New Roman"/>
      <family val="1"/>
      <charset val="163"/>
    </font>
    <font>
      <u/>
      <sz val="11"/>
      <name val="Times New Roman"/>
      <family val="1"/>
    </font>
    <font>
      <b/>
      <sz val="13"/>
      <color indexed="8"/>
      <name val="Times New Roman"/>
      <family val="1"/>
      <charset val="163"/>
    </font>
    <font>
      <sz val="11"/>
      <color indexed="8"/>
      <name val="Calibri"/>
      <family val="2"/>
    </font>
    <font>
      <i/>
      <sz val="13"/>
      <color indexed="8"/>
      <name val="Times New Roman"/>
      <family val="1"/>
      <charset val="163"/>
    </font>
    <font>
      <sz val="10"/>
      <name val="Arial"/>
      <family val="2"/>
      <charset val="163"/>
    </font>
    <font>
      <sz val="14"/>
      <color rgb="FFFF0000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2"/>
      <name val="Tahoma"/>
      <family val="1"/>
      <charset val="163"/>
      <scheme val="major"/>
    </font>
    <font>
      <sz val="12"/>
      <name val="Tahoma"/>
      <family val="1"/>
      <charset val="163"/>
      <scheme val="major"/>
    </font>
    <font>
      <b/>
      <sz val="12"/>
      <color rgb="FFFF0000"/>
      <name val="Tahoma"/>
      <family val="1"/>
      <charset val="163"/>
      <scheme val="major"/>
    </font>
    <font>
      <b/>
      <sz val="12"/>
      <color theme="1"/>
      <name val="Tahoma"/>
      <family val="1"/>
      <charset val="163"/>
      <scheme val="major"/>
    </font>
    <font>
      <i/>
      <sz val="12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4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0"/>
      <name val="Arial"/>
      <family val="2"/>
    </font>
    <font>
      <sz val="8"/>
      <name val="Arial"/>
      <family val="2"/>
    </font>
    <font>
      <b/>
      <sz val="17"/>
      <name val="Times New Roman"/>
      <family val="1"/>
    </font>
    <font>
      <b/>
      <sz val="8"/>
      <name val="Arial"/>
      <family val="2"/>
    </font>
    <font>
      <u/>
      <sz val="8"/>
      <name val="Times New Roman"/>
      <family val="1"/>
    </font>
    <font>
      <sz val="7"/>
      <name val="Times New Roman"/>
      <family val="1"/>
    </font>
    <font>
      <b/>
      <sz val="9"/>
      <name val="Arial"/>
      <family val="2"/>
    </font>
    <font>
      <b/>
      <sz val="15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b/>
      <i/>
      <sz val="12"/>
      <name val="Tahoma"/>
      <family val="1"/>
      <charset val="163"/>
      <scheme val="major"/>
    </font>
    <font>
      <b/>
      <sz val="13"/>
      <name val="Tahoma"/>
      <family val="1"/>
      <charset val="163"/>
      <scheme val="major"/>
    </font>
    <font>
      <b/>
      <sz val="12"/>
      <name val="Tahoma"/>
      <family val="1"/>
      <scheme val="major"/>
    </font>
    <font>
      <sz val="13"/>
      <name val="Tahoma"/>
      <family val="1"/>
      <charset val="163"/>
      <scheme val="major"/>
    </font>
    <font>
      <sz val="12"/>
      <name val="Tahoma"/>
      <family val="1"/>
      <scheme val="major"/>
    </font>
    <font>
      <b/>
      <sz val="10"/>
      <name val="Tahoma"/>
      <family val="1"/>
      <charset val="163"/>
      <scheme val="major"/>
    </font>
    <font>
      <sz val="12"/>
      <color theme="1"/>
      <name val="Tahoma"/>
      <family val="1"/>
      <charset val="163"/>
      <scheme val="major"/>
    </font>
    <font>
      <i/>
      <sz val="12"/>
      <name val="Tahoma"/>
      <family val="1"/>
      <scheme val="major"/>
    </font>
    <font>
      <b/>
      <sz val="13"/>
      <name val="Wingdings 3"/>
      <family val="1"/>
      <charset val="2"/>
    </font>
    <font>
      <sz val="16"/>
      <name val="Times New Roman"/>
      <family val="1"/>
    </font>
    <font>
      <i/>
      <sz val="13"/>
      <color theme="0"/>
      <name val="Times New Roman"/>
      <family val="1"/>
      <charset val="163"/>
    </font>
    <font>
      <sz val="10"/>
      <color theme="0"/>
      <name val="Times New Roman"/>
      <family val="1"/>
      <charset val="163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3"/>
      <color rgb="FFFF0000"/>
      <name val="Times New Roman"/>
      <family val="1"/>
      <charset val="163"/>
    </font>
    <font>
      <sz val="12"/>
      <color rgb="FFFF0000"/>
      <name val="Tahoma"/>
      <family val="1"/>
      <scheme val="major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3"/>
      <color rgb="FFFF0000"/>
      <name val="Saysettha OT"/>
      <family val="2"/>
    </font>
    <font>
      <sz val="12"/>
      <color rgb="FFFF0000"/>
      <name val="Tahoma"/>
      <family val="1"/>
      <charset val="163"/>
      <scheme val="major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color rgb="FFFF0000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20"/>
      <name val="Times New Roman"/>
      <family val="1"/>
    </font>
    <font>
      <u/>
      <sz val="10"/>
      <name val="Times New Roman"/>
      <family val="1"/>
    </font>
    <font>
      <b/>
      <sz val="11"/>
      <color indexed="63"/>
      <name val="Times New Roman"/>
      <family val="1"/>
      <charset val="163"/>
    </font>
    <font>
      <b/>
      <sz val="12"/>
      <color indexed="63"/>
      <name val="Times New Roman"/>
      <family val="1"/>
    </font>
    <font>
      <sz val="11"/>
      <color theme="0"/>
      <name val="Times New Roman"/>
      <family val="1"/>
    </font>
    <font>
      <b/>
      <sz val="18"/>
      <name val="Times New Roman"/>
      <family val="1"/>
    </font>
    <font>
      <sz val="10"/>
      <color rgb="FFFF0000"/>
      <name val="Tahoma"/>
      <family val="1"/>
      <charset val="163"/>
      <scheme val="major"/>
    </font>
    <font>
      <b/>
      <sz val="10"/>
      <name val="Arial"/>
      <family val="2"/>
      <charset val="163"/>
    </font>
    <font>
      <sz val="10"/>
      <color rgb="FFFF0000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color theme="1"/>
      <name val="Tahoma"/>
      <family val="2"/>
      <charset val="163"/>
      <scheme val="minor"/>
    </font>
    <font>
      <b/>
      <sz val="9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sz val="11"/>
      <color rgb="FFFF0000"/>
      <name val="Tahoma"/>
      <family val="2"/>
      <scheme val="minor"/>
    </font>
    <font>
      <b/>
      <sz val="12"/>
      <name val="Saysettha Lao"/>
      <family val="2"/>
    </font>
    <font>
      <b/>
      <sz val="12"/>
      <name val="Saysettha Lao"/>
      <family val="2"/>
    </font>
    <font>
      <b/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Tahoma"/>
      <family val="2"/>
      <charset val="163"/>
      <scheme val="minor"/>
    </font>
    <font>
      <b/>
      <sz val="14"/>
      <name val="Tahoma"/>
      <family val="1"/>
      <charset val="163"/>
      <scheme val="major"/>
    </font>
    <font>
      <sz val="14"/>
      <name val="Tahoma"/>
      <family val="1"/>
      <charset val="163"/>
      <scheme val="major"/>
    </font>
    <font>
      <b/>
      <sz val="14"/>
      <color rgb="FFFF0000"/>
      <name val="Tahoma"/>
      <family val="1"/>
      <charset val="163"/>
      <scheme val="major"/>
    </font>
    <font>
      <b/>
      <sz val="14"/>
      <color theme="1"/>
      <name val="Tahoma"/>
      <family val="1"/>
      <charset val="163"/>
      <scheme val="major"/>
    </font>
    <font>
      <sz val="14"/>
      <color theme="1"/>
      <name val="Tahoma"/>
      <family val="1"/>
      <charset val="163"/>
      <scheme val="major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color indexed="8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i/>
      <sz val="11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9"/>
      <name val="Times New Roman"/>
      <family val="1"/>
      <charset val="163"/>
    </font>
    <font>
      <b/>
      <sz val="9"/>
      <name val="Times New Roman"/>
      <family val="1"/>
      <charset val="163"/>
    </font>
    <font>
      <sz val="11"/>
      <color rgb="FFFF0000"/>
      <name val="Tahoma"/>
      <family val="2"/>
      <charset val="163"/>
      <scheme val="minor"/>
    </font>
    <font>
      <i/>
      <sz val="14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sz val="14"/>
      <color indexed="63"/>
      <name val="Times New Roman"/>
      <family val="1"/>
    </font>
    <font>
      <sz val="9"/>
      <color rgb="FFFF0000"/>
      <name val="Times New Roman"/>
      <family val="1"/>
    </font>
    <font>
      <b/>
      <i/>
      <sz val="13"/>
      <color indexed="63"/>
      <name val="Times New Roman"/>
      <family val="1"/>
    </font>
    <font>
      <i/>
      <sz val="13"/>
      <color indexed="63"/>
      <name val="Times New Roman"/>
      <family val="1"/>
      <charset val="163"/>
    </font>
    <font>
      <sz val="16"/>
      <color theme="1"/>
      <name val="Times New Roman"/>
      <family val="1"/>
    </font>
    <font>
      <b/>
      <sz val="16"/>
      <color theme="1"/>
      <name val="Times New Roman"/>
      <family val="1"/>
      <charset val="163"/>
    </font>
    <font>
      <sz val="11"/>
      <name val="Calibri"/>
      <family val="2"/>
      <charset val="163"/>
    </font>
    <font>
      <sz val="8"/>
      <color theme="1"/>
      <name val="Times New Roman"/>
      <family val="1"/>
      <charset val="163"/>
    </font>
    <font>
      <sz val="8"/>
      <color rgb="FFFF0000"/>
      <name val="Times New Roman"/>
      <family val="1"/>
      <charset val="163"/>
    </font>
    <font>
      <sz val="8"/>
      <color theme="1"/>
      <name val="Tahoma"/>
      <family val="1"/>
      <scheme val="major"/>
    </font>
    <font>
      <sz val="12"/>
      <color theme="1"/>
      <name val="Tahoma"/>
      <family val="1"/>
      <scheme val="major"/>
    </font>
    <font>
      <sz val="9"/>
      <name val="Tahoma"/>
      <family val="1"/>
      <scheme val="major"/>
    </font>
    <font>
      <sz val="13"/>
      <color rgb="FFFF0000"/>
      <name val="Tahoma"/>
      <family val="1"/>
      <charset val="163"/>
      <scheme val="major"/>
    </font>
    <font>
      <i/>
      <sz val="14"/>
      <name val="Times New Roman"/>
      <family val="1"/>
      <charset val="163"/>
    </font>
    <font>
      <sz val="15"/>
      <name val="Times New Roman"/>
      <family val="1"/>
    </font>
    <font>
      <i/>
      <sz val="13"/>
      <name val="Times New Roman"/>
      <family val="1"/>
      <charset val="163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5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2D050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</borders>
  <cellStyleXfs count="316">
    <xf numFmtId="0" fontId="0" fillId="0" borderId="0"/>
    <xf numFmtId="43" fontId="41" fillId="0" borderId="0" applyFont="0" applyFill="0" applyBorder="0" applyAlignment="0" applyProtection="0"/>
    <xf numFmtId="189" fontId="8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1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3" fillId="0" borderId="0" applyFont="0" applyFill="0" applyBorder="0" applyAlignment="0" applyProtection="0"/>
    <xf numFmtId="189" fontId="83" fillId="0" borderId="0" applyFont="0" applyFill="0" applyBorder="0" applyAlignment="0" applyProtection="0"/>
    <xf numFmtId="189" fontId="82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44" fontId="41" fillId="0" borderId="0" applyFont="0" applyFill="0" applyBorder="0" applyAlignment="0" applyProtection="0"/>
    <xf numFmtId="207" fontId="83" fillId="0" borderId="0" applyFont="0" applyFill="0" applyBorder="0" applyAlignment="0" applyProtection="0"/>
    <xf numFmtId="207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189" fontId="74" fillId="0" borderId="0" applyFont="0" applyFill="0" applyBorder="0" applyAlignment="0" applyProtection="0"/>
    <xf numFmtId="2" fontId="83" fillId="0" borderId="0" applyFont="0" applyFill="0" applyBorder="0" applyAlignment="0" applyProtection="0"/>
    <xf numFmtId="2" fontId="83" fillId="0" borderId="0" applyFont="0" applyFill="0" applyBorder="0" applyAlignment="0" applyProtection="0"/>
    <xf numFmtId="0" fontId="10" fillId="0" borderId="0"/>
    <xf numFmtId="0" fontId="109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0" fillId="0" borderId="0"/>
    <xf numFmtId="0" fontId="110" fillId="0" borderId="0"/>
    <xf numFmtId="0" fontId="41" fillId="0" borderId="0"/>
    <xf numFmtId="3" fontId="8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4" fillId="0" borderId="0"/>
    <xf numFmtId="0" fontId="19" fillId="0" borderId="0"/>
    <xf numFmtId="0" fontId="19" fillId="0" borderId="0"/>
    <xf numFmtId="40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0" fontId="83" fillId="0" borderId="0" applyFont="0" applyFill="0" applyBorder="0" applyAlignment="0" applyProtection="0"/>
    <xf numFmtId="0" fontId="85" fillId="0" borderId="0"/>
    <xf numFmtId="208" fontId="83" fillId="0" borderId="0" applyFont="0" applyFill="0" applyBorder="0" applyAlignment="0" applyProtection="0"/>
    <xf numFmtId="209" fontId="83" fillId="0" borderId="0" applyFont="0" applyFill="0" applyBorder="0" applyAlignment="0" applyProtection="0"/>
    <xf numFmtId="210" fontId="86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87" fillId="0" borderId="0"/>
    <xf numFmtId="9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3" fontId="80" fillId="0" borderId="0"/>
    <xf numFmtId="189" fontId="10" fillId="0" borderId="0" applyFont="0" applyFill="0" applyBorder="0" applyAlignment="0" applyProtection="0"/>
    <xf numFmtId="189" fontId="174" fillId="0" borderId="0" applyFont="0" applyFill="0" applyBorder="0" applyAlignment="0" applyProtection="0"/>
    <xf numFmtId="0" fontId="83" fillId="0" borderId="0"/>
    <xf numFmtId="0" fontId="83" fillId="0" borderId="0"/>
    <xf numFmtId="0" fontId="10" fillId="0" borderId="0"/>
    <xf numFmtId="0" fontId="109" fillId="0" borderId="0"/>
    <xf numFmtId="3" fontId="83" fillId="0" borderId="0"/>
    <xf numFmtId="3" fontId="83" fillId="0" borderId="0"/>
    <xf numFmtId="190" fontId="10" fillId="0" borderId="0" applyFont="0" applyFill="0" applyBorder="0" applyAlignment="0" applyProtection="0"/>
    <xf numFmtId="190" fontId="174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2" fillId="0" borderId="0" applyFont="0" applyFill="0" applyBorder="0" applyAlignment="0" applyProtection="0"/>
    <xf numFmtId="0" fontId="19" fillId="0" borderId="0"/>
    <xf numFmtId="3" fontId="176" fillId="0" borderId="0"/>
    <xf numFmtId="0" fontId="19" fillId="0" borderId="0"/>
    <xf numFmtId="187" fontId="19" fillId="0" borderId="0" applyFont="0" applyFill="0" applyBorder="0" applyAlignment="0" applyProtection="0"/>
    <xf numFmtId="187" fontId="214" fillId="0" borderId="0" applyFont="0" applyFill="0" applyBorder="0" applyAlignment="0" applyProtection="0"/>
    <xf numFmtId="226" fontId="62" fillId="0" borderId="0" applyFont="0" applyFill="0" applyBorder="0" applyAlignment="0" applyProtection="0"/>
    <xf numFmtId="0" fontId="19" fillId="0" borderId="0"/>
    <xf numFmtId="0" fontId="110" fillId="0" borderId="0"/>
    <xf numFmtId="0" fontId="215" fillId="0" borderId="0"/>
    <xf numFmtId="0" fontId="214" fillId="0" borderId="0"/>
    <xf numFmtId="9" fontId="62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62" fillId="0" borderId="0" applyBorder="0">
      <protection locked="0"/>
    </xf>
  </cellStyleXfs>
  <cellXfs count="5040">
    <xf numFmtId="0" fontId="0" fillId="0" borderId="0" xfId="0"/>
    <xf numFmtId="0" fontId="42" fillId="0" borderId="0" xfId="0" applyFont="1"/>
    <xf numFmtId="191" fontId="42" fillId="0" borderId="0" xfId="1" applyNumberFormat="1" applyFont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91" fontId="43" fillId="0" borderId="1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92" fontId="1" fillId="0" borderId="3" xfId="1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43" fontId="3" fillId="0" borderId="6" xfId="1" applyFont="1" applyFill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192" fontId="5" fillId="0" borderId="7" xfId="1" applyNumberFormat="1" applyFont="1" applyFill="1" applyBorder="1"/>
    <xf numFmtId="0" fontId="5" fillId="0" borderId="0" xfId="0" applyFont="1"/>
    <xf numFmtId="43" fontId="6" fillId="0" borderId="6" xfId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6" xfId="0" applyFont="1" applyBorder="1"/>
    <xf numFmtId="0" fontId="3" fillId="0" borderId="6" xfId="0" applyFont="1" applyBorder="1" applyAlignment="1">
      <alignment horizontal="center" vertical="center"/>
    </xf>
    <xf numFmtId="0" fontId="6" fillId="0" borderId="6" xfId="0" applyFont="1" applyBorder="1"/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10" fillId="0" borderId="0" xfId="0" applyFont="1"/>
    <xf numFmtId="0" fontId="8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189" fontId="1" fillId="0" borderId="12" xfId="0" applyNumberFormat="1" applyFont="1" applyBorder="1"/>
    <xf numFmtId="2" fontId="1" fillId="0" borderId="12" xfId="0" applyNumberFormat="1" applyFont="1" applyBorder="1"/>
    <xf numFmtId="192" fontId="1" fillId="0" borderId="13" xfId="0" applyNumberFormat="1" applyFont="1" applyBorder="1"/>
    <xf numFmtId="0" fontId="3" fillId="0" borderId="0" xfId="0" applyFont="1"/>
    <xf numFmtId="191" fontId="1" fillId="0" borderId="0" xfId="0" applyNumberFormat="1" applyFont="1"/>
    <xf numFmtId="0" fontId="42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shrinkToFit="1"/>
    </xf>
    <xf numFmtId="193" fontId="13" fillId="0" borderId="14" xfId="1" applyNumberFormat="1" applyFont="1" applyFill="1" applyBorder="1" applyAlignment="1"/>
    <xf numFmtId="43" fontId="13" fillId="0" borderId="14" xfId="1" applyFont="1" applyFill="1" applyBorder="1" applyAlignment="1"/>
    <xf numFmtId="192" fontId="13" fillId="0" borderId="14" xfId="1" applyNumberFormat="1" applyFont="1" applyFill="1" applyBorder="1" applyAlignment="1"/>
    <xf numFmtId="192" fontId="13" fillId="0" borderId="14" xfId="1" applyNumberFormat="1" applyFont="1" applyFill="1" applyBorder="1"/>
    <xf numFmtId="192" fontId="12" fillId="0" borderId="1" xfId="1" applyNumberFormat="1" applyFont="1" applyFill="1" applyBorder="1" applyAlignment="1">
      <alignment horizontal="center" vertical="center" wrapText="1"/>
    </xf>
    <xf numFmtId="192" fontId="12" fillId="3" borderId="1" xfId="1" applyNumberFormat="1" applyFont="1" applyFill="1" applyBorder="1" applyAlignment="1">
      <alignment horizontal="center" vertical="center" wrapText="1"/>
    </xf>
    <xf numFmtId="193" fontId="12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shrinkToFit="1"/>
    </xf>
    <xf numFmtId="193" fontId="13" fillId="0" borderId="0" xfId="1" applyNumberFormat="1" applyFont="1" applyFill="1"/>
    <xf numFmtId="192" fontId="13" fillId="0" borderId="0" xfId="1" applyNumberFormat="1" applyFont="1" applyFill="1"/>
    <xf numFmtId="192" fontId="8" fillId="0" borderId="0" xfId="0" applyNumberFormat="1" applyFont="1"/>
    <xf numFmtId="192" fontId="13" fillId="0" borderId="0" xfId="0" applyNumberFormat="1" applyFont="1"/>
    <xf numFmtId="192" fontId="15" fillId="0" borderId="0" xfId="1" applyNumberFormat="1" applyFont="1" applyFill="1"/>
    <xf numFmtId="194" fontId="13" fillId="0" borderId="0" xfId="0" applyNumberFormat="1" applyFont="1"/>
    <xf numFmtId="192" fontId="13" fillId="0" borderId="0" xfId="1" applyNumberFormat="1" applyFont="1" applyFill="1" applyAlignment="1">
      <alignment shrinkToFit="1"/>
    </xf>
    <xf numFmtId="193" fontId="15" fillId="0" borderId="0" xfId="1" applyNumberFormat="1" applyFont="1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92" fontId="12" fillId="3" borderId="15" xfId="1" applyNumberFormat="1" applyFont="1" applyFill="1" applyBorder="1" applyAlignment="1">
      <alignment horizontal="center" vertical="center" wrapText="1"/>
    </xf>
    <xf numFmtId="0" fontId="12" fillId="0" borderId="15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193" fontId="12" fillId="0" borderId="1" xfId="1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wrapText="1"/>
    </xf>
    <xf numFmtId="0" fontId="45" fillId="3" borderId="1" xfId="0" applyFont="1" applyFill="1" applyBorder="1" applyAlignment="1">
      <alignment horizontal="center" vertical="center" wrapText="1"/>
    </xf>
    <xf numFmtId="191" fontId="45" fillId="3" borderId="1" xfId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distributed" wrapText="1"/>
    </xf>
    <xf numFmtId="193" fontId="18" fillId="3" borderId="1" xfId="1" applyNumberFormat="1" applyFont="1" applyFill="1" applyBorder="1" applyAlignment="1">
      <alignment horizontal="center" vertical="distributed" wrapText="1"/>
    </xf>
    <xf numFmtId="0" fontId="13" fillId="0" borderId="0" xfId="274" applyFont="1"/>
    <xf numFmtId="0" fontId="11" fillId="0" borderId="0" xfId="274" applyFont="1" applyAlignment="1">
      <alignment horizontal="center"/>
    </xf>
    <xf numFmtId="0" fontId="8" fillId="0" borderId="0" xfId="274" applyFont="1"/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21" fillId="0" borderId="0" xfId="274" applyFont="1" applyAlignment="1">
      <alignment horizontal="center" vertical="center" wrapText="1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16" xfId="274" quotePrefix="1" applyFont="1" applyBorder="1" applyAlignment="1">
      <alignment horizontal="right" vertical="center" wrapText="1"/>
    </xf>
    <xf numFmtId="0" fontId="8" fillId="0" borderId="16" xfId="274" applyFont="1" applyBorder="1" applyAlignment="1">
      <alignment horizontal="center" vertical="center" wrapText="1"/>
    </xf>
    <xf numFmtId="0" fontId="8" fillId="0" borderId="0" xfId="274" quotePrefix="1" applyFont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right" vertical="center" wrapText="1"/>
    </xf>
    <xf numFmtId="0" fontId="8" fillId="0" borderId="6" xfId="274" applyFont="1" applyBorder="1"/>
    <xf numFmtId="0" fontId="46" fillId="0" borderId="6" xfId="274" applyFont="1" applyBorder="1"/>
    <xf numFmtId="0" fontId="46" fillId="0" borderId="6" xfId="274" quotePrefix="1" applyFont="1" applyBorder="1" applyAlignment="1">
      <alignment horizontal="center" vertical="center" wrapText="1"/>
    </xf>
    <xf numFmtId="16" fontId="8" fillId="0" borderId="0" xfId="274" quotePrefix="1" applyNumberFormat="1" applyFont="1"/>
    <xf numFmtId="0" fontId="8" fillId="0" borderId="6" xfId="274" applyFont="1" applyBorder="1" applyAlignment="1">
      <alignment horizontal="center" vertical="center" wrapText="1"/>
    </xf>
    <xf numFmtId="0" fontId="8" fillId="0" borderId="0" xfId="274" quotePrefix="1" applyFont="1"/>
    <xf numFmtId="0" fontId="8" fillId="0" borderId="6" xfId="274" applyFont="1" applyBorder="1" applyAlignment="1">
      <alignment horizontal="center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7" xfId="274" applyFont="1" applyBorder="1"/>
    <xf numFmtId="0" fontId="8" fillId="0" borderId="17" xfId="274" applyFont="1" applyBorder="1" applyAlignment="1">
      <alignment horizontal="center"/>
    </xf>
    <xf numFmtId="2" fontId="8" fillId="0" borderId="6" xfId="274" applyNumberFormat="1" applyFont="1" applyBorder="1" applyAlignment="1">
      <alignment horizontal="right"/>
    </xf>
    <xf numFmtId="16" fontId="8" fillId="0" borderId="6" xfId="274" quotePrefix="1" applyNumberFormat="1" applyFont="1" applyBorder="1" applyAlignment="1">
      <alignment horizontal="center"/>
    </xf>
    <xf numFmtId="2" fontId="8" fillId="0" borderId="17" xfId="274" applyNumberFormat="1" applyFont="1" applyBorder="1" applyAlignment="1">
      <alignment horizontal="center"/>
    </xf>
    <xf numFmtId="0" fontId="8" fillId="0" borderId="16" xfId="274" applyFont="1" applyBorder="1"/>
    <xf numFmtId="0" fontId="8" fillId="0" borderId="16" xfId="274" applyFont="1" applyBorder="1" applyAlignment="1">
      <alignment horizontal="center"/>
    </xf>
    <xf numFmtId="16" fontId="8" fillId="0" borderId="16" xfId="274" quotePrefix="1" applyNumberFormat="1" applyFont="1" applyBorder="1" applyAlignment="1">
      <alignment horizontal="center"/>
    </xf>
    <xf numFmtId="0" fontId="23" fillId="0" borderId="0" xfId="274" applyFont="1" applyAlignment="1">
      <alignment horizontal="center"/>
    </xf>
    <xf numFmtId="0" fontId="10" fillId="0" borderId="0" xfId="274" applyFont="1"/>
    <xf numFmtId="0" fontId="20" fillId="0" borderId="0" xfId="274" applyFont="1" applyAlignment="1">
      <alignment horizontal="center"/>
    </xf>
    <xf numFmtId="0" fontId="10" fillId="0" borderId="16" xfId="274" applyFont="1" applyBorder="1" applyAlignment="1">
      <alignment horizontal="center"/>
    </xf>
    <xf numFmtId="0" fontId="10" fillId="0" borderId="6" xfId="274" applyFont="1" applyBorder="1" applyAlignment="1">
      <alignment horizontal="center"/>
    </xf>
    <xf numFmtId="0" fontId="10" fillId="0" borderId="17" xfId="274" applyFont="1" applyBorder="1" applyAlignment="1">
      <alignment horizontal="center"/>
    </xf>
    <xf numFmtId="0" fontId="2" fillId="0" borderId="1" xfId="274" applyFont="1" applyBorder="1" applyAlignment="1">
      <alignment horizontal="center"/>
    </xf>
    <xf numFmtId="188" fontId="8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2" fillId="0" borderId="6" xfId="0" applyFont="1" applyBorder="1" applyAlignment="1">
      <alignment horizontal="left" vertical="center"/>
    </xf>
    <xf numFmtId="0" fontId="10" fillId="0" borderId="6" xfId="0" applyFont="1" applyBorder="1"/>
    <xf numFmtId="0" fontId="10" fillId="0" borderId="6" xfId="1" applyNumberFormat="1" applyFont="1" applyFill="1" applyBorder="1" applyAlignment="1">
      <alignment vertical="center"/>
    </xf>
    <xf numFmtId="192" fontId="10" fillId="0" borderId="18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189" fontId="10" fillId="0" borderId="6" xfId="1" applyNumberFormat="1" applyFont="1" applyFill="1" applyBorder="1" applyAlignment="1">
      <alignment horizontal="center" vertical="center"/>
    </xf>
    <xf numFmtId="192" fontId="10" fillId="0" borderId="6" xfId="1" applyNumberFormat="1" applyFont="1" applyFill="1" applyBorder="1" applyAlignment="1">
      <alignment vertical="center"/>
    </xf>
    <xf numFmtId="189" fontId="10" fillId="0" borderId="17" xfId="1" applyNumberFormat="1" applyFont="1" applyFill="1" applyBorder="1" applyAlignment="1">
      <alignment horizontal="center" vertical="center"/>
    </xf>
    <xf numFmtId="192" fontId="10" fillId="0" borderId="17" xfId="1" applyNumberFormat="1" applyFont="1" applyFill="1" applyBorder="1" applyAlignment="1">
      <alignment vertical="center"/>
    </xf>
    <xf numFmtId="191" fontId="11" fillId="0" borderId="19" xfId="1" applyNumberFormat="1" applyFont="1" applyFill="1" applyBorder="1" applyAlignment="1">
      <alignment vertical="center"/>
    </xf>
    <xf numFmtId="192" fontId="11" fillId="0" borderId="0" xfId="0" applyNumberFormat="1" applyFont="1" applyAlignment="1">
      <alignment vertical="center"/>
    </xf>
    <xf numFmtId="0" fontId="12" fillId="0" borderId="0" xfId="0" applyFont="1"/>
    <xf numFmtId="191" fontId="17" fillId="0" borderId="0" xfId="0" applyNumberFormat="1" applyFont="1"/>
    <xf numFmtId="43" fontId="11" fillId="0" borderId="0" xfId="0" applyNumberFormat="1" applyFont="1"/>
    <xf numFmtId="0" fontId="33" fillId="0" borderId="0" xfId="0" applyFont="1"/>
    <xf numFmtId="0" fontId="10" fillId="0" borderId="6" xfId="0" applyFont="1" applyBorder="1" applyAlignment="1">
      <alignment horizontal="left"/>
    </xf>
    <xf numFmtId="2" fontId="2" fillId="0" borderId="1" xfId="0" applyNumberFormat="1" applyFont="1" applyBorder="1" applyAlignment="1">
      <alignment vertical="center"/>
    </xf>
    <xf numFmtId="191" fontId="2" fillId="0" borderId="1" xfId="1" applyNumberFormat="1" applyFont="1" applyFill="1" applyBorder="1" applyAlignment="1">
      <alignment vertical="center"/>
    </xf>
    <xf numFmtId="0" fontId="47" fillId="0" borderId="0" xfId="0" applyFont="1"/>
    <xf numFmtId="191" fontId="47" fillId="0" borderId="0" xfId="1" applyNumberFormat="1" applyFont="1"/>
    <xf numFmtId="0" fontId="34" fillId="0" borderId="0" xfId="0" applyFont="1"/>
    <xf numFmtId="193" fontId="34" fillId="0" borderId="0" xfId="1" applyNumberFormat="1" applyFont="1" applyFill="1"/>
    <xf numFmtId="0" fontId="48" fillId="0" borderId="0" xfId="0" applyFont="1"/>
    <xf numFmtId="191" fontId="48" fillId="0" borderId="0" xfId="1" applyNumberFormat="1" applyFont="1"/>
    <xf numFmtId="0" fontId="42" fillId="0" borderId="0" xfId="0" applyFont="1" applyAlignment="1">
      <alignment vertical="center"/>
    </xf>
    <xf numFmtId="3" fontId="43" fillId="0" borderId="1" xfId="0" applyNumberFormat="1" applyFont="1" applyBorder="1" applyAlignment="1">
      <alignment horizontal="center" vertical="center"/>
    </xf>
    <xf numFmtId="192" fontId="13" fillId="0" borderId="14" xfId="1" applyNumberFormat="1" applyFont="1" applyFill="1" applyBorder="1" applyAlignment="1">
      <alignment horizontal="center"/>
    </xf>
    <xf numFmtId="192" fontId="13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0" fontId="10" fillId="0" borderId="18" xfId="0" applyFont="1" applyBorder="1"/>
    <xf numFmtId="189" fontId="10" fillId="0" borderId="18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20" fillId="0" borderId="0" xfId="274" applyFont="1"/>
    <xf numFmtId="0" fontId="24" fillId="0" borderId="0" xfId="274" applyFont="1"/>
    <xf numFmtId="0" fontId="22" fillId="0" borderId="0" xfId="0" applyFont="1"/>
    <xf numFmtId="0" fontId="20" fillId="0" borderId="0" xfId="0" applyFont="1"/>
    <xf numFmtId="0" fontId="24" fillId="0" borderId="0" xfId="0" applyFont="1"/>
    <xf numFmtId="0" fontId="24" fillId="0" borderId="0" xfId="274" applyFont="1" applyAlignment="1">
      <alignment horizontal="center"/>
    </xf>
    <xf numFmtId="0" fontId="11" fillId="0" borderId="0" xfId="274" applyFont="1"/>
    <xf numFmtId="0" fontId="12" fillId="0" borderId="0" xfId="274" applyFont="1"/>
    <xf numFmtId="0" fontId="12" fillId="0" borderId="0" xfId="274" applyFont="1" applyAlignment="1">
      <alignment horizontal="center"/>
    </xf>
    <xf numFmtId="0" fontId="2" fillId="0" borderId="0" xfId="274" applyFont="1" applyAlignment="1">
      <alignment horizontal="center" vertical="center" wrapText="1"/>
    </xf>
    <xf numFmtId="1" fontId="12" fillId="0" borderId="0" xfId="274" quotePrefix="1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7" fillId="0" borderId="0" xfId="0" applyFont="1"/>
    <xf numFmtId="0" fontId="12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196" fontId="8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92" fontId="8" fillId="0" borderId="16" xfId="1" applyNumberFormat="1" applyFont="1" applyFill="1" applyBorder="1" applyAlignment="1">
      <alignment horizontal="center"/>
    </xf>
    <xf numFmtId="189" fontId="8" fillId="0" borderId="16" xfId="1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/>
    </xf>
    <xf numFmtId="196" fontId="8" fillId="0" borderId="6" xfId="0" applyNumberFormat="1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92" fontId="8" fillId="0" borderId="6" xfId="1" applyNumberFormat="1" applyFont="1" applyFill="1" applyBorder="1" applyAlignment="1">
      <alignment horizontal="center"/>
    </xf>
    <xf numFmtId="189" fontId="8" fillId="0" borderId="6" xfId="1" applyNumberFormat="1" applyFont="1" applyFill="1" applyBorder="1" applyAlignment="1">
      <alignment horizontal="center"/>
    </xf>
    <xf numFmtId="189" fontId="8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92" fontId="8" fillId="0" borderId="17" xfId="1" applyNumberFormat="1" applyFont="1" applyFill="1" applyBorder="1" applyAlignment="1">
      <alignment horizontal="center"/>
    </xf>
    <xf numFmtId="189" fontId="8" fillId="0" borderId="17" xfId="1" applyNumberFormat="1" applyFont="1" applyFill="1" applyBorder="1" applyAlignment="1">
      <alignment horizontal="center"/>
    </xf>
    <xf numFmtId="192" fontId="12" fillId="0" borderId="20" xfId="1" applyNumberFormat="1" applyFont="1" applyFill="1" applyBorder="1" applyAlignment="1">
      <alignment horizontal="center"/>
    </xf>
    <xf numFmtId="189" fontId="12" fillId="0" borderId="20" xfId="1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43" fontId="8" fillId="0" borderId="0" xfId="1" applyFont="1" applyFill="1" applyAlignment="1">
      <alignment horizontal="center"/>
    </xf>
    <xf numFmtId="189" fontId="8" fillId="3" borderId="16" xfId="0" applyNumberFormat="1" applyFont="1" applyFill="1" applyBorder="1" applyAlignment="1">
      <alignment horizontal="center"/>
    </xf>
    <xf numFmtId="0" fontId="10" fillId="0" borderId="16" xfId="1" applyNumberFormat="1" applyFont="1" applyFill="1" applyBorder="1" applyAlignment="1">
      <alignment vertical="center"/>
    </xf>
    <xf numFmtId="189" fontId="8" fillId="3" borderId="6" xfId="0" applyNumberFormat="1" applyFont="1" applyFill="1" applyBorder="1" applyAlignment="1">
      <alignment horizontal="center"/>
    </xf>
    <xf numFmtId="189" fontId="8" fillId="3" borderId="6" xfId="1" applyNumberFormat="1" applyFont="1" applyFill="1" applyBorder="1" applyAlignment="1">
      <alignment horizontal="center" vertical="center" shrinkToFit="1"/>
    </xf>
    <xf numFmtId="0" fontId="8" fillId="0" borderId="0" xfId="274" applyFont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left"/>
    </xf>
    <xf numFmtId="189" fontId="8" fillId="3" borderId="23" xfId="1" applyNumberFormat="1" applyFont="1" applyFill="1" applyBorder="1" applyAlignment="1">
      <alignment horizontal="center" vertical="center" shrinkToFit="1"/>
    </xf>
    <xf numFmtId="191" fontId="13" fillId="0" borderId="0" xfId="1" applyNumberFormat="1" applyFont="1"/>
    <xf numFmtId="191" fontId="8" fillId="0" borderId="0" xfId="1" applyNumberFormat="1" applyFont="1"/>
    <xf numFmtId="191" fontId="8" fillId="0" borderId="0" xfId="1" applyNumberFormat="1" applyFont="1" applyAlignment="1">
      <alignment horizontal="center"/>
    </xf>
    <xf numFmtId="191" fontId="13" fillId="0" borderId="0" xfId="1" applyNumberFormat="1" applyFont="1" applyAlignment="1">
      <alignment vertical="center"/>
    </xf>
    <xf numFmtId="191" fontId="11" fillId="0" borderId="1" xfId="1" applyNumberFormat="1" applyFont="1" applyFill="1" applyBorder="1" applyAlignment="1">
      <alignment horizontal="center" vertical="center" wrapText="1"/>
    </xf>
    <xf numFmtId="191" fontId="8" fillId="0" borderId="0" xfId="1" applyNumberFormat="1" applyFont="1" applyFill="1" applyAlignment="1">
      <alignment vertical="center"/>
    </xf>
    <xf numFmtId="191" fontId="11" fillId="0" borderId="0" xfId="1" applyNumberFormat="1" applyFont="1" applyAlignment="1">
      <alignment vertical="center"/>
    </xf>
    <xf numFmtId="0" fontId="12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/>
    </xf>
    <xf numFmtId="0" fontId="39" fillId="0" borderId="1" xfId="27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38" fillId="0" borderId="1" xfId="274" applyFont="1" applyBorder="1" applyAlignment="1">
      <alignment horizontal="center"/>
    </xf>
    <xf numFmtId="0" fontId="8" fillId="0" borderId="1" xfId="274" quotePrefix="1" applyFont="1" applyBorder="1" applyAlignment="1">
      <alignment horizontal="center" vertical="center" wrapText="1"/>
    </xf>
    <xf numFmtId="189" fontId="8" fillId="0" borderId="0" xfId="0" applyNumberFormat="1" applyFont="1" applyAlignment="1">
      <alignment vertical="center"/>
    </xf>
    <xf numFmtId="191" fontId="8" fillId="0" borderId="0" xfId="0" applyNumberFormat="1" applyFont="1" applyAlignment="1">
      <alignment vertical="center"/>
    </xf>
    <xf numFmtId="191" fontId="11" fillId="0" borderId="0" xfId="0" applyNumberFormat="1" applyFont="1" applyAlignment="1">
      <alignment vertical="center"/>
    </xf>
    <xf numFmtId="189" fontId="13" fillId="0" borderId="0" xfId="0" applyNumberFormat="1" applyFont="1"/>
    <xf numFmtId="43" fontId="11" fillId="0" borderId="0" xfId="1" applyFont="1" applyAlignment="1">
      <alignment vertical="center"/>
    </xf>
    <xf numFmtId="0" fontId="8" fillId="0" borderId="21" xfId="274" quotePrefix="1" applyFont="1" applyBorder="1" applyAlignment="1">
      <alignment horizontal="center" vertical="center" wrapText="1"/>
    </xf>
    <xf numFmtId="0" fontId="8" fillId="0" borderId="21" xfId="274" applyFont="1" applyBorder="1" applyAlignment="1">
      <alignment horizontal="center"/>
    </xf>
    <xf numFmtId="192" fontId="12" fillId="0" borderId="0" xfId="0" applyNumberFormat="1" applyFont="1"/>
    <xf numFmtId="192" fontId="12" fillId="0" borderId="15" xfId="0" applyNumberFormat="1" applyFont="1" applyBorder="1" applyAlignment="1">
      <alignment horizontal="center" vertical="center" wrapText="1"/>
    </xf>
    <xf numFmtId="192" fontId="12" fillId="0" borderId="16" xfId="1" applyNumberFormat="1" applyFont="1" applyFill="1" applyBorder="1" applyAlignment="1">
      <alignment horizontal="center"/>
    </xf>
    <xf numFmtId="192" fontId="12" fillId="0" borderId="6" xfId="1" applyNumberFormat="1" applyFont="1" applyFill="1" applyBorder="1" applyAlignment="1">
      <alignment horizontal="center"/>
    </xf>
    <xf numFmtId="192" fontId="8" fillId="0" borderId="0" xfId="0" applyNumberFormat="1" applyFont="1" applyAlignment="1">
      <alignment horizontal="center"/>
    </xf>
    <xf numFmtId="0" fontId="15" fillId="0" borderId="6" xfId="0" applyFont="1" applyBorder="1" applyAlignment="1">
      <alignment horizontal="center"/>
    </xf>
    <xf numFmtId="198" fontId="42" fillId="0" borderId="0" xfId="0" applyNumberFormat="1" applyFont="1"/>
    <xf numFmtId="0" fontId="43" fillId="0" borderId="24" xfId="0" applyFont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92" fontId="8" fillId="0" borderId="17" xfId="1" applyNumberFormat="1" applyFont="1" applyFill="1" applyBorder="1" applyAlignment="1">
      <alignment horizontal="center" vertical="center" shrinkToFit="1"/>
    </xf>
    <xf numFmtId="189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horizontal="center" vertical="center" shrinkToFit="1"/>
    </xf>
    <xf numFmtId="0" fontId="12" fillId="0" borderId="14" xfId="0" applyFont="1" applyBorder="1"/>
    <xf numFmtId="191" fontId="5" fillId="0" borderId="0" xfId="1" applyNumberFormat="1" applyFont="1" applyFill="1"/>
    <xf numFmtId="3" fontId="42" fillId="0" borderId="0" xfId="0" applyNumberFormat="1" applyFont="1" applyAlignment="1">
      <alignment vertical="center"/>
    </xf>
    <xf numFmtId="3" fontId="43" fillId="0" borderId="1" xfId="0" applyNumberFormat="1" applyFont="1" applyBorder="1" applyAlignment="1">
      <alignment horizontal="right" vertical="center"/>
    </xf>
    <xf numFmtId="1" fontId="12" fillId="0" borderId="20" xfId="0" applyNumberFormat="1" applyFont="1" applyBorder="1" applyAlignment="1">
      <alignment horizontal="center" wrapText="1"/>
    </xf>
    <xf numFmtId="1" fontId="12" fillId="0" borderId="15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92" fontId="8" fillId="0" borderId="25" xfId="1" applyNumberFormat="1" applyFont="1" applyFill="1" applyBorder="1" applyAlignment="1">
      <alignment vertical="center"/>
    </xf>
    <xf numFmtId="3" fontId="8" fillId="0" borderId="26" xfId="0" applyNumberFormat="1" applyFont="1" applyBorder="1" applyAlignment="1">
      <alignment vertical="center"/>
    </xf>
    <xf numFmtId="189" fontId="0" fillId="0" borderId="0" xfId="0" applyNumberFormat="1"/>
    <xf numFmtId="0" fontId="58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5" fillId="0" borderId="0" xfId="0" applyFont="1"/>
    <xf numFmtId="0" fontId="12" fillId="0" borderId="14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193" fontId="35" fillId="0" borderId="1" xfId="1" applyNumberFormat="1" applyFont="1" applyFill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0" fontId="35" fillId="0" borderId="0" xfId="0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13" fillId="0" borderId="6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" fontId="4" fillId="0" borderId="0" xfId="0" applyNumberFormat="1" applyFont="1"/>
    <xf numFmtId="4" fontId="12" fillId="0" borderId="1" xfId="1" applyNumberFormat="1" applyFont="1" applyFill="1" applyBorder="1" applyAlignment="1">
      <alignment vertical="center"/>
    </xf>
    <xf numFmtId="0" fontId="68" fillId="0" borderId="0" xfId="0" applyFont="1" applyAlignment="1">
      <alignment vertical="center"/>
    </xf>
    <xf numFmtId="192" fontId="8" fillId="0" borderId="30" xfId="1" applyNumberFormat="1" applyFont="1" applyFill="1" applyBorder="1" applyAlignment="1">
      <alignment vertical="center"/>
    </xf>
    <xf numFmtId="2" fontId="8" fillId="0" borderId="25" xfId="0" applyNumberFormat="1" applyFont="1" applyBorder="1" applyAlignment="1">
      <alignment horizontal="right" wrapText="1"/>
    </xf>
    <xf numFmtId="189" fontId="12" fillId="0" borderId="1" xfId="1" applyNumberFormat="1" applyFont="1" applyFill="1" applyBorder="1" applyAlignment="1">
      <alignment horizontal="right" vertical="center" shrinkToFit="1"/>
    </xf>
    <xf numFmtId="192" fontId="12" fillId="0" borderId="1" xfId="1" applyNumberFormat="1" applyFont="1" applyFill="1" applyBorder="1" applyAlignment="1">
      <alignment horizontal="right" vertical="center" shrinkToFit="1"/>
    </xf>
    <xf numFmtId="0" fontId="69" fillId="4" borderId="0" xfId="0" applyFont="1" applyFill="1"/>
    <xf numFmtId="0" fontId="70" fillId="4" borderId="0" xfId="0" applyFont="1" applyFill="1" applyAlignment="1">
      <alignment horizontal="center"/>
    </xf>
    <xf numFmtId="0" fontId="70" fillId="4" borderId="14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70" fillId="4" borderId="0" xfId="0" applyFont="1" applyFill="1"/>
    <xf numFmtId="0" fontId="69" fillId="0" borderId="0" xfId="0" applyFont="1"/>
    <xf numFmtId="0" fontId="70" fillId="0" borderId="0" xfId="0" applyFont="1" applyAlignment="1">
      <alignment horizontal="center"/>
    </xf>
    <xf numFmtId="0" fontId="70" fillId="0" borderId="14" xfId="0" applyFont="1" applyBorder="1" applyAlignment="1">
      <alignment horizontal="center"/>
    </xf>
    <xf numFmtId="4" fontId="12" fillId="5" borderId="1" xfId="1" applyNumberFormat="1" applyFont="1" applyFill="1" applyBorder="1" applyAlignment="1">
      <alignment vertical="center"/>
    </xf>
    <xf numFmtId="3" fontId="12" fillId="0" borderId="1" xfId="1" applyNumberFormat="1" applyFont="1" applyFill="1" applyBorder="1" applyAlignment="1">
      <alignment vertical="center"/>
    </xf>
    <xf numFmtId="192" fontId="8" fillId="0" borderId="30" xfId="1" applyNumberFormat="1" applyFont="1" applyFill="1" applyBorder="1" applyAlignment="1">
      <alignment vertical="center" shrinkToFit="1"/>
    </xf>
    <xf numFmtId="1" fontId="1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right"/>
    </xf>
    <xf numFmtId="0" fontId="2" fillId="0" borderId="0" xfId="0" applyFont="1"/>
    <xf numFmtId="199" fontId="2" fillId="0" borderId="0" xfId="0" applyNumberFormat="1" applyFont="1"/>
    <xf numFmtId="0" fontId="32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right"/>
    </xf>
    <xf numFmtId="2" fontId="10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2" fontId="26" fillId="0" borderId="0" xfId="0" applyNumberFormat="1" applyFont="1"/>
    <xf numFmtId="2" fontId="11" fillId="0" borderId="0" xfId="0" applyNumberFormat="1" applyFont="1"/>
    <xf numFmtId="4" fontId="11" fillId="0" borderId="0" xfId="0" applyNumberFormat="1" applyFont="1" applyAlignment="1">
      <alignment horizontal="righ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199" fontId="11" fillId="0" borderId="0" xfId="0" applyNumberFormat="1" applyFont="1"/>
    <xf numFmtId="0" fontId="61" fillId="0" borderId="0" xfId="256" applyFont="1"/>
    <xf numFmtId="0" fontId="11" fillId="0" borderId="0" xfId="256" applyFont="1"/>
    <xf numFmtId="0" fontId="11" fillId="0" borderId="0" xfId="256" applyFont="1" applyAlignment="1">
      <alignment horizontal="center"/>
    </xf>
    <xf numFmtId="0" fontId="13" fillId="0" borderId="0" xfId="256" applyFont="1" applyAlignment="1">
      <alignment horizontal="center"/>
    </xf>
    <xf numFmtId="0" fontId="13" fillId="0" borderId="0" xfId="256" applyFont="1"/>
    <xf numFmtId="0" fontId="35" fillId="0" borderId="0" xfId="256" applyFont="1" applyAlignment="1">
      <alignment horizontal="center" vertical="center"/>
    </xf>
    <xf numFmtId="0" fontId="31" fillId="0" borderId="0" xfId="256" applyFont="1" applyAlignment="1">
      <alignment horizontal="center" vertical="center"/>
    </xf>
    <xf numFmtId="0" fontId="35" fillId="0" borderId="15" xfId="256" applyFont="1" applyBorder="1" applyAlignment="1">
      <alignment horizontal="center" vertical="center"/>
    </xf>
    <xf numFmtId="0" fontId="35" fillId="0" borderId="15" xfId="256" applyFont="1" applyBorder="1" applyAlignment="1">
      <alignment horizontal="center" vertical="center" wrapText="1"/>
    </xf>
    <xf numFmtId="0" fontId="35" fillId="0" borderId="15" xfId="256" applyFont="1" applyBorder="1" applyAlignment="1">
      <alignment horizontal="center" vertical="center" wrapText="1" shrinkToFit="1"/>
    </xf>
    <xf numFmtId="202" fontId="8" fillId="0" borderId="0" xfId="256" applyNumberFormat="1" applyFont="1" applyAlignment="1">
      <alignment horizontal="center"/>
    </xf>
    <xf numFmtId="0" fontId="61" fillId="0" borderId="1" xfId="256" applyFont="1" applyBorder="1"/>
    <xf numFmtId="0" fontId="72" fillId="0" borderId="0" xfId="256" applyFont="1"/>
    <xf numFmtId="0" fontId="66" fillId="0" borderId="27" xfId="256" applyFont="1" applyBorder="1" applyAlignment="1">
      <alignment vertical="center"/>
    </xf>
    <xf numFmtId="0" fontId="66" fillId="0" borderId="21" xfId="256" applyFont="1" applyBorder="1" applyAlignment="1">
      <alignment vertical="center"/>
    </xf>
    <xf numFmtId="0" fontId="66" fillId="0" borderId="31" xfId="256" applyFont="1" applyBorder="1" applyAlignment="1">
      <alignment vertical="center"/>
    </xf>
    <xf numFmtId="0" fontId="4" fillId="0" borderId="16" xfId="256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202" fontId="4" fillId="0" borderId="16" xfId="256" applyNumberFormat="1" applyFont="1" applyBorder="1" applyAlignment="1">
      <alignment horizontal="left" vertical="center"/>
    </xf>
    <xf numFmtId="202" fontId="4" fillId="2" borderId="16" xfId="256" applyNumberFormat="1" applyFont="1" applyFill="1" applyBorder="1" applyAlignment="1">
      <alignment horizontal="left" vertical="center"/>
    </xf>
    <xf numFmtId="204" fontId="4" fillId="0" borderId="16" xfId="256" applyNumberFormat="1" applyFont="1" applyBorder="1" applyAlignment="1">
      <alignment horizontal="left" vertical="center"/>
    </xf>
    <xf numFmtId="0" fontId="8" fillId="2" borderId="16" xfId="274" applyFont="1" applyFill="1" applyBorder="1" applyAlignment="1">
      <alignment horizontal="right" vertical="center"/>
    </xf>
    <xf numFmtId="0" fontId="8" fillId="0" borderId="16" xfId="256" applyFont="1" applyBorder="1" applyAlignment="1">
      <alignment horizontal="center"/>
    </xf>
    <xf numFmtId="2" fontId="8" fillId="2" borderId="16" xfId="256" applyNumberFormat="1" applyFont="1" applyFill="1" applyBorder="1" applyAlignment="1">
      <alignment horizontal="center"/>
    </xf>
    <xf numFmtId="189" fontId="8" fillId="0" borderId="16" xfId="256" applyNumberFormat="1" applyFont="1" applyBorder="1" applyAlignment="1">
      <alignment horizontal="center"/>
    </xf>
    <xf numFmtId="0" fontId="61" fillId="0" borderId="6" xfId="256" applyFont="1" applyBorder="1"/>
    <xf numFmtId="0" fontId="4" fillId="0" borderId="6" xfId="25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2" fontId="4" fillId="0" borderId="6" xfId="256" applyNumberFormat="1" applyFont="1" applyBorder="1" applyAlignment="1">
      <alignment horizontal="left" vertical="center"/>
    </xf>
    <xf numFmtId="204" fontId="4" fillId="0" borderId="6" xfId="256" applyNumberFormat="1" applyFont="1" applyBorder="1" applyAlignment="1">
      <alignment horizontal="left" vertical="center"/>
    </xf>
    <xf numFmtId="0" fontId="8" fillId="0" borderId="6" xfId="274" applyFont="1" applyBorder="1" applyAlignment="1">
      <alignment horizontal="right" vertical="center"/>
    </xf>
    <xf numFmtId="43" fontId="4" fillId="0" borderId="6" xfId="1" applyFont="1" applyFill="1" applyBorder="1" applyAlignment="1">
      <alignment horizontal="left" vertical="center"/>
    </xf>
    <xf numFmtId="0" fontId="8" fillId="0" borderId="6" xfId="256" applyFont="1" applyBorder="1" applyAlignment="1">
      <alignment horizontal="center"/>
    </xf>
    <xf numFmtId="1" fontId="8" fillId="0" borderId="6" xfId="256" applyNumberFormat="1" applyFont="1" applyBorder="1" applyAlignment="1">
      <alignment horizontal="center"/>
    </xf>
    <xf numFmtId="189" fontId="8" fillId="0" borderId="6" xfId="256" applyNumberFormat="1" applyFont="1" applyBorder="1" applyAlignment="1">
      <alignment horizontal="center"/>
    </xf>
    <xf numFmtId="0" fontId="35" fillId="0" borderId="6" xfId="256" applyFont="1" applyBorder="1" applyAlignment="1">
      <alignment horizontal="left" vertical="center"/>
    </xf>
    <xf numFmtId="3" fontId="12" fillId="0" borderId="32" xfId="0" applyNumberFormat="1" applyFont="1" applyBorder="1" applyAlignment="1">
      <alignment horizontal="left" vertical="center"/>
    </xf>
    <xf numFmtId="3" fontId="12" fillId="0" borderId="33" xfId="0" quotePrefix="1" applyNumberFormat="1" applyFont="1" applyBorder="1" applyAlignment="1">
      <alignment horizontal="left" vertical="center"/>
    </xf>
    <xf numFmtId="3" fontId="12" fillId="0" borderId="34" xfId="0" quotePrefix="1" applyNumberFormat="1" applyFont="1" applyBorder="1" applyAlignment="1">
      <alignment horizontal="left" vertical="center"/>
    </xf>
    <xf numFmtId="203" fontId="8" fillId="0" borderId="6" xfId="8" applyNumberFormat="1" applyFont="1" applyFill="1" applyBorder="1" applyAlignment="1">
      <alignment horizontal="center" vertical="center"/>
    </xf>
    <xf numFmtId="202" fontId="8" fillId="0" borderId="6" xfId="256" applyNumberFormat="1" applyFont="1" applyBorder="1" applyAlignment="1">
      <alignment horizontal="center"/>
    </xf>
    <xf numFmtId="0" fontId="67" fillId="0" borderId="1" xfId="256" applyFont="1" applyBorder="1"/>
    <xf numFmtId="0" fontId="35" fillId="0" borderId="1" xfId="256" applyFont="1" applyBorder="1" applyAlignment="1">
      <alignment horizontal="center" vertical="center"/>
    </xf>
    <xf numFmtId="202" fontId="67" fillId="0" borderId="1" xfId="256" applyNumberFormat="1" applyFont="1" applyBorder="1"/>
    <xf numFmtId="204" fontId="67" fillId="0" borderId="1" xfId="256" applyNumberFormat="1" applyFont="1" applyBorder="1"/>
    <xf numFmtId="189" fontId="72" fillId="0" borderId="0" xfId="256" applyNumberFormat="1" applyFont="1"/>
    <xf numFmtId="0" fontId="63" fillId="0" borderId="0" xfId="256" applyFont="1"/>
    <xf numFmtId="0" fontId="4" fillId="0" borderId="0" xfId="256" applyFont="1"/>
    <xf numFmtId="0" fontId="61" fillId="6" borderId="0" xfId="256" applyFont="1" applyFill="1"/>
    <xf numFmtId="3" fontId="13" fillId="0" borderId="6" xfId="0" applyNumberFormat="1" applyFont="1" applyBorder="1" applyAlignment="1">
      <alignment vertical="center"/>
    </xf>
    <xf numFmtId="1" fontId="8" fillId="0" borderId="25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2" fontId="8" fillId="0" borderId="25" xfId="0" applyNumberFormat="1" applyFont="1" applyBorder="1" applyAlignment="1">
      <alignment horizontal="right" vertical="center" wrapText="1"/>
    </xf>
    <xf numFmtId="191" fontId="8" fillId="0" borderId="25" xfId="1" applyNumberFormat="1" applyFont="1" applyFill="1" applyBorder="1" applyAlignment="1">
      <alignment horizontal="center" vertical="center" wrapText="1"/>
    </xf>
    <xf numFmtId="192" fontId="8" fillId="0" borderId="25" xfId="1" applyNumberFormat="1" applyFont="1" applyFill="1" applyBorder="1" applyAlignment="1">
      <alignment vertical="center" shrinkToFit="1"/>
    </xf>
    <xf numFmtId="3" fontId="65" fillId="0" borderId="35" xfId="0" applyNumberFormat="1" applyFont="1" applyBorder="1" applyAlignment="1">
      <alignment horizontal="center" vertical="top" wrapText="1"/>
    </xf>
    <xf numFmtId="3" fontId="65" fillId="0" borderId="36" xfId="0" applyNumberFormat="1" applyFont="1" applyBorder="1" applyAlignment="1">
      <alignment horizontal="center" vertical="top" wrapText="1"/>
    </xf>
    <xf numFmtId="3" fontId="4" fillId="0" borderId="0" xfId="0" applyNumberFormat="1" applyFont="1"/>
    <xf numFmtId="3" fontId="7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3" fontId="7" fillId="0" borderId="6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189" fontId="8" fillId="0" borderId="6" xfId="0" applyNumberFormat="1" applyFont="1" applyBorder="1" applyAlignment="1">
      <alignment horizontal="center" vertical="center" shrinkToFit="1"/>
    </xf>
    <xf numFmtId="192" fontId="8" fillId="0" borderId="6" xfId="1" applyNumberFormat="1" applyFont="1" applyFill="1" applyBorder="1" applyAlignment="1">
      <alignment horizontal="center" vertical="center" shrinkToFit="1"/>
    </xf>
    <xf numFmtId="193" fontId="12" fillId="0" borderId="6" xfId="1" applyNumberFormat="1" applyFont="1" applyFill="1" applyBorder="1" applyAlignment="1">
      <alignment horizontal="center" vertical="center"/>
    </xf>
    <xf numFmtId="195" fontId="12" fillId="0" borderId="6" xfId="0" applyNumberFormat="1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89" fontId="8" fillId="0" borderId="17" xfId="0" applyNumberFormat="1" applyFont="1" applyBorder="1" applyAlignment="1">
      <alignment horizontal="center" vertical="center" shrinkToFit="1"/>
    </xf>
    <xf numFmtId="193" fontId="12" fillId="0" borderId="17" xfId="1" applyNumberFormat="1" applyFont="1" applyFill="1" applyBorder="1" applyAlignment="1">
      <alignment horizontal="center" vertical="center"/>
    </xf>
    <xf numFmtId="195" fontId="12" fillId="0" borderId="17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/>
    </xf>
    <xf numFmtId="3" fontId="13" fillId="0" borderId="16" xfId="1" applyNumberFormat="1" applyFont="1" applyFill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42" fillId="0" borderId="0" xfId="0" applyNumberFormat="1" applyFont="1"/>
    <xf numFmtId="0" fontId="50" fillId="0" borderId="1" xfId="0" applyFont="1" applyBorder="1" applyAlignment="1">
      <alignment horizontal="center" vertical="center" wrapText="1"/>
    </xf>
    <xf numFmtId="4" fontId="69" fillId="0" borderId="0" xfId="0" applyNumberFormat="1" applyFont="1"/>
    <xf numFmtId="0" fontId="13" fillId="0" borderId="1" xfId="0" applyFont="1" applyBorder="1" applyAlignment="1">
      <alignment horizontal="left" vertical="center"/>
    </xf>
    <xf numFmtId="192" fontId="22" fillId="0" borderId="0" xfId="0" applyNumberFormat="1" applyFont="1"/>
    <xf numFmtId="0" fontId="24" fillId="0" borderId="0" xfId="0" applyFont="1" applyAlignment="1">
      <alignment horizontal="center"/>
    </xf>
    <xf numFmtId="189" fontId="22" fillId="0" borderId="0" xfId="0" applyNumberFormat="1" applyFont="1"/>
    <xf numFmtId="4" fontId="42" fillId="0" borderId="0" xfId="0" applyNumberFormat="1" applyFont="1" applyAlignment="1">
      <alignment vertical="center"/>
    </xf>
    <xf numFmtId="192" fontId="8" fillId="0" borderId="15" xfId="1" applyNumberFormat="1" applyFont="1" applyFill="1" applyBorder="1" applyAlignment="1">
      <alignment vertical="center"/>
    </xf>
    <xf numFmtId="192" fontId="12" fillId="0" borderId="1" xfId="1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shrinkToFit="1"/>
    </xf>
    <xf numFmtId="193" fontId="12" fillId="0" borderId="8" xfId="1" applyNumberFormat="1" applyFont="1" applyFill="1" applyBorder="1" applyAlignment="1">
      <alignment horizontal="center" vertical="center" wrapText="1"/>
    </xf>
    <xf numFmtId="193" fontId="12" fillId="3" borderId="8" xfId="1" applyNumberFormat="1" applyFont="1" applyFill="1" applyBorder="1" applyAlignment="1">
      <alignment horizontal="center" vertical="center" wrapText="1"/>
    </xf>
    <xf numFmtId="192" fontId="12" fillId="3" borderId="8" xfId="1" applyNumberFormat="1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distributed" wrapText="1"/>
    </xf>
    <xf numFmtId="0" fontId="18" fillId="3" borderId="8" xfId="0" applyFont="1" applyFill="1" applyBorder="1" applyAlignment="1">
      <alignment horizontal="center" vertical="distributed" wrapText="1"/>
    </xf>
    <xf numFmtId="193" fontId="18" fillId="3" borderId="8" xfId="1" applyNumberFormat="1" applyFont="1" applyFill="1" applyBorder="1" applyAlignment="1">
      <alignment horizontal="center" vertical="distributed" wrapText="1"/>
    </xf>
    <xf numFmtId="0" fontId="18" fillId="3" borderId="38" xfId="0" applyFont="1" applyFill="1" applyBorder="1" applyAlignment="1">
      <alignment horizontal="center" vertical="distributed" wrapText="1"/>
    </xf>
    <xf numFmtId="1" fontId="12" fillId="0" borderId="8" xfId="0" applyNumberFormat="1" applyFont="1" applyBorder="1" applyAlignment="1">
      <alignment horizontal="center" wrapText="1"/>
    </xf>
    <xf numFmtId="1" fontId="12" fillId="0" borderId="38" xfId="0" applyNumberFormat="1" applyFont="1" applyBorder="1" applyAlignment="1">
      <alignment horizontal="center" wrapText="1"/>
    </xf>
    <xf numFmtId="3" fontId="7" fillId="0" borderId="8" xfId="0" applyNumberFormat="1" applyFont="1" applyBorder="1" applyAlignment="1">
      <alignment vertical="center"/>
    </xf>
    <xf numFmtId="2" fontId="8" fillId="0" borderId="8" xfId="0" applyNumberFormat="1" applyFont="1" applyBorder="1" applyAlignment="1">
      <alignment horizontal="right" wrapText="1"/>
    </xf>
    <xf numFmtId="192" fontId="8" fillId="0" borderId="8" xfId="1" applyNumberFormat="1" applyFont="1" applyFill="1" applyBorder="1" applyAlignment="1">
      <alignment horizontal="right" vertical="center"/>
    </xf>
    <xf numFmtId="0" fontId="35" fillId="0" borderId="3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191" fontId="35" fillId="0" borderId="8" xfId="1" applyNumberFormat="1" applyFont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91" fontId="45" fillId="0" borderId="8" xfId="1" applyNumberFormat="1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3" fontId="8" fillId="0" borderId="8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 wrapText="1"/>
    </xf>
    <xf numFmtId="3" fontId="7" fillId="0" borderId="8" xfId="1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/>
    </xf>
    <xf numFmtId="3" fontId="35" fillId="0" borderId="40" xfId="0" applyNumberFormat="1" applyFont="1" applyBorder="1" applyAlignment="1">
      <alignment horizontal="right" vertical="center"/>
    </xf>
    <xf numFmtId="43" fontId="4" fillId="0" borderId="0" xfId="1" applyFont="1"/>
    <xf numFmtId="197" fontId="12" fillId="0" borderId="1" xfId="1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shrinkToFit="1"/>
    </xf>
    <xf numFmtId="189" fontId="8" fillId="3" borderId="16" xfId="0" applyNumberFormat="1" applyFont="1" applyFill="1" applyBorder="1" applyAlignment="1">
      <alignment horizontal="center" vertical="center" shrinkToFit="1"/>
    </xf>
    <xf numFmtId="189" fontId="69" fillId="3" borderId="16" xfId="0" applyNumberFormat="1" applyFont="1" applyFill="1" applyBorder="1" applyAlignment="1">
      <alignment horizontal="center" vertical="center" shrinkToFit="1"/>
    </xf>
    <xf numFmtId="39" fontId="4" fillId="3" borderId="16" xfId="1" applyNumberFormat="1" applyFont="1" applyFill="1" applyBorder="1" applyAlignment="1">
      <alignment horizontal="right" vertical="center" indent="1" shrinkToFit="1"/>
    </xf>
    <xf numFmtId="4" fontId="73" fillId="3" borderId="16" xfId="0" applyNumberFormat="1" applyFont="1" applyFill="1" applyBorder="1" applyAlignment="1">
      <alignment horizontal="right" indent="1"/>
    </xf>
    <xf numFmtId="192" fontId="8" fillId="3" borderId="16" xfId="1" applyNumberFormat="1" applyFont="1" applyFill="1" applyBorder="1" applyAlignment="1">
      <alignment horizontal="center" vertical="center" shrinkToFit="1"/>
    </xf>
    <xf numFmtId="193" fontId="12" fillId="3" borderId="16" xfId="1" applyNumberFormat="1" applyFont="1" applyFill="1" applyBorder="1" applyAlignment="1">
      <alignment horizontal="center" vertical="center"/>
    </xf>
    <xf numFmtId="195" fontId="12" fillId="3" borderId="16" xfId="0" applyNumberFormat="1" applyFont="1" applyFill="1" applyBorder="1" applyAlignment="1">
      <alignment horizontal="center" vertical="center" shrinkToFit="1"/>
    </xf>
    <xf numFmtId="0" fontId="4" fillId="3" borderId="0" xfId="0" applyFont="1" applyFill="1"/>
    <xf numFmtId="0" fontId="7" fillId="3" borderId="6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189" fontId="8" fillId="3" borderId="6" xfId="0" applyNumberFormat="1" applyFont="1" applyFill="1" applyBorder="1" applyAlignment="1">
      <alignment horizontal="center" vertical="center" shrinkToFit="1"/>
    </xf>
    <xf numFmtId="189" fontId="69" fillId="3" borderId="6" xfId="0" applyNumberFormat="1" applyFont="1" applyFill="1" applyBorder="1" applyAlignment="1">
      <alignment horizontal="center" vertical="center" shrinkToFit="1"/>
    </xf>
    <xf numFmtId="195" fontId="12" fillId="3" borderId="6" xfId="0" applyNumberFormat="1" applyFont="1" applyFill="1" applyBorder="1" applyAlignment="1">
      <alignment horizontal="center" vertical="center" shrinkToFit="1"/>
    </xf>
    <xf numFmtId="189" fontId="8" fillId="3" borderId="17" xfId="0" applyNumberFormat="1" applyFont="1" applyFill="1" applyBorder="1" applyAlignment="1">
      <alignment horizontal="center" vertical="center" shrinkToFit="1"/>
    </xf>
    <xf numFmtId="189" fontId="69" fillId="3" borderId="17" xfId="0" applyNumberFormat="1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/>
    </xf>
    <xf numFmtId="0" fontId="12" fillId="3" borderId="14" xfId="0" applyFont="1" applyFill="1" applyBorder="1" applyAlignment="1">
      <alignment horizontal="center"/>
    </xf>
    <xf numFmtId="193" fontId="35" fillId="3" borderId="1" xfId="1" applyNumberFormat="1" applyFont="1" applyFill="1" applyBorder="1" applyAlignment="1">
      <alignment horizontal="center" vertical="center" wrapText="1"/>
    </xf>
    <xf numFmtId="4" fontId="70" fillId="0" borderId="0" xfId="0" applyNumberFormat="1" applyFont="1"/>
    <xf numFmtId="0" fontId="13" fillId="3" borderId="20" xfId="0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/>
    </xf>
    <xf numFmtId="4" fontId="12" fillId="7" borderId="1" xfId="1" applyNumberFormat="1" applyFont="1" applyFill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 wrapText="1"/>
    </xf>
    <xf numFmtId="189" fontId="4" fillId="0" borderId="0" xfId="0" applyNumberFormat="1" applyFont="1"/>
    <xf numFmtId="0" fontId="13" fillId="3" borderId="1" xfId="0" applyFont="1" applyFill="1" applyBorder="1" applyAlignment="1">
      <alignment horizontal="left" shrinkToFit="1"/>
    </xf>
    <xf numFmtId="0" fontId="13" fillId="3" borderId="1" xfId="0" applyFont="1" applyFill="1" applyBorder="1" applyAlignment="1">
      <alignment shrinkToFit="1"/>
    </xf>
    <xf numFmtId="191" fontId="8" fillId="0" borderId="20" xfId="1" applyNumberFormat="1" applyFont="1" applyFill="1" applyBorder="1" applyAlignment="1">
      <alignment horizontal="center" wrapText="1"/>
    </xf>
    <xf numFmtId="1" fontId="8" fillId="0" borderId="20" xfId="0" applyNumberFormat="1" applyFont="1" applyBorder="1" applyAlignment="1">
      <alignment horizontal="center" wrapText="1"/>
    </xf>
    <xf numFmtId="191" fontId="108" fillId="0" borderId="0" xfId="1" applyNumberFormat="1" applyFont="1"/>
    <xf numFmtId="0" fontId="8" fillId="7" borderId="26" xfId="255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0" fontId="42" fillId="8" borderId="0" xfId="0" applyFont="1" applyFill="1"/>
    <xf numFmtId="3" fontId="35" fillId="0" borderId="8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3" fontId="7" fillId="0" borderId="42" xfId="1" applyNumberFormat="1" applyFont="1" applyBorder="1" applyAlignment="1">
      <alignment horizontal="right" vertical="center"/>
    </xf>
    <xf numFmtId="0" fontId="8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4" fontId="13" fillId="0" borderId="15" xfId="0" applyNumberFormat="1" applyFont="1" applyBorder="1" applyAlignment="1">
      <alignment horizontal="right" vertical="center"/>
    </xf>
    <xf numFmtId="4" fontId="11" fillId="0" borderId="15" xfId="0" applyNumberFormat="1" applyFont="1" applyBorder="1" applyAlignment="1">
      <alignment horizontal="right" vertical="center"/>
    </xf>
    <xf numFmtId="3" fontId="12" fillId="3" borderId="1" xfId="1" applyNumberFormat="1" applyFont="1" applyFill="1" applyBorder="1" applyAlignment="1">
      <alignment vertical="center"/>
    </xf>
    <xf numFmtId="3" fontId="8" fillId="0" borderId="42" xfId="0" applyNumberFormat="1" applyFont="1" applyBorder="1" applyAlignment="1">
      <alignment horizontal="center" vertical="center"/>
    </xf>
    <xf numFmtId="198" fontId="4" fillId="0" borderId="0" xfId="0" applyNumberFormat="1" applyFont="1"/>
    <xf numFmtId="3" fontId="35" fillId="0" borderId="40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42" xfId="0" applyFont="1" applyBorder="1" applyAlignment="1">
      <alignment vertical="center"/>
    </xf>
    <xf numFmtId="0" fontId="49" fillId="0" borderId="8" xfId="0" applyFont="1" applyBorder="1" applyAlignment="1">
      <alignment horizontal="left" vertical="center"/>
    </xf>
    <xf numFmtId="0" fontId="13" fillId="0" borderId="44" xfId="0" applyFont="1" applyBorder="1" applyAlignment="1">
      <alignment shrinkToFit="1"/>
    </xf>
    <xf numFmtId="0" fontId="13" fillId="7" borderId="44" xfId="0" applyFont="1" applyFill="1" applyBorder="1" applyAlignment="1">
      <alignment shrinkToFit="1"/>
    </xf>
    <xf numFmtId="0" fontId="13" fillId="7" borderId="45" xfId="0" applyFont="1" applyFill="1" applyBorder="1" applyAlignment="1">
      <alignment shrinkToFit="1"/>
    </xf>
    <xf numFmtId="0" fontId="13" fillId="9" borderId="46" xfId="0" applyFont="1" applyFill="1" applyBorder="1" applyAlignment="1">
      <alignment shrinkToFit="1"/>
    </xf>
    <xf numFmtId="0" fontId="13" fillId="7" borderId="1" xfId="0" applyFont="1" applyFill="1" applyBorder="1" applyAlignment="1">
      <alignment shrinkToFit="1"/>
    </xf>
    <xf numFmtId="0" fontId="13" fillId="7" borderId="1" xfId="0" applyFont="1" applyFill="1" applyBorder="1" applyAlignment="1">
      <alignment horizontal="left" vertical="center"/>
    </xf>
    <xf numFmtId="0" fontId="61" fillId="7" borderId="0" xfId="255" applyFont="1" applyFill="1"/>
    <xf numFmtId="0" fontId="11" fillId="7" borderId="0" xfId="255" applyFont="1" applyFill="1"/>
    <xf numFmtId="0" fontId="13" fillId="7" borderId="0" xfId="255" applyFont="1" applyFill="1"/>
    <xf numFmtId="0" fontId="13" fillId="7" borderId="0" xfId="255" applyFont="1" applyFill="1" applyAlignment="1">
      <alignment horizontal="center"/>
    </xf>
    <xf numFmtId="0" fontId="35" fillId="7" borderId="15" xfId="255" applyFont="1" applyFill="1" applyBorder="1" applyAlignment="1">
      <alignment horizontal="center" vertical="center"/>
    </xf>
    <xf numFmtId="0" fontId="35" fillId="7" borderId="15" xfId="255" applyFont="1" applyFill="1" applyBorder="1" applyAlignment="1">
      <alignment horizontal="center" vertical="center" wrapText="1"/>
    </xf>
    <xf numFmtId="0" fontId="35" fillId="7" borderId="15" xfId="255" applyFont="1" applyFill="1" applyBorder="1" applyAlignment="1">
      <alignment horizontal="center" vertical="center" wrapText="1" shrinkToFit="1"/>
    </xf>
    <xf numFmtId="0" fontId="13" fillId="7" borderId="1" xfId="0" applyFont="1" applyFill="1" applyBorder="1" applyAlignment="1">
      <alignment horizontal="left" shrinkToFit="1"/>
    </xf>
    <xf numFmtId="0" fontId="61" fillId="7" borderId="6" xfId="255" applyFont="1" applyFill="1" applyBorder="1"/>
    <xf numFmtId="0" fontId="63" fillId="7" borderId="24" xfId="255" applyFont="1" applyFill="1" applyBorder="1"/>
    <xf numFmtId="202" fontId="12" fillId="7" borderId="25" xfId="255" applyNumberFormat="1" applyFont="1" applyFill="1" applyBorder="1" applyAlignment="1">
      <alignment horizontal="right"/>
    </xf>
    <xf numFmtId="0" fontId="12" fillId="7" borderId="25" xfId="255" applyFont="1" applyFill="1" applyBorder="1" applyAlignment="1">
      <alignment horizontal="center"/>
    </xf>
    <xf numFmtId="0" fontId="63" fillId="7" borderId="0" xfId="255" applyFont="1" applyFill="1"/>
    <xf numFmtId="202" fontId="4" fillId="7" borderId="26" xfId="255" applyNumberFormat="1" applyFont="1" applyFill="1" applyBorder="1" applyAlignment="1">
      <alignment horizontal="left" vertical="center"/>
    </xf>
    <xf numFmtId="202" fontId="8" fillId="7" borderId="26" xfId="275" applyNumberFormat="1" applyFont="1" applyFill="1" applyBorder="1" applyAlignment="1">
      <alignment horizontal="left"/>
    </xf>
    <xf numFmtId="0" fontId="63" fillId="7" borderId="26" xfId="255" applyFont="1" applyFill="1" applyBorder="1"/>
    <xf numFmtId="204" fontId="8" fillId="7" borderId="26" xfId="255" applyNumberFormat="1" applyFont="1" applyFill="1" applyBorder="1" applyAlignment="1">
      <alignment horizontal="center"/>
    </xf>
    <xf numFmtId="202" fontId="8" fillId="7" borderId="25" xfId="275" applyNumberFormat="1" applyFont="1" applyFill="1" applyBorder="1"/>
    <xf numFmtId="202" fontId="8" fillId="7" borderId="25" xfId="275" applyNumberFormat="1" applyFont="1" applyFill="1" applyBorder="1" applyAlignment="1">
      <alignment horizontal="center"/>
    </xf>
    <xf numFmtId="202" fontId="8" fillId="7" borderId="26" xfId="275" applyNumberFormat="1" applyFont="1" applyFill="1" applyBorder="1"/>
    <xf numFmtId="202" fontId="8" fillId="7" borderId="26" xfId="275" applyNumberFormat="1" applyFont="1" applyFill="1" applyBorder="1" applyAlignment="1">
      <alignment horizontal="center"/>
    </xf>
    <xf numFmtId="202" fontId="8" fillId="7" borderId="30" xfId="275" applyNumberFormat="1" applyFont="1" applyFill="1" applyBorder="1"/>
    <xf numFmtId="202" fontId="8" fillId="7" borderId="30" xfId="275" applyNumberFormat="1" applyFont="1" applyFill="1" applyBorder="1" applyAlignment="1">
      <alignment horizontal="center"/>
    </xf>
    <xf numFmtId="0" fontId="4" fillId="7" borderId="0" xfId="255" applyFont="1" applyFill="1" applyAlignment="1">
      <alignment horizontal="center" vertical="center"/>
    </xf>
    <xf numFmtId="0" fontId="4" fillId="7" borderId="0" xfId="255" applyFont="1" applyFill="1"/>
    <xf numFmtId="0" fontId="35" fillId="7" borderId="0" xfId="255" applyFont="1" applyFill="1" applyAlignment="1">
      <alignment horizontal="center"/>
    </xf>
    <xf numFmtId="0" fontId="44" fillId="7" borderId="0" xfId="255" applyFont="1" applyFill="1"/>
    <xf numFmtId="0" fontId="35" fillId="7" borderId="0" xfId="255" applyFont="1" applyFill="1"/>
    <xf numFmtId="0" fontId="72" fillId="7" borderId="0" xfId="255" applyFont="1" applyFill="1"/>
    <xf numFmtId="0" fontId="4" fillId="7" borderId="1" xfId="255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44" fillId="7" borderId="1" xfId="0" applyFont="1" applyFill="1" applyBorder="1" applyAlignment="1">
      <alignment horizontal="center" vertical="center"/>
    </xf>
    <xf numFmtId="202" fontId="44" fillId="7" borderId="1" xfId="255" applyNumberFormat="1" applyFont="1" applyFill="1" applyBorder="1" applyAlignment="1">
      <alignment horizontal="left" vertical="center"/>
    </xf>
    <xf numFmtId="0" fontId="8" fillId="7" borderId="1" xfId="274" applyFont="1" applyFill="1" applyBorder="1" applyAlignment="1">
      <alignment horizontal="right" vertical="center"/>
    </xf>
    <xf numFmtId="203" fontId="8" fillId="7" borderId="1" xfId="8" applyNumberFormat="1" applyFont="1" applyFill="1" applyBorder="1" applyAlignment="1">
      <alignment horizontal="center" vertical="center"/>
    </xf>
    <xf numFmtId="0" fontId="8" fillId="7" borderId="1" xfId="255" applyFont="1" applyFill="1" applyBorder="1" applyAlignment="1">
      <alignment horizontal="center"/>
    </xf>
    <xf numFmtId="1" fontId="8" fillId="7" borderId="1" xfId="255" applyNumberFormat="1" applyFont="1" applyFill="1" applyBorder="1" applyAlignment="1">
      <alignment horizontal="center"/>
    </xf>
    <xf numFmtId="202" fontId="8" fillId="7" borderId="1" xfId="255" applyNumberFormat="1" applyFont="1" applyFill="1" applyBorder="1" applyAlignment="1">
      <alignment horizontal="center"/>
    </xf>
    <xf numFmtId="0" fontId="44" fillId="7" borderId="1" xfId="255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0" fontId="61" fillId="7" borderId="1" xfId="255" applyFont="1" applyFill="1" applyBorder="1"/>
    <xf numFmtId="0" fontId="8" fillId="7" borderId="1" xfId="274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vertical="center"/>
    </xf>
    <xf numFmtId="3" fontId="7" fillId="0" borderId="33" xfId="0" applyNumberFormat="1" applyFont="1" applyBorder="1" applyAlignment="1">
      <alignment vertical="center"/>
    </xf>
    <xf numFmtId="3" fontId="65" fillId="0" borderId="0" xfId="0" applyNumberFormat="1" applyFont="1" applyAlignment="1">
      <alignment horizontal="center" vertical="top" wrapText="1"/>
    </xf>
    <xf numFmtId="0" fontId="75" fillId="0" borderId="25" xfId="25" applyFont="1" applyBorder="1" applyAlignment="1">
      <alignment horizontal="left" vertical="center"/>
    </xf>
    <xf numFmtId="3" fontId="13" fillId="0" borderId="6" xfId="25" quotePrefix="1" applyNumberFormat="1" applyFont="1" applyBorder="1" applyAlignment="1">
      <alignment horizontal="left" vertical="center"/>
    </xf>
    <xf numFmtId="192" fontId="8" fillId="3" borderId="18" xfId="1" applyNumberFormat="1" applyFont="1" applyFill="1" applyBorder="1" applyAlignment="1">
      <alignment horizontal="center" vertical="center" shrinkToFit="1"/>
    </xf>
    <xf numFmtId="0" fontId="111" fillId="0" borderId="30" xfId="25" applyFont="1" applyBorder="1" applyAlignment="1">
      <alignment horizontal="left"/>
    </xf>
    <xf numFmtId="0" fontId="75" fillId="0" borderId="26" xfId="25" applyFont="1" applyBorder="1" applyAlignment="1">
      <alignment horizontal="left" vertical="center"/>
    </xf>
    <xf numFmtId="3" fontId="76" fillId="0" borderId="26" xfId="25" applyNumberFormat="1" applyFont="1" applyBorder="1" applyAlignment="1">
      <alignment vertical="center"/>
    </xf>
    <xf numFmtId="0" fontId="112" fillId="0" borderId="26" xfId="25" applyFont="1" applyBorder="1" applyAlignment="1">
      <alignment horizontal="left"/>
    </xf>
    <xf numFmtId="0" fontId="13" fillId="7" borderId="26" xfId="25" quotePrefix="1" applyFont="1" applyFill="1" applyBorder="1" applyAlignment="1">
      <alignment horizontal="left" vertical="center"/>
    </xf>
    <xf numFmtId="0" fontId="76" fillId="7" borderId="26" xfId="25" applyFont="1" applyFill="1" applyBorder="1" applyAlignment="1">
      <alignment horizontal="left" vertical="center"/>
    </xf>
    <xf numFmtId="3" fontId="76" fillId="7" borderId="26" xfId="25" applyNumberFormat="1" applyFont="1" applyFill="1" applyBorder="1" applyAlignment="1">
      <alignment vertical="center"/>
    </xf>
    <xf numFmtId="3" fontId="13" fillId="7" borderId="26" xfId="25" quotePrefix="1" applyNumberFormat="1" applyFont="1" applyFill="1" applyBorder="1" applyAlignment="1">
      <alignment horizontal="left" vertical="center"/>
    </xf>
    <xf numFmtId="3" fontId="13" fillId="0" borderId="26" xfId="25" quotePrefix="1" applyNumberFormat="1" applyFont="1" applyBorder="1" applyAlignment="1">
      <alignment horizontal="left" vertical="center"/>
    </xf>
    <xf numFmtId="3" fontId="76" fillId="0" borderId="26" xfId="25" applyNumberFormat="1" applyFont="1" applyBorder="1" applyAlignment="1">
      <alignment horizontal="left" vertical="center"/>
    </xf>
    <xf numFmtId="0" fontId="76" fillId="0" borderId="26" xfId="25" applyFont="1" applyBorder="1" applyAlignment="1">
      <alignment horizontal="left" vertical="center"/>
    </xf>
    <xf numFmtId="0" fontId="13" fillId="0" borderId="26" xfId="25" quotePrefix="1" applyFont="1" applyBorder="1" applyAlignment="1">
      <alignment horizontal="left" vertical="center"/>
    </xf>
    <xf numFmtId="0" fontId="112" fillId="0" borderId="30" xfId="25" applyFont="1" applyBorder="1" applyAlignment="1">
      <alignment horizontal="left"/>
    </xf>
    <xf numFmtId="3" fontId="4" fillId="9" borderId="0" xfId="0" applyNumberFormat="1" applyFont="1" applyFill="1"/>
    <xf numFmtId="0" fontId="113" fillId="3" borderId="0" xfId="0" applyFont="1" applyFill="1" applyAlignment="1">
      <alignment horizontal="center"/>
    </xf>
    <xf numFmtId="0" fontId="113" fillId="9" borderId="0" xfId="0" applyFont="1" applyFill="1" applyAlignment="1">
      <alignment horizontal="center" vertical="center"/>
    </xf>
    <xf numFmtId="3" fontId="4" fillId="3" borderId="0" xfId="0" applyNumberFormat="1" applyFont="1" applyFill="1"/>
    <xf numFmtId="0" fontId="114" fillId="0" borderId="0" xfId="0" applyFont="1"/>
    <xf numFmtId="0" fontId="114" fillId="0" borderId="0" xfId="0" applyFont="1" applyAlignment="1">
      <alignment horizontal="center"/>
    </xf>
    <xf numFmtId="0" fontId="114" fillId="0" borderId="1" xfId="0" applyFont="1" applyBorder="1" applyAlignment="1">
      <alignment horizontal="center"/>
    </xf>
    <xf numFmtId="0" fontId="114" fillId="0" borderId="1" xfId="0" applyFont="1" applyBorder="1"/>
    <xf numFmtId="0" fontId="114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left" vertical="center"/>
    </xf>
    <xf numFmtId="0" fontId="75" fillId="0" borderId="25" xfId="0" applyFont="1" applyBorder="1" applyAlignment="1">
      <alignment horizontal="left" vertical="center"/>
    </xf>
    <xf numFmtId="3" fontId="13" fillId="0" borderId="6" xfId="0" quotePrefix="1" applyNumberFormat="1" applyFont="1" applyBorder="1" applyAlignment="1">
      <alignment horizontal="left" vertical="center"/>
    </xf>
    <xf numFmtId="0" fontId="114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75" fillId="0" borderId="26" xfId="0" applyFont="1" applyBorder="1" applyAlignment="1">
      <alignment horizontal="left" vertical="center"/>
    </xf>
    <xf numFmtId="3" fontId="10" fillId="0" borderId="26" xfId="0" applyNumberFormat="1" applyFont="1" applyBorder="1" applyAlignment="1">
      <alignment vertical="center"/>
    </xf>
    <xf numFmtId="3" fontId="76" fillId="0" borderId="26" xfId="0" applyNumberFormat="1" applyFont="1" applyBorder="1" applyAlignment="1">
      <alignment vertical="center"/>
    </xf>
    <xf numFmtId="0" fontId="114" fillId="0" borderId="26" xfId="0" applyFont="1" applyBorder="1" applyAlignment="1">
      <alignment horizontal="left"/>
    </xf>
    <xf numFmtId="0" fontId="112" fillId="0" borderId="26" xfId="0" applyFont="1" applyBorder="1" applyAlignment="1">
      <alignment horizontal="left"/>
    </xf>
    <xf numFmtId="0" fontId="10" fillId="7" borderId="26" xfId="0" applyFont="1" applyFill="1" applyBorder="1" applyAlignment="1">
      <alignment horizontal="left" vertical="center"/>
    </xf>
    <xf numFmtId="0" fontId="76" fillId="7" borderId="26" xfId="0" applyFont="1" applyFill="1" applyBorder="1" applyAlignment="1">
      <alignment horizontal="left" vertical="center"/>
    </xf>
    <xf numFmtId="0" fontId="13" fillId="7" borderId="26" xfId="0" quotePrefix="1" applyFont="1" applyFill="1" applyBorder="1" applyAlignment="1">
      <alignment horizontal="left" vertical="center"/>
    </xf>
    <xf numFmtId="3" fontId="10" fillId="7" borderId="26" xfId="0" applyNumberFormat="1" applyFont="1" applyFill="1" applyBorder="1" applyAlignment="1">
      <alignment vertical="center"/>
    </xf>
    <xf numFmtId="3" fontId="76" fillId="7" borderId="26" xfId="0" applyNumberFormat="1" applyFont="1" applyFill="1" applyBorder="1" applyAlignment="1">
      <alignment vertical="center"/>
    </xf>
    <xf numFmtId="3" fontId="13" fillId="7" borderId="26" xfId="0" quotePrefix="1" applyNumberFormat="1" applyFont="1" applyFill="1" applyBorder="1" applyAlignment="1">
      <alignment horizontal="left" vertical="center"/>
    </xf>
    <xf numFmtId="3" fontId="13" fillId="0" borderId="26" xfId="0" quotePrefix="1" applyNumberFormat="1" applyFont="1" applyBorder="1" applyAlignment="1">
      <alignment horizontal="left" vertical="center"/>
    </xf>
    <xf numFmtId="3" fontId="76" fillId="0" borderId="26" xfId="0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76" fillId="0" borderId="26" xfId="0" applyFont="1" applyBorder="1" applyAlignment="1">
      <alignment horizontal="left" vertical="center"/>
    </xf>
    <xf numFmtId="0" fontId="13" fillId="0" borderId="26" xfId="0" quotePrefix="1" applyFont="1" applyBorder="1" applyAlignment="1">
      <alignment horizontal="left" vertical="center"/>
    </xf>
    <xf numFmtId="0" fontId="114" fillId="0" borderId="30" xfId="0" applyFont="1" applyBorder="1" applyAlignment="1">
      <alignment horizontal="center"/>
    </xf>
    <xf numFmtId="0" fontId="114" fillId="0" borderId="30" xfId="0" applyFont="1" applyBorder="1" applyAlignment="1">
      <alignment horizontal="left"/>
    </xf>
    <xf numFmtId="0" fontId="112" fillId="0" borderId="30" xfId="0" applyFont="1" applyBorder="1" applyAlignment="1">
      <alignment horizontal="left"/>
    </xf>
    <xf numFmtId="0" fontId="61" fillId="7" borderId="24" xfId="255" applyFont="1" applyFill="1" applyBorder="1"/>
    <xf numFmtId="0" fontId="8" fillId="7" borderId="15" xfId="255" applyFont="1" applyFill="1" applyBorder="1" applyAlignment="1">
      <alignment horizontal="center"/>
    </xf>
    <xf numFmtId="189" fontId="4" fillId="9" borderId="0" xfId="0" applyNumberFormat="1" applyFont="1" applyFill="1" applyAlignment="1">
      <alignment horizontal="center"/>
    </xf>
    <xf numFmtId="189" fontId="8" fillId="0" borderId="8" xfId="1" applyNumberFormat="1" applyFont="1" applyFill="1" applyBorder="1" applyAlignment="1">
      <alignment horizontal="right" vertical="center" shrinkToFit="1"/>
    </xf>
    <xf numFmtId="192" fontId="8" fillId="0" borderId="8" xfId="1" applyNumberFormat="1" applyFont="1" applyFill="1" applyBorder="1" applyAlignment="1">
      <alignment horizontal="right" vertical="center" shrinkToFit="1"/>
    </xf>
    <xf numFmtId="192" fontId="8" fillId="3" borderId="8" xfId="1" applyNumberFormat="1" applyFont="1" applyFill="1" applyBorder="1" applyAlignment="1">
      <alignment horizontal="right" vertical="center" shrinkToFit="1"/>
    </xf>
    <xf numFmtId="1" fontId="8" fillId="0" borderId="37" xfId="0" applyNumberFormat="1" applyFont="1" applyBorder="1" applyAlignment="1">
      <alignment horizontal="center" wrapText="1"/>
    </xf>
    <xf numFmtId="0" fontId="4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3" fontId="42" fillId="0" borderId="16" xfId="1" applyNumberFormat="1" applyFont="1" applyBorder="1" applyAlignment="1">
      <alignment horizontal="right" vertical="center"/>
    </xf>
    <xf numFmtId="3" fontId="42" fillId="0" borderId="16" xfId="0" applyNumberFormat="1" applyFont="1" applyBorder="1" applyAlignment="1">
      <alignment horizontal="center" vertical="center"/>
    </xf>
    <xf numFmtId="3" fontId="42" fillId="0" borderId="1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2" fillId="0" borderId="6" xfId="1" applyNumberFormat="1" applyFont="1" applyBorder="1" applyAlignment="1">
      <alignment horizontal="right" vertical="center"/>
    </xf>
    <xf numFmtId="3" fontId="42" fillId="0" borderId="6" xfId="0" applyNumberFormat="1" applyFont="1" applyBorder="1" applyAlignment="1">
      <alignment horizontal="center" vertical="center"/>
    </xf>
    <xf numFmtId="3" fontId="42" fillId="0" borderId="6" xfId="0" applyNumberFormat="1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43" fontId="42" fillId="0" borderId="0" xfId="1" applyFont="1"/>
    <xf numFmtId="43" fontId="108" fillId="0" borderId="0" xfId="1" applyFont="1"/>
    <xf numFmtId="2" fontId="69" fillId="0" borderId="0" xfId="0" applyNumberFormat="1" applyFont="1"/>
    <xf numFmtId="205" fontId="0" fillId="0" borderId="0" xfId="0" applyNumberFormat="1"/>
    <xf numFmtId="0" fontId="26" fillId="0" borderId="0" xfId="0" applyFont="1" applyAlignment="1">
      <alignment horizontal="center"/>
    </xf>
    <xf numFmtId="0" fontId="19" fillId="0" borderId="0" xfId="0" applyFont="1"/>
    <xf numFmtId="49" fontId="23" fillId="0" borderId="0" xfId="0" applyNumberFormat="1" applyFont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54" fillId="0" borderId="16" xfId="0" applyFont="1" applyBorder="1"/>
    <xf numFmtId="192" fontId="13" fillId="0" borderId="16" xfId="1" applyNumberFormat="1" applyFont="1" applyFill="1" applyBorder="1" applyAlignment="1">
      <alignment horizontal="center"/>
    </xf>
    <xf numFmtId="192" fontId="13" fillId="0" borderId="16" xfId="1" applyNumberFormat="1" applyFont="1" applyFill="1" applyBorder="1"/>
    <xf numFmtId="0" fontId="13" fillId="0" borderId="16" xfId="0" applyFont="1" applyBorder="1"/>
    <xf numFmtId="0" fontId="13" fillId="0" borderId="6" xfId="0" applyFont="1" applyBorder="1" applyAlignment="1">
      <alignment horizontal="left"/>
    </xf>
    <xf numFmtId="0" fontId="54" fillId="0" borderId="6" xfId="0" applyFont="1" applyBorder="1"/>
    <xf numFmtId="192" fontId="13" fillId="0" borderId="6" xfId="1" applyNumberFormat="1" applyFont="1" applyFill="1" applyBorder="1" applyAlignment="1">
      <alignment horizontal="center"/>
    </xf>
    <xf numFmtId="192" fontId="13" fillId="0" borderId="6" xfId="1" applyNumberFormat="1" applyFont="1" applyFill="1" applyBorder="1"/>
    <xf numFmtId="0" fontId="13" fillId="0" borderId="6" xfId="0" applyFont="1" applyBorder="1"/>
    <xf numFmtId="0" fontId="54" fillId="0" borderId="6" xfId="0" applyFont="1" applyBorder="1" applyAlignment="1">
      <alignment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192" fontId="20" fillId="0" borderId="1" xfId="0" applyNumberFormat="1" applyFont="1" applyBorder="1"/>
    <xf numFmtId="0" fontId="32" fillId="0" borderId="0" xfId="0" applyFont="1"/>
    <xf numFmtId="0" fontId="45" fillId="0" borderId="42" xfId="0" applyFont="1" applyBorder="1" applyAlignment="1">
      <alignment horizontal="center" vertical="center" wrapText="1"/>
    </xf>
    <xf numFmtId="3" fontId="35" fillId="0" borderId="48" xfId="0" applyNumberFormat="1" applyFont="1" applyBorder="1" applyAlignment="1">
      <alignment horizontal="right" vertical="center"/>
    </xf>
    <xf numFmtId="3" fontId="4" fillId="0" borderId="49" xfId="1" applyNumberFormat="1" applyFont="1" applyBorder="1" applyAlignment="1">
      <alignment vertical="center"/>
    </xf>
    <xf numFmtId="3" fontId="4" fillId="0" borderId="50" xfId="1" applyNumberFormat="1" applyFont="1" applyBorder="1" applyAlignment="1">
      <alignment horizontal="right" vertical="center"/>
    </xf>
    <xf numFmtId="3" fontId="4" fillId="0" borderId="8" xfId="1" applyNumberFormat="1" applyFont="1" applyBorder="1" applyAlignment="1">
      <alignment horizontal="right" vertical="center"/>
    </xf>
    <xf numFmtId="3" fontId="35" fillId="0" borderId="51" xfId="0" applyNumberFormat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3" fontId="10" fillId="9" borderId="26" xfId="0" applyNumberFormat="1" applyFont="1" applyFill="1" applyBorder="1" applyAlignment="1">
      <alignment vertical="center"/>
    </xf>
    <xf numFmtId="3" fontId="10" fillId="9" borderId="26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shrinkToFit="1"/>
    </xf>
    <xf numFmtId="0" fontId="13" fillId="7" borderId="46" xfId="0" applyFont="1" applyFill="1" applyBorder="1" applyAlignment="1">
      <alignment shrinkToFit="1"/>
    </xf>
    <xf numFmtId="0" fontId="13" fillId="9" borderId="44" xfId="0" applyFont="1" applyFill="1" applyBorder="1"/>
    <xf numFmtId="3" fontId="10" fillId="7" borderId="26" xfId="0" applyNumberFormat="1" applyFont="1" applyFill="1" applyBorder="1" applyAlignment="1">
      <alignment horizontal="left" vertical="center"/>
    </xf>
    <xf numFmtId="4" fontId="4" fillId="0" borderId="6" xfId="0" applyNumberFormat="1" applyFont="1" applyBorder="1"/>
    <xf numFmtId="192" fontId="13" fillId="3" borderId="26" xfId="0" applyNumberFormat="1" applyFont="1" applyFill="1" applyBorder="1" applyAlignment="1">
      <alignment horizontal="right"/>
    </xf>
    <xf numFmtId="0" fontId="8" fillId="8" borderId="26" xfId="0" applyFont="1" applyFill="1" applyBorder="1" applyAlignment="1">
      <alignment horizontal="center"/>
    </xf>
    <xf numFmtId="192" fontId="13" fillId="7" borderId="26" xfId="0" applyNumberFormat="1" applyFont="1" applyFill="1" applyBorder="1" applyAlignment="1">
      <alignment horizontal="center"/>
    </xf>
    <xf numFmtId="192" fontId="61" fillId="7" borderId="0" xfId="255" applyNumberFormat="1" applyFont="1" applyFill="1"/>
    <xf numFmtId="0" fontId="115" fillId="7" borderId="1" xfId="255" applyFont="1" applyFill="1" applyBorder="1" applyAlignment="1">
      <alignment horizontal="center" vertical="center"/>
    </xf>
    <xf numFmtId="0" fontId="115" fillId="7" borderId="1" xfId="0" applyFont="1" applyFill="1" applyBorder="1" applyAlignment="1">
      <alignment vertical="center"/>
    </xf>
    <xf numFmtId="0" fontId="116" fillId="7" borderId="26" xfId="0" applyFont="1" applyFill="1" applyBorder="1" applyAlignment="1">
      <alignment horizontal="left" vertical="center"/>
    </xf>
    <xf numFmtId="0" fontId="115" fillId="7" borderId="1" xfId="0" applyFont="1" applyFill="1" applyBorder="1" applyAlignment="1">
      <alignment horizontal="center" vertical="center"/>
    </xf>
    <xf numFmtId="202" fontId="115" fillId="7" borderId="1" xfId="255" applyNumberFormat="1" applyFont="1" applyFill="1" applyBorder="1" applyAlignment="1">
      <alignment horizontal="left" vertical="center"/>
    </xf>
    <xf numFmtId="0" fontId="115" fillId="7" borderId="1" xfId="274" applyFont="1" applyFill="1" applyBorder="1" applyAlignment="1">
      <alignment horizontal="right" vertical="center"/>
    </xf>
    <xf numFmtId="203" fontId="115" fillId="7" borderId="1" xfId="8" applyNumberFormat="1" applyFont="1" applyFill="1" applyBorder="1" applyAlignment="1">
      <alignment horizontal="center" vertical="center"/>
    </xf>
    <xf numFmtId="0" fontId="115" fillId="7" borderId="1" xfId="255" applyFont="1" applyFill="1" applyBorder="1" applyAlignment="1">
      <alignment horizontal="center"/>
    </xf>
    <xf numFmtId="1" fontId="115" fillId="7" borderId="1" xfId="255" applyNumberFormat="1" applyFont="1" applyFill="1" applyBorder="1" applyAlignment="1">
      <alignment horizontal="center"/>
    </xf>
    <xf numFmtId="192" fontId="117" fillId="3" borderId="26" xfId="0" applyNumberFormat="1" applyFont="1" applyFill="1" applyBorder="1" applyAlignment="1">
      <alignment horizontal="right"/>
    </xf>
    <xf numFmtId="0" fontId="115" fillId="8" borderId="26" xfId="0" applyFont="1" applyFill="1" applyBorder="1" applyAlignment="1">
      <alignment horizontal="center"/>
    </xf>
    <xf numFmtId="192" fontId="116" fillId="7" borderId="0" xfId="255" applyNumberFormat="1" applyFont="1" applyFill="1"/>
    <xf numFmtId="192" fontId="117" fillId="7" borderId="26" xfId="0" applyNumberFormat="1" applyFont="1" applyFill="1" applyBorder="1" applyAlignment="1">
      <alignment horizontal="center"/>
    </xf>
    <xf numFmtId="0" fontId="116" fillId="7" borderId="0" xfId="255" applyFont="1" applyFill="1"/>
    <xf numFmtId="0" fontId="116" fillId="7" borderId="6" xfId="255" applyFont="1" applyFill="1" applyBorder="1"/>
    <xf numFmtId="0" fontId="69" fillId="9" borderId="0" xfId="0" applyFont="1" applyFill="1"/>
    <xf numFmtId="0" fontId="70" fillId="9" borderId="0" xfId="0" applyFont="1" applyFill="1" applyAlignment="1">
      <alignment horizontal="center"/>
    </xf>
    <xf numFmtId="0" fontId="70" fillId="9" borderId="1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189" fontId="69" fillId="9" borderId="16" xfId="0" applyNumberFormat="1" applyFont="1" applyFill="1" applyBorder="1" applyAlignment="1">
      <alignment horizontal="center" vertical="center" shrinkToFit="1"/>
    </xf>
    <xf numFmtId="189" fontId="69" fillId="9" borderId="6" xfId="0" applyNumberFormat="1" applyFont="1" applyFill="1" applyBorder="1" applyAlignment="1">
      <alignment horizontal="center" vertical="center" shrinkToFit="1"/>
    </xf>
    <xf numFmtId="189" fontId="7" fillId="9" borderId="6" xfId="0" applyNumberFormat="1" applyFont="1" applyFill="1" applyBorder="1" applyAlignment="1">
      <alignment horizontal="center" vertical="center" shrinkToFit="1"/>
    </xf>
    <xf numFmtId="189" fontId="69" fillId="9" borderId="17" xfId="0" applyNumberFormat="1" applyFont="1" applyFill="1" applyBorder="1" applyAlignment="1">
      <alignment horizontal="center" vertical="center" shrinkToFit="1"/>
    </xf>
    <xf numFmtId="4" fontId="118" fillId="9" borderId="1" xfId="1" applyNumberFormat="1" applyFont="1" applyFill="1" applyBorder="1" applyAlignment="1">
      <alignment vertical="center"/>
    </xf>
    <xf numFmtId="0" fontId="70" fillId="9" borderId="0" xfId="0" applyFont="1" applyFill="1"/>
    <xf numFmtId="4" fontId="70" fillId="9" borderId="0" xfId="0" applyNumberFormat="1" applyFont="1" applyFill="1"/>
    <xf numFmtId="4" fontId="70" fillId="9" borderId="0" xfId="0" applyNumberFormat="1" applyFont="1" applyFill="1" applyAlignment="1">
      <alignment horizontal="center"/>
    </xf>
    <xf numFmtId="4" fontId="69" fillId="9" borderId="0" xfId="0" applyNumberFormat="1" applyFont="1" applyFill="1"/>
    <xf numFmtId="189" fontId="69" fillId="9" borderId="0" xfId="0" applyNumberFormat="1" applyFont="1" applyFill="1"/>
    <xf numFmtId="0" fontId="71" fillId="9" borderId="0" xfId="0" applyFont="1" applyFill="1" applyAlignment="1">
      <alignment horizontal="center"/>
    </xf>
    <xf numFmtId="4" fontId="71" fillId="9" borderId="0" xfId="0" applyNumberFormat="1" applyFont="1" applyFill="1" applyAlignment="1">
      <alignment horizontal="center"/>
    </xf>
    <xf numFmtId="189" fontId="69" fillId="9" borderId="16" xfId="0" applyNumberFormat="1" applyFont="1" applyFill="1" applyBorder="1" applyAlignment="1">
      <alignment horizontal="center"/>
    </xf>
    <xf numFmtId="189" fontId="69" fillId="9" borderId="6" xfId="0" applyNumberFormat="1" applyFont="1" applyFill="1" applyBorder="1" applyAlignment="1">
      <alignment horizontal="center"/>
    </xf>
    <xf numFmtId="189" fontId="7" fillId="9" borderId="6" xfId="0" applyNumberFormat="1" applyFont="1" applyFill="1" applyBorder="1" applyAlignment="1">
      <alignment horizontal="center"/>
    </xf>
    <xf numFmtId="189" fontId="69" fillId="9" borderId="17" xfId="0" applyNumberFormat="1" applyFont="1" applyFill="1" applyBorder="1" applyAlignment="1">
      <alignment horizontal="center"/>
    </xf>
    <xf numFmtId="4" fontId="70" fillId="9" borderId="1" xfId="1" applyNumberFormat="1" applyFont="1" applyFill="1" applyBorder="1" applyAlignment="1">
      <alignment vertical="center"/>
    </xf>
    <xf numFmtId="2" fontId="8" fillId="0" borderId="8" xfId="0" quotePrefix="1" applyNumberFormat="1" applyFont="1" applyBorder="1" applyAlignment="1">
      <alignment horizontal="right" wrapText="1"/>
    </xf>
    <xf numFmtId="2" fontId="12" fillId="0" borderId="48" xfId="0" applyNumberFormat="1" applyFont="1" applyBorder="1" applyAlignment="1">
      <alignment horizontal="right" wrapText="1"/>
    </xf>
    <xf numFmtId="192" fontId="12" fillId="0" borderId="48" xfId="1" applyNumberFormat="1" applyFont="1" applyFill="1" applyBorder="1" applyAlignment="1">
      <alignment horizontal="right" vertical="center" shrinkToFit="1"/>
    </xf>
    <xf numFmtId="189" fontId="12" fillId="0" borderId="48" xfId="1" applyNumberFormat="1" applyFont="1" applyFill="1" applyBorder="1" applyAlignment="1">
      <alignment horizontal="right" vertical="center" shrinkToFit="1"/>
    </xf>
    <xf numFmtId="192" fontId="12" fillId="0" borderId="52" xfId="1" applyNumberFormat="1" applyFont="1" applyFill="1" applyBorder="1" applyAlignment="1">
      <alignment vertical="center" shrinkToFit="1"/>
    </xf>
    <xf numFmtId="1" fontId="8" fillId="0" borderId="8" xfId="0" applyNumberFormat="1" applyFont="1" applyBorder="1" applyAlignment="1">
      <alignment horizontal="center" wrapText="1"/>
    </xf>
    <xf numFmtId="0" fontId="13" fillId="0" borderId="6" xfId="255" applyFont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center" vertical="center"/>
    </xf>
    <xf numFmtId="43" fontId="10" fillId="0" borderId="0" xfId="1" applyFont="1" applyFill="1"/>
    <xf numFmtId="0" fontId="13" fillId="0" borderId="6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3" fontId="22" fillId="0" borderId="0" xfId="0" applyNumberFormat="1" applyFont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192" fontId="13" fillId="0" borderId="17" xfId="1" applyNumberFormat="1" applyFont="1" applyFill="1" applyBorder="1" applyAlignment="1">
      <alignment horizontal="center"/>
    </xf>
    <xf numFmtId="192" fontId="13" fillId="0" borderId="17" xfId="1" applyNumberFormat="1" applyFont="1" applyFill="1" applyBorder="1"/>
    <xf numFmtId="0" fontId="13" fillId="0" borderId="17" xfId="0" applyFont="1" applyBorder="1"/>
    <xf numFmtId="0" fontId="20" fillId="0" borderId="0" xfId="0" applyFont="1" applyAlignment="1">
      <alignment horizontal="center"/>
    </xf>
    <xf numFmtId="0" fontId="1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2" fillId="0" borderId="0" xfId="0" applyFont="1"/>
    <xf numFmtId="0" fontId="120" fillId="0" borderId="0" xfId="0" applyFont="1"/>
    <xf numFmtId="0" fontId="93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3" fontId="93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shrinkToFit="1"/>
    </xf>
    <xf numFmtId="193" fontId="22" fillId="0" borderId="0" xfId="1" applyNumberFormat="1" applyFont="1" applyFill="1"/>
    <xf numFmtId="192" fontId="22" fillId="0" borderId="0" xfId="1" applyNumberFormat="1" applyFont="1" applyFill="1"/>
    <xf numFmtId="192" fontId="23" fillId="0" borderId="0" xfId="0" applyNumberFormat="1" applyFont="1"/>
    <xf numFmtId="191" fontId="92" fillId="0" borderId="0" xfId="1" applyNumberFormat="1" applyFont="1"/>
    <xf numFmtId="0" fontId="94" fillId="0" borderId="0" xfId="0" applyFont="1"/>
    <xf numFmtId="191" fontId="94" fillId="0" borderId="0" xfId="1" applyNumberFormat="1" applyFont="1"/>
    <xf numFmtId="0" fontId="89" fillId="0" borderId="0" xfId="0" applyFont="1"/>
    <xf numFmtId="191" fontId="93" fillId="0" borderId="1" xfId="1" applyNumberFormat="1" applyFont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wrapText="1"/>
    </xf>
    <xf numFmtId="191" fontId="96" fillId="3" borderId="1" xfId="1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92" fillId="0" borderId="6" xfId="1" applyNumberFormat="1" applyFont="1" applyBorder="1" applyAlignment="1">
      <alignment horizontal="right" vertical="center"/>
    </xf>
    <xf numFmtId="3" fontId="92" fillId="0" borderId="6" xfId="0" applyNumberFormat="1" applyFont="1" applyBorder="1" applyAlignment="1">
      <alignment horizontal="right" vertical="center"/>
    </xf>
    <xf numFmtId="3" fontId="93" fillId="0" borderId="1" xfId="0" applyNumberFormat="1" applyFont="1" applyBorder="1" applyAlignment="1">
      <alignment horizontal="right" vertical="center"/>
    </xf>
    <xf numFmtId="4" fontId="92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/>
    </xf>
    <xf numFmtId="0" fontId="13" fillId="7" borderId="1" xfId="28" applyFont="1" applyFill="1" applyBorder="1" applyAlignment="1">
      <alignment horizontal="center"/>
    </xf>
    <xf numFmtId="191" fontId="2" fillId="0" borderId="0" xfId="1" applyNumberFormat="1" applyFont="1" applyFill="1" applyAlignment="1">
      <alignment horizontal="center"/>
    </xf>
    <xf numFmtId="43" fontId="5" fillId="0" borderId="0" xfId="0" applyNumberFormat="1" applyFont="1"/>
    <xf numFmtId="189" fontId="3" fillId="0" borderId="6" xfId="0" applyNumberFormat="1" applyFont="1" applyBorder="1" applyAlignment="1">
      <alignment horizontal="center" vertical="center"/>
    </xf>
    <xf numFmtId="43" fontId="6" fillId="0" borderId="6" xfId="1" applyFont="1" applyFill="1" applyBorder="1" applyAlignment="1">
      <alignment horizontal="center"/>
    </xf>
    <xf numFmtId="189" fontId="1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6" xfId="1" applyFont="1" applyFill="1" applyBorder="1" applyAlignment="1">
      <alignment horizontal="center" vertical="center"/>
    </xf>
    <xf numFmtId="191" fontId="6" fillId="10" borderId="0" xfId="1" applyNumberFormat="1" applyFont="1" applyFill="1"/>
    <xf numFmtId="43" fontId="6" fillId="0" borderId="0" xfId="0" applyNumberFormat="1" applyFont="1"/>
    <xf numFmtId="192" fontId="5" fillId="8" borderId="7" xfId="1" applyNumberFormat="1" applyFont="1" applyFill="1" applyBorder="1"/>
    <xf numFmtId="43" fontId="10" fillId="8" borderId="6" xfId="1" applyFont="1" applyFill="1" applyBorder="1" applyAlignment="1">
      <alignment horizontal="center"/>
    </xf>
    <xf numFmtId="43" fontId="10" fillId="8" borderId="6" xfId="1" applyFont="1" applyFill="1" applyBorder="1" applyAlignment="1">
      <alignment horizontal="center" vertical="center"/>
    </xf>
    <xf numFmtId="192" fontId="5" fillId="0" borderId="0" xfId="0" applyNumberFormat="1" applyFont="1"/>
    <xf numFmtId="0" fontId="122" fillId="0" borderId="0" xfId="0" applyFont="1"/>
    <xf numFmtId="0" fontId="122" fillId="0" borderId="0" xfId="0" applyFont="1" applyAlignment="1">
      <alignment horizontal="center"/>
    </xf>
    <xf numFmtId="0" fontId="97" fillId="7" borderId="0" xfId="255" applyFont="1" applyFill="1"/>
    <xf numFmtId="0" fontId="97" fillId="0" borderId="0" xfId="255" applyFont="1"/>
    <xf numFmtId="0" fontId="66" fillId="7" borderId="15" xfId="255" applyFont="1" applyFill="1" applyBorder="1" applyAlignment="1">
      <alignment horizontal="center" vertical="center"/>
    </xf>
    <xf numFmtId="0" fontId="66" fillId="7" borderId="15" xfId="255" applyFont="1" applyFill="1" applyBorder="1" applyAlignment="1">
      <alignment horizontal="center" vertical="center" wrapText="1"/>
    </xf>
    <xf numFmtId="0" fontId="66" fillId="7" borderId="15" xfId="255" applyFont="1" applyFill="1" applyBorder="1" applyAlignment="1">
      <alignment horizontal="center" vertical="center" wrapText="1" shrinkToFit="1"/>
    </xf>
    <xf numFmtId="203" fontId="13" fillId="0" borderId="1" xfId="8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192" fontId="97" fillId="7" borderId="0" xfId="255" applyNumberFormat="1" applyFont="1" applyFill="1"/>
    <xf numFmtId="0" fontId="97" fillId="7" borderId="6" xfId="255" applyFont="1" applyFill="1" applyBorder="1"/>
    <xf numFmtId="0" fontId="65" fillId="7" borderId="0" xfId="255" applyFont="1" applyFill="1" applyAlignment="1">
      <alignment horizontal="center" vertical="center"/>
    </xf>
    <xf numFmtId="0" fontId="65" fillId="7" borderId="0" xfId="255" applyFont="1" applyFill="1"/>
    <xf numFmtId="0" fontId="66" fillId="7" borderId="0" xfId="255" applyFont="1" applyFill="1" applyAlignment="1">
      <alignment horizontal="center"/>
    </xf>
    <xf numFmtId="0" fontId="97" fillId="7" borderId="24" xfId="255" applyFont="1" applyFill="1" applyBorder="1" applyAlignment="1">
      <alignment horizontal="center"/>
    </xf>
    <xf numFmtId="0" fontId="97" fillId="7" borderId="0" xfId="255" applyFont="1" applyFill="1" applyAlignment="1">
      <alignment horizontal="center"/>
    </xf>
    <xf numFmtId="0" fontId="58" fillId="7" borderId="0" xfId="255" applyFont="1" applyFill="1"/>
    <xf numFmtId="0" fontId="123" fillId="0" borderId="1" xfId="0" applyFont="1" applyBorder="1"/>
    <xf numFmtId="0" fontId="123" fillId="0" borderId="1" xfId="0" applyFont="1" applyBorder="1" applyAlignment="1">
      <alignment horizontal="center"/>
    </xf>
    <xf numFmtId="0" fontId="114" fillId="7" borderId="1" xfId="0" applyFont="1" applyFill="1" applyBorder="1" applyAlignment="1">
      <alignment horizontal="left"/>
    </xf>
    <xf numFmtId="3" fontId="10" fillId="7" borderId="1" xfId="0" applyNumberFormat="1" applyFont="1" applyFill="1" applyBorder="1" applyAlignment="1">
      <alignment horizontal="left" vertical="center"/>
    </xf>
    <xf numFmtId="0" fontId="114" fillId="0" borderId="1" xfId="0" applyFont="1" applyBorder="1" applyAlignment="1">
      <alignment horizontal="left"/>
    </xf>
    <xf numFmtId="0" fontId="13" fillId="7" borderId="1" xfId="28" applyFont="1" applyFill="1" applyBorder="1" applyAlignment="1">
      <alignment horizontal="left"/>
    </xf>
    <xf numFmtId="0" fontId="123" fillId="0" borderId="1" xfId="0" applyFont="1" applyBorder="1" applyAlignment="1">
      <alignment horizontal="left"/>
    </xf>
    <xf numFmtId="191" fontId="13" fillId="0" borderId="1" xfId="1" applyNumberFormat="1" applyFont="1" applyFill="1" applyBorder="1" applyAlignment="1">
      <alignment horizontal="center" vertical="center"/>
    </xf>
    <xf numFmtId="191" fontId="13" fillId="0" borderId="1" xfId="1" applyNumberFormat="1" applyFont="1" applyFill="1" applyBorder="1" applyAlignment="1">
      <alignment vertical="center"/>
    </xf>
    <xf numFmtId="191" fontId="11" fillId="0" borderId="1" xfId="0" applyNumberFormat="1" applyFont="1" applyBorder="1" applyAlignment="1">
      <alignment horizontal="center"/>
    </xf>
    <xf numFmtId="0" fontId="92" fillId="0" borderId="1" xfId="0" applyFont="1" applyBorder="1" applyAlignment="1">
      <alignment horizontal="center" vertical="center"/>
    </xf>
    <xf numFmtId="0" fontId="124" fillId="0" borderId="0" xfId="0" applyFont="1"/>
    <xf numFmtId="0" fontId="125" fillId="0" borderId="0" xfId="0" applyFont="1"/>
    <xf numFmtId="191" fontId="125" fillId="0" borderId="0" xfId="0" applyNumberFormat="1" applyFont="1"/>
    <xf numFmtId="3" fontId="125" fillId="0" borderId="0" xfId="0" applyNumberFormat="1" applyFont="1"/>
    <xf numFmtId="189" fontId="125" fillId="0" borderId="0" xfId="0" applyNumberFormat="1" applyFont="1"/>
    <xf numFmtId="0" fontId="125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13" fillId="0" borderId="16" xfId="0" applyFont="1" applyBorder="1" applyAlignment="1">
      <alignment horizontal="center"/>
    </xf>
    <xf numFmtId="191" fontId="122" fillId="0" borderId="0" xfId="0" applyNumberFormat="1" applyFont="1"/>
    <xf numFmtId="0" fontId="124" fillId="0" borderId="0" xfId="0" applyFont="1" applyAlignment="1">
      <alignment horizontal="center"/>
    </xf>
    <xf numFmtId="3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77" fillId="0" borderId="1" xfId="273" applyFont="1" applyBorder="1" applyAlignment="1">
      <alignment horizontal="center" vertical="center"/>
    </xf>
    <xf numFmtId="4" fontId="22" fillId="0" borderId="1" xfId="1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101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left" vertical="center"/>
    </xf>
    <xf numFmtId="191" fontId="22" fillId="0" borderId="1" xfId="1" applyNumberFormat="1" applyFont="1" applyFill="1" applyBorder="1" applyAlignment="1">
      <alignment horizontal="center"/>
    </xf>
    <xf numFmtId="4" fontId="22" fillId="0" borderId="0" xfId="0" applyNumberFormat="1" applyFont="1"/>
    <xf numFmtId="0" fontId="102" fillId="0" borderId="0" xfId="255" applyFont="1"/>
    <xf numFmtId="3" fontId="102" fillId="0" borderId="0" xfId="255" applyNumberFormat="1" applyFont="1"/>
    <xf numFmtId="0" fontId="103" fillId="0" borderId="0" xfId="255" applyFont="1"/>
    <xf numFmtId="3" fontId="103" fillId="0" borderId="0" xfId="255" applyNumberFormat="1" applyFont="1"/>
    <xf numFmtId="0" fontId="23" fillId="0" borderId="0" xfId="255" applyFont="1" applyAlignment="1">
      <alignment horizontal="center" vertical="center"/>
    </xf>
    <xf numFmtId="0" fontId="77" fillId="0" borderId="1" xfId="273" applyFont="1" applyBorder="1" applyAlignment="1">
      <alignment horizontal="left" vertical="center"/>
    </xf>
    <xf numFmtId="191" fontId="22" fillId="0" borderId="0" xfId="1" applyNumberFormat="1" applyFont="1" applyFill="1"/>
    <xf numFmtId="0" fontId="20" fillId="0" borderId="1" xfId="0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horizontal="left" vertical="center"/>
    </xf>
    <xf numFmtId="4" fontId="20" fillId="0" borderId="1" xfId="1" applyNumberFormat="1" applyFont="1" applyFill="1" applyBorder="1" applyAlignment="1">
      <alignment horizontal="right" vertical="center"/>
    </xf>
    <xf numFmtId="3" fontId="20" fillId="0" borderId="1" xfId="1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3" fontId="20" fillId="0" borderId="1" xfId="0" applyNumberFormat="1" applyFont="1" applyBorder="1" applyAlignment="1">
      <alignment horizontal="right" vertical="center"/>
    </xf>
    <xf numFmtId="43" fontId="20" fillId="0" borderId="0" xfId="1" applyFont="1" applyFill="1" applyAlignment="1">
      <alignment horizontal="right" vertical="center"/>
    </xf>
    <xf numFmtId="191" fontId="22" fillId="0" borderId="0" xfId="0" applyNumberFormat="1" applyFont="1"/>
    <xf numFmtId="0" fontId="93" fillId="0" borderId="0" xfId="0" applyFont="1"/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6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0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93" fontId="93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92" fillId="3" borderId="0" xfId="0" applyFont="1" applyFill="1"/>
    <xf numFmtId="0" fontId="106" fillId="0" borderId="0" xfId="0" applyFont="1"/>
    <xf numFmtId="4" fontId="106" fillId="0" borderId="0" xfId="0" applyNumberFormat="1" applyFont="1"/>
    <xf numFmtId="0" fontId="93" fillId="7" borderId="0" xfId="0" applyFont="1" applyFill="1"/>
    <xf numFmtId="4" fontId="106" fillId="0" borderId="0" xfId="0" applyNumberFormat="1" applyFont="1" applyAlignment="1">
      <alignment horizontal="center"/>
    </xf>
    <xf numFmtId="2" fontId="106" fillId="0" borderId="0" xfId="0" applyNumberFormat="1" applyFont="1" applyAlignment="1">
      <alignment horizontal="center"/>
    </xf>
    <xf numFmtId="189" fontId="93" fillId="0" borderId="0" xfId="0" applyNumberFormat="1" applyFont="1" applyAlignment="1">
      <alignment horizontal="center"/>
    </xf>
    <xf numFmtId="0" fontId="100" fillId="0" borderId="0" xfId="0" applyFont="1"/>
    <xf numFmtId="4" fontId="100" fillId="0" borderId="0" xfId="0" applyNumberFormat="1" applyFont="1"/>
    <xf numFmtId="4" fontId="92" fillId="0" borderId="0" xfId="0" applyNumberFormat="1" applyFont="1"/>
    <xf numFmtId="4" fontId="100" fillId="7" borderId="0" xfId="0" applyNumberFormat="1" applyFont="1" applyFill="1"/>
    <xf numFmtId="4" fontId="106" fillId="7" borderId="0" xfId="0" applyNumberFormat="1" applyFont="1" applyFill="1" applyAlignment="1">
      <alignment horizontal="center"/>
    </xf>
    <xf numFmtId="0" fontId="100" fillId="7" borderId="0" xfId="0" applyFont="1" applyFill="1"/>
    <xf numFmtId="189" fontId="92" fillId="7" borderId="0" xfId="0" applyNumberFormat="1" applyFont="1" applyFill="1" applyAlignment="1">
      <alignment horizontal="center"/>
    </xf>
    <xf numFmtId="0" fontId="92" fillId="7" borderId="0" xfId="0" applyFont="1" applyFill="1"/>
    <xf numFmtId="2" fontId="100" fillId="0" borderId="0" xfId="0" applyNumberFormat="1" applyFont="1"/>
    <xf numFmtId="4" fontId="92" fillId="7" borderId="0" xfId="0" applyNumberFormat="1" applyFont="1" applyFill="1" applyAlignment="1">
      <alignment horizontal="center"/>
    </xf>
    <xf numFmtId="189" fontId="92" fillId="0" borderId="0" xfId="0" applyNumberFormat="1" applyFont="1"/>
    <xf numFmtId="3" fontId="100" fillId="0" borderId="0" xfId="0" applyNumberFormat="1" applyFont="1"/>
    <xf numFmtId="0" fontId="92" fillId="7" borderId="0" xfId="0" applyFont="1" applyFill="1" applyAlignment="1">
      <alignment horizontal="center"/>
    </xf>
    <xf numFmtId="4" fontId="92" fillId="7" borderId="0" xfId="0" applyNumberFormat="1" applyFont="1" applyFill="1"/>
    <xf numFmtId="189" fontId="100" fillId="7" borderId="0" xfId="0" applyNumberFormat="1" applyFont="1" applyFill="1"/>
    <xf numFmtId="0" fontId="99" fillId="7" borderId="0" xfId="0" applyFont="1" applyFill="1" applyAlignment="1">
      <alignment horizontal="center"/>
    </xf>
    <xf numFmtId="4" fontId="99" fillId="7" borderId="0" xfId="0" applyNumberFormat="1" applyFont="1" applyFill="1" applyAlignment="1">
      <alignment horizontal="center"/>
    </xf>
    <xf numFmtId="189" fontId="94" fillId="7" borderId="0" xfId="0" applyNumberFormat="1" applyFont="1" applyFill="1" applyAlignment="1">
      <alignment horizontal="center"/>
    </xf>
    <xf numFmtId="0" fontId="94" fillId="7" borderId="0" xfId="0" applyFont="1" applyFill="1"/>
    <xf numFmtId="191" fontId="92" fillId="7" borderId="0" xfId="0" applyNumberFormat="1" applyFont="1" applyFill="1"/>
    <xf numFmtId="3" fontId="100" fillId="0" borderId="17" xfId="0" applyNumberFormat="1" applyFont="1" applyBorder="1" applyAlignment="1">
      <alignment vertical="center"/>
    </xf>
    <xf numFmtId="2" fontId="92" fillId="0" borderId="6" xfId="0" applyNumberFormat="1" applyFont="1" applyBorder="1" applyAlignment="1">
      <alignment horizontal="center" vertical="center"/>
    </xf>
    <xf numFmtId="3" fontId="92" fillId="0" borderId="1" xfId="0" applyNumberFormat="1" applyFont="1" applyBorder="1" applyAlignment="1">
      <alignment horizontal="center" vertical="center"/>
    </xf>
    <xf numFmtId="4" fontId="93" fillId="0" borderId="1" xfId="0" applyNumberFormat="1" applyFont="1" applyBorder="1" applyAlignment="1">
      <alignment horizontal="center" vertical="center"/>
    </xf>
    <xf numFmtId="3" fontId="92" fillId="0" borderId="18" xfId="0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3" fontId="129" fillId="0" borderId="0" xfId="0" applyNumberFormat="1" applyFont="1" applyAlignment="1">
      <alignment horizontal="right" vertical="center"/>
    </xf>
    <xf numFmtId="198" fontId="129" fillId="0" borderId="0" xfId="0" applyNumberFormat="1" applyFont="1" applyAlignment="1">
      <alignment horizontal="right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vertical="center"/>
    </xf>
    <xf numFmtId="0" fontId="125" fillId="0" borderId="0" xfId="0" applyFont="1" applyAlignment="1">
      <alignment vertical="center"/>
    </xf>
    <xf numFmtId="192" fontId="124" fillId="0" borderId="1" xfId="1" applyNumberFormat="1" applyFont="1" applyFill="1" applyBorder="1" applyAlignment="1">
      <alignment vertical="center"/>
    </xf>
    <xf numFmtId="192" fontId="129" fillId="0" borderId="1" xfId="0" applyNumberFormat="1" applyFont="1" applyBorder="1" applyAlignment="1">
      <alignment vertical="center"/>
    </xf>
    <xf numFmtId="0" fontId="124" fillId="0" borderId="0" xfId="0" applyFont="1" applyAlignment="1">
      <alignment vertical="center"/>
    </xf>
    <xf numFmtId="192" fontId="124" fillId="0" borderId="1" xfId="0" applyNumberFormat="1" applyFont="1" applyBorder="1" applyAlignment="1">
      <alignment vertical="center"/>
    </xf>
    <xf numFmtId="3" fontId="125" fillId="0" borderId="0" xfId="0" applyNumberFormat="1" applyFont="1" applyAlignment="1">
      <alignment vertical="center"/>
    </xf>
    <xf numFmtId="0" fontId="127" fillId="0" borderId="0" xfId="0" applyFont="1" applyAlignment="1">
      <alignment vertical="center"/>
    </xf>
    <xf numFmtId="0" fontId="127" fillId="0" borderId="0" xfId="0" applyFont="1" applyAlignment="1">
      <alignment horizontal="center" vertical="center"/>
    </xf>
    <xf numFmtId="4" fontId="127" fillId="0" borderId="0" xfId="0" applyNumberFormat="1" applyFont="1" applyAlignment="1">
      <alignment vertical="center"/>
    </xf>
    <xf numFmtId="0" fontId="125" fillId="0" borderId="1" xfId="0" applyFont="1" applyBorder="1" applyAlignment="1">
      <alignment horizontal="center" vertical="center"/>
    </xf>
    <xf numFmtId="0" fontId="22" fillId="0" borderId="1" xfId="255" applyFont="1" applyBorder="1" applyAlignment="1">
      <alignment horizontal="left" vertical="center"/>
    </xf>
    <xf numFmtId="192" fontId="125" fillId="0" borderId="1" xfId="1" applyNumberFormat="1" applyFont="1" applyFill="1" applyBorder="1" applyAlignment="1">
      <alignment horizontal="right" vertical="center" indent="1"/>
    </xf>
    <xf numFmtId="192" fontId="125" fillId="0" borderId="1" xfId="1" applyNumberFormat="1" applyFont="1" applyFill="1" applyBorder="1" applyAlignment="1">
      <alignment horizontal="center" vertical="center"/>
    </xf>
    <xf numFmtId="192" fontId="22" fillId="0" borderId="1" xfId="1" applyNumberFormat="1" applyFont="1" applyFill="1" applyBorder="1" applyAlignment="1">
      <alignment vertical="center"/>
    </xf>
    <xf numFmtId="189" fontId="22" fillId="0" borderId="1" xfId="1" applyNumberFormat="1" applyFont="1" applyFill="1" applyBorder="1" applyAlignment="1">
      <alignment vertical="center"/>
    </xf>
    <xf numFmtId="192" fontId="125" fillId="0" borderId="1" xfId="1" applyNumberFormat="1" applyFont="1" applyFill="1" applyBorder="1" applyAlignment="1">
      <alignment vertical="center"/>
    </xf>
    <xf numFmtId="189" fontId="22" fillId="0" borderId="1" xfId="0" applyNumberFormat="1" applyFont="1" applyBorder="1" applyAlignment="1">
      <alignment vertical="center"/>
    </xf>
    <xf numFmtId="192" fontId="125" fillId="0" borderId="1" xfId="0" applyNumberFormat="1" applyFont="1" applyBorder="1" applyAlignment="1">
      <alignment vertical="center"/>
    </xf>
    <xf numFmtId="189" fontId="125" fillId="0" borderId="1" xfId="0" applyNumberFormat="1" applyFont="1" applyBorder="1" applyAlignment="1">
      <alignment vertical="center"/>
    </xf>
    <xf numFmtId="192" fontId="127" fillId="0" borderId="1" xfId="0" applyNumberFormat="1" applyFont="1" applyBorder="1" applyAlignment="1">
      <alignment vertical="center"/>
    </xf>
    <xf numFmtId="0" fontId="124" fillId="0" borderId="0" xfId="0" applyFont="1" applyAlignment="1">
      <alignment horizontal="center" vertical="center"/>
    </xf>
    <xf numFmtId="3" fontId="129" fillId="0" borderId="0" xfId="0" applyNumberFormat="1" applyFont="1" applyAlignment="1">
      <alignment horizontal="center" vertical="center"/>
    </xf>
    <xf numFmtId="206" fontId="129" fillId="0" borderId="0" xfId="0" applyNumberFormat="1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189" fontId="124" fillId="0" borderId="1" xfId="1" applyNumberFormat="1" applyFont="1" applyFill="1" applyBorder="1" applyAlignment="1">
      <alignment vertical="center"/>
    </xf>
    <xf numFmtId="3" fontId="124" fillId="0" borderId="1" xfId="0" applyNumberFormat="1" applyFont="1" applyBorder="1" applyAlignment="1">
      <alignment vertical="center"/>
    </xf>
    <xf numFmtId="3" fontId="125" fillId="0" borderId="1" xfId="0" applyNumberFormat="1" applyFont="1" applyBorder="1" applyAlignment="1">
      <alignment vertical="center"/>
    </xf>
    <xf numFmtId="189" fontId="92" fillId="0" borderId="1" xfId="3" applyNumberFormat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20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/>
    <xf numFmtId="191" fontId="20" fillId="0" borderId="1" xfId="1" applyNumberFormat="1" applyFont="1" applyFill="1" applyBorder="1"/>
    <xf numFmtId="191" fontId="20" fillId="0" borderId="0" xfId="1" applyNumberFormat="1" applyFont="1" applyFill="1"/>
    <xf numFmtId="0" fontId="92" fillId="0" borderId="1" xfId="0" applyFont="1" applyBorder="1" applyAlignment="1">
      <alignment vertical="center"/>
    </xf>
    <xf numFmtId="191" fontId="92" fillId="0" borderId="0" xfId="0" applyNumberFormat="1" applyFont="1"/>
    <xf numFmtId="191" fontId="20" fillId="0" borderId="0" xfId="1" applyNumberFormat="1" applyFont="1" applyFill="1" applyAlignment="1">
      <alignment horizontal="right" vertical="center"/>
    </xf>
    <xf numFmtId="0" fontId="127" fillId="0" borderId="0" xfId="0" applyFont="1" applyAlignment="1">
      <alignment horizontal="center"/>
    </xf>
    <xf numFmtId="195" fontId="125" fillId="0" borderId="0" xfId="0" applyNumberFormat="1" applyFont="1"/>
    <xf numFmtId="192" fontId="124" fillId="0" borderId="0" xfId="0" applyNumberFormat="1" applyFont="1" applyAlignment="1">
      <alignment vertical="center"/>
    </xf>
    <xf numFmtId="189" fontId="124" fillId="0" borderId="0" xfId="0" applyNumberFormat="1" applyFont="1" applyAlignment="1">
      <alignment vertical="center"/>
    </xf>
    <xf numFmtId="0" fontId="22" fillId="0" borderId="0" xfId="255" applyFont="1" applyAlignment="1">
      <alignment horizontal="left" vertical="center"/>
    </xf>
    <xf numFmtId="189" fontId="125" fillId="0" borderId="1" xfId="1" applyNumberFormat="1" applyFont="1" applyFill="1" applyBorder="1" applyAlignment="1">
      <alignment vertical="center"/>
    </xf>
    <xf numFmtId="3" fontId="135" fillId="0" borderId="0" xfId="0" applyNumberFormat="1" applyFont="1"/>
    <xf numFmtId="192" fontId="125" fillId="0" borderId="0" xfId="0" applyNumberFormat="1" applyFont="1"/>
    <xf numFmtId="0" fontId="125" fillId="7" borderId="0" xfId="0" applyFont="1" applyFill="1"/>
    <xf numFmtId="0" fontId="124" fillId="7" borderId="0" xfId="0" applyFont="1" applyFill="1"/>
    <xf numFmtId="193" fontId="125" fillId="7" borderId="0" xfId="1" applyNumberFormat="1" applyFont="1" applyFill="1"/>
    <xf numFmtId="192" fontId="125" fillId="7" borderId="0" xfId="1" applyNumberFormat="1" applyFont="1" applyFill="1"/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5" fillId="7" borderId="0" xfId="0" applyFont="1" applyFill="1" applyAlignment="1">
      <alignment shrinkToFit="1"/>
    </xf>
    <xf numFmtId="193" fontId="125" fillId="7" borderId="0" xfId="1" applyNumberFormat="1" applyFont="1" applyFill="1" applyBorder="1" applyAlignment="1"/>
    <xf numFmtId="43" fontId="125" fillId="7" borderId="0" xfId="1" applyFont="1" applyFill="1" applyBorder="1" applyAlignment="1"/>
    <xf numFmtId="192" fontId="125" fillId="7" borderId="0" xfId="1" applyNumberFormat="1" applyFont="1" applyFill="1" applyBorder="1" applyAlignment="1">
      <alignment horizontal="center"/>
    </xf>
    <xf numFmtId="192" fontId="125" fillId="7" borderId="0" xfId="1" applyNumberFormat="1" applyFont="1" applyFill="1" applyBorder="1" applyAlignment="1"/>
    <xf numFmtId="192" fontId="125" fillId="7" borderId="0" xfId="1" applyNumberFormat="1" applyFont="1" applyFill="1" applyBorder="1"/>
    <xf numFmtId="0" fontId="124" fillId="7" borderId="0" xfId="0" applyFont="1" applyFill="1" applyAlignment="1">
      <alignment horizontal="center" vertical="center"/>
    </xf>
    <xf numFmtId="193" fontId="124" fillId="7" borderId="1" xfId="1" applyNumberFormat="1" applyFont="1" applyFill="1" applyBorder="1" applyAlignment="1">
      <alignment horizontal="center" vertical="center" wrapText="1"/>
    </xf>
    <xf numFmtId="197" fontId="125" fillId="7" borderId="0" xfId="0" applyNumberFormat="1" applyFont="1" applyFill="1"/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/>
    <xf numFmtId="192" fontId="125" fillId="7" borderId="0" xfId="0" applyNumberFormat="1" applyFont="1" applyFill="1"/>
    <xf numFmtId="200" fontId="125" fillId="7" borderId="0" xfId="0" applyNumberFormat="1" applyFont="1" applyFill="1"/>
    <xf numFmtId="189" fontId="124" fillId="7" borderId="0" xfId="0" applyNumberFormat="1" applyFont="1" applyFill="1" applyAlignment="1">
      <alignment vertical="center"/>
    </xf>
    <xf numFmtId="194" fontId="125" fillId="7" borderId="0" xfId="0" applyNumberFormat="1" applyFont="1" applyFill="1"/>
    <xf numFmtId="192" fontId="125" fillId="7" borderId="0" xfId="1" applyNumberFormat="1" applyFont="1" applyFill="1" applyAlignment="1">
      <alignment shrinkToFit="1"/>
    </xf>
    <xf numFmtId="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2" fontId="125" fillId="7" borderId="0" xfId="0" applyNumberFormat="1" applyFont="1" applyFill="1"/>
    <xf numFmtId="189" fontId="125" fillId="7" borderId="0" xfId="0" applyNumberFormat="1" applyFont="1" applyFill="1"/>
    <xf numFmtId="0" fontId="130" fillId="7" borderId="0" xfId="0" applyFont="1" applyFill="1"/>
    <xf numFmtId="191" fontId="130" fillId="7" borderId="0" xfId="1" applyNumberFormat="1" applyFont="1" applyFill="1"/>
    <xf numFmtId="193" fontId="130" fillId="7" borderId="0" xfId="1" applyNumberFormat="1" applyFont="1" applyFill="1"/>
    <xf numFmtId="0" fontId="130" fillId="7" borderId="0" xfId="0" applyFont="1" applyFill="1" applyAlignment="1">
      <alignment horizontal="center"/>
    </xf>
    <xf numFmtId="3" fontId="130" fillId="7" borderId="0" xfId="0" applyNumberFormat="1" applyFont="1" applyFill="1"/>
    <xf numFmtId="191" fontId="132" fillId="7" borderId="0" xfId="1" applyNumberFormat="1" applyFont="1" applyFill="1" applyAlignment="1"/>
    <xf numFmtId="191" fontId="125" fillId="7" borderId="0" xfId="0" applyNumberFormat="1" applyFont="1" applyFill="1"/>
    <xf numFmtId="0" fontId="125" fillId="7" borderId="0" xfId="0" applyFont="1" applyFill="1" applyAlignment="1">
      <alignment horizontal="left"/>
    </xf>
    <xf numFmtId="0" fontId="125" fillId="7" borderId="0" xfId="0" applyFont="1" applyFill="1" applyAlignment="1">
      <alignment horizontal="right"/>
    </xf>
    <xf numFmtId="189" fontId="125" fillId="7" borderId="0" xfId="1" applyNumberFormat="1" applyFont="1" applyFill="1"/>
    <xf numFmtId="191" fontId="5" fillId="0" borderId="0" xfId="0" applyNumberFormat="1" applyFont="1"/>
    <xf numFmtId="205" fontId="125" fillId="0" borderId="0" xfId="0" applyNumberFormat="1" applyFont="1"/>
    <xf numFmtId="1" fontId="125" fillId="0" borderId="0" xfId="0" applyNumberFormat="1" applyFont="1"/>
    <xf numFmtId="43" fontId="99" fillId="7" borderId="0" xfId="0" applyNumberFormat="1" applyFont="1" applyFill="1" applyAlignment="1">
      <alignment horizontal="center"/>
    </xf>
    <xf numFmtId="189" fontId="24" fillId="0" borderId="0" xfId="0" applyNumberFormat="1" applyFont="1" applyAlignment="1">
      <alignment horizontal="center"/>
    </xf>
    <xf numFmtId="191" fontId="3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5" fillId="7" borderId="1" xfId="255" applyFont="1" applyFill="1" applyBorder="1" applyAlignment="1">
      <alignment horizontal="center" vertical="center"/>
    </xf>
    <xf numFmtId="0" fontId="65" fillId="7" borderId="1" xfId="0" applyFont="1" applyFill="1" applyBorder="1" applyAlignment="1">
      <alignment horizontal="center" vertical="center"/>
    </xf>
    <xf numFmtId="202" fontId="65" fillId="7" borderId="1" xfId="255" applyNumberFormat="1" applyFont="1" applyFill="1" applyBorder="1" applyAlignment="1">
      <alignment horizontal="center" vertical="center"/>
    </xf>
    <xf numFmtId="0" fontId="13" fillId="7" borderId="1" xfId="274" applyFont="1" applyFill="1" applyBorder="1" applyAlignment="1">
      <alignment horizontal="center" vertical="center"/>
    </xf>
    <xf numFmtId="203" fontId="13" fillId="7" borderId="1" xfId="8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 vertical="center"/>
    </xf>
    <xf numFmtId="1" fontId="13" fillId="7" borderId="1" xfId="255" applyNumberFormat="1" applyFont="1" applyFill="1" applyBorder="1" applyAlignment="1">
      <alignment horizontal="center" vertical="center"/>
    </xf>
    <xf numFmtId="202" fontId="13" fillId="7" borderId="1" xfId="255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/>
    </xf>
    <xf numFmtId="0" fontId="97" fillId="7" borderId="1" xfId="255" applyFont="1" applyFill="1" applyBorder="1" applyAlignment="1">
      <alignment horizontal="center"/>
    </xf>
    <xf numFmtId="9" fontId="124" fillId="0" borderId="1" xfId="0" applyNumberFormat="1" applyFont="1" applyBorder="1" applyAlignment="1">
      <alignment horizontal="center" vertical="center" wrapText="1"/>
    </xf>
    <xf numFmtId="192" fontId="129" fillId="0" borderId="0" xfId="1" applyNumberFormat="1" applyFont="1" applyFill="1" applyBorder="1" applyAlignment="1">
      <alignment horizontal="center" vertical="center"/>
    </xf>
    <xf numFmtId="191" fontId="22" fillId="0" borderId="1" xfId="1" applyNumberFormat="1" applyFont="1" applyBorder="1" applyAlignment="1">
      <alignment horizontal="center"/>
    </xf>
    <xf numFmtId="191" fontId="20" fillId="0" borderId="1" xfId="1" applyNumberFormat="1" applyFont="1" applyFill="1" applyBorder="1" applyAlignment="1">
      <alignment horizontal="right"/>
    </xf>
    <xf numFmtId="191" fontId="20" fillId="0" borderId="1" xfId="1" applyNumberFormat="1" applyFont="1" applyBorder="1" applyAlignment="1">
      <alignment horizontal="center"/>
    </xf>
    <xf numFmtId="191" fontId="20" fillId="0" borderId="1" xfId="1" applyNumberFormat="1" applyFont="1" applyBorder="1" applyAlignment="1">
      <alignment horizontal="right"/>
    </xf>
    <xf numFmtId="43" fontId="22" fillId="0" borderId="0" xfId="0" applyNumberFormat="1" applyFont="1"/>
    <xf numFmtId="43" fontId="20" fillId="0" borderId="0" xfId="0" applyNumberFormat="1" applyFont="1"/>
    <xf numFmtId="43" fontId="22" fillId="0" borderId="0" xfId="1" applyFont="1" applyFill="1" applyAlignment="1">
      <alignment horizontal="center"/>
    </xf>
    <xf numFmtId="43" fontId="22" fillId="0" borderId="0" xfId="0" applyNumberFormat="1" applyFont="1" applyAlignment="1">
      <alignment horizontal="center"/>
    </xf>
    <xf numFmtId="43" fontId="20" fillId="0" borderId="1" xfId="0" applyNumberFormat="1" applyFont="1" applyBorder="1" applyAlignment="1">
      <alignment horizontal="center" vertical="center" wrapText="1"/>
    </xf>
    <xf numFmtId="43" fontId="102" fillId="0" borderId="0" xfId="255" applyNumberFormat="1" applyFont="1"/>
    <xf numFmtId="43" fontId="22" fillId="0" borderId="0" xfId="1" applyFont="1"/>
    <xf numFmtId="43" fontId="22" fillId="0" borderId="0" xfId="1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20" fillId="0" borderId="1" xfId="1" applyFont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right"/>
    </xf>
    <xf numFmtId="43" fontId="22" fillId="0" borderId="1" xfId="1" applyFont="1" applyBorder="1" applyAlignment="1">
      <alignment horizontal="right"/>
    </xf>
    <xf numFmtId="43" fontId="20" fillId="0" borderId="1" xfId="1" applyFont="1" applyBorder="1" applyAlignment="1">
      <alignment horizontal="right"/>
    </xf>
    <xf numFmtId="43" fontId="102" fillId="0" borderId="0" xfId="1" applyFont="1"/>
    <xf numFmtId="43" fontId="103" fillId="0" borderId="0" xfId="1" applyFont="1"/>
    <xf numFmtId="191" fontId="100" fillId="7" borderId="0" xfId="0" applyNumberFormat="1" applyFont="1" applyFill="1"/>
    <xf numFmtId="43" fontId="65" fillId="0" borderId="0" xfId="1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0" fontId="7" fillId="0" borderId="0" xfId="0" applyFont="1"/>
    <xf numFmtId="43" fontId="93" fillId="0" borderId="0" xfId="1" applyFont="1" applyFill="1" applyBorder="1" applyAlignment="1">
      <alignment horizontal="center"/>
    </xf>
    <xf numFmtId="218" fontId="4" fillId="0" borderId="0" xfId="1" applyNumberFormat="1" applyFont="1" applyFill="1" applyBorder="1"/>
    <xf numFmtId="43" fontId="4" fillId="0" borderId="0" xfId="1" applyFont="1" applyFill="1" applyBorder="1"/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98" fontId="51" fillId="0" borderId="0" xfId="0" applyNumberFormat="1" applyFont="1" applyAlignment="1">
      <alignment horizontal="left" vertical="center"/>
    </xf>
    <xf numFmtId="218" fontId="51" fillId="0" borderId="0" xfId="1" applyNumberFormat="1" applyFont="1" applyFill="1" applyBorder="1" applyAlignment="1">
      <alignment horizontal="center" vertical="center"/>
    </xf>
    <xf numFmtId="43" fontId="51" fillId="0" borderId="0" xfId="1" applyFont="1" applyFill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/>
    <xf numFmtId="218" fontId="141" fillId="0" borderId="0" xfId="1" applyNumberFormat="1" applyFont="1" applyFill="1" applyBorder="1"/>
    <xf numFmtId="43" fontId="141" fillId="0" borderId="0" xfId="1" applyFont="1" applyFill="1" applyBorder="1"/>
    <xf numFmtId="0" fontId="142" fillId="0" borderId="0" xfId="0" applyFont="1"/>
    <xf numFmtId="0" fontId="65" fillId="0" borderId="0" xfId="0" applyFont="1"/>
    <xf numFmtId="0" fontId="51" fillId="0" borderId="0" xfId="0" applyFont="1" applyAlignment="1">
      <alignment horizontal="center" vertical="center" wrapText="1"/>
    </xf>
    <xf numFmtId="9" fontId="65" fillId="0" borderId="0" xfId="287" applyFont="1" applyFill="1" applyAlignment="1">
      <alignment horizontal="center"/>
    </xf>
    <xf numFmtId="0" fontId="141" fillId="0" borderId="1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 wrapText="1"/>
    </xf>
    <xf numFmtId="0" fontId="141" fillId="0" borderId="1" xfId="0" quotePrefix="1" applyFont="1" applyBorder="1" applyAlignment="1">
      <alignment horizontal="center" vertical="center" wrapText="1"/>
    </xf>
    <xf numFmtId="219" fontId="141" fillId="0" borderId="1" xfId="1" applyNumberFormat="1" applyFont="1" applyFill="1" applyBorder="1" applyAlignment="1">
      <alignment horizontal="center" vertical="center" wrapText="1"/>
    </xf>
    <xf numFmtId="219" fontId="141" fillId="0" borderId="1" xfId="1" quotePrefix="1" applyNumberFormat="1" applyFont="1" applyFill="1" applyBorder="1" applyAlignment="1">
      <alignment horizontal="center" vertical="center" wrapText="1"/>
    </xf>
    <xf numFmtId="219" fontId="141" fillId="0" borderId="1" xfId="0" applyNumberFormat="1" applyFont="1" applyBorder="1" applyAlignment="1">
      <alignment horizontal="center" vertical="center" wrapText="1"/>
    </xf>
    <xf numFmtId="219" fontId="141" fillId="0" borderId="1" xfId="3" applyNumberFormat="1" applyFont="1" applyFill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 wrapText="1"/>
    </xf>
    <xf numFmtId="1" fontId="14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9" fontId="119" fillId="0" borderId="1" xfId="287" applyFont="1" applyFill="1" applyBorder="1" applyAlignment="1">
      <alignment vertical="center" wrapText="1"/>
    </xf>
    <xf numFmtId="1" fontId="141" fillId="0" borderId="1" xfId="0" applyNumberFormat="1" applyFont="1" applyBorder="1" applyAlignment="1">
      <alignment horizontal="center"/>
    </xf>
    <xf numFmtId="0" fontId="141" fillId="0" borderId="0" xfId="0" applyFont="1" applyAlignment="1">
      <alignment vertical="center"/>
    </xf>
    <xf numFmtId="218" fontId="65" fillId="0" borderId="0" xfId="1" applyNumberFormat="1" applyFont="1" applyFill="1" applyAlignment="1">
      <alignment vertical="center"/>
    </xf>
    <xf numFmtId="218" fontId="65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3" fontId="141" fillId="0" borderId="0" xfId="0" applyNumberFormat="1" applyFont="1"/>
    <xf numFmtId="218" fontId="51" fillId="0" borderId="0" xfId="1" applyNumberFormat="1" applyFont="1" applyFill="1" applyAlignment="1"/>
    <xf numFmtId="0" fontId="51" fillId="0" borderId="0" xfId="0" applyFont="1"/>
    <xf numFmtId="218" fontId="141" fillId="0" borderId="0" xfId="1" applyNumberFormat="1" applyFont="1" applyFill="1"/>
    <xf numFmtId="43" fontId="141" fillId="0" borderId="0" xfId="1" applyFont="1" applyFill="1"/>
    <xf numFmtId="218" fontId="92" fillId="0" borderId="0" xfId="1" applyNumberFormat="1" applyFont="1" applyFill="1"/>
    <xf numFmtId="43" fontId="92" fillId="0" borderId="0" xfId="1" applyFont="1" applyFill="1"/>
    <xf numFmtId="3" fontId="92" fillId="0" borderId="0" xfId="0" applyNumberFormat="1" applyFont="1"/>
    <xf numFmtId="9" fontId="100" fillId="0" borderId="0" xfId="0" applyNumberFormat="1" applyFont="1"/>
    <xf numFmtId="218" fontId="100" fillId="0" borderId="0" xfId="1" applyNumberFormat="1" applyFont="1" applyFill="1"/>
    <xf numFmtId="9" fontId="65" fillId="0" borderId="0" xfId="287" applyFont="1" applyFill="1" applyBorder="1" applyAlignment="1">
      <alignment horizontal="center"/>
    </xf>
    <xf numFmtId="218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92" fillId="0" borderId="0" xfId="287" applyFont="1" applyFill="1" applyBorder="1"/>
    <xf numFmtId="218" fontId="4" fillId="0" borderId="0" xfId="1" applyNumberFormat="1" applyFont="1" applyFill="1"/>
    <xf numFmtId="43" fontId="4" fillId="0" borderId="0" xfId="1" applyFont="1" applyFill="1"/>
    <xf numFmtId="0" fontId="66" fillId="0" borderId="0" xfId="0" applyFont="1"/>
    <xf numFmtId="0" fontId="139" fillId="0" borderId="0" xfId="0" applyFont="1" applyAlignment="1">
      <alignment vertical="center"/>
    </xf>
    <xf numFmtId="0" fontId="93" fillId="0" borderId="0" xfId="0" applyFont="1" applyAlignment="1">
      <alignment horizontal="left" vertical="center"/>
    </xf>
    <xf numFmtId="198" fontId="93" fillId="0" borderId="0" xfId="0" applyNumberFormat="1" applyFont="1" applyAlignment="1">
      <alignment horizontal="left" vertical="center"/>
    </xf>
    <xf numFmtId="218" fontId="93" fillId="0" borderId="0" xfId="1" applyNumberFormat="1" applyFont="1" applyFill="1" applyBorder="1" applyAlignment="1">
      <alignment horizontal="center" vertical="center"/>
    </xf>
    <xf numFmtId="218" fontId="92" fillId="0" borderId="0" xfId="1" applyNumberFormat="1" applyFont="1" applyFill="1" applyBorder="1"/>
    <xf numFmtId="37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/>
    </xf>
    <xf numFmtId="0" fontId="141" fillId="0" borderId="0" xfId="0" applyFont="1" applyAlignment="1">
      <alignment horizontal="center"/>
    </xf>
    <xf numFmtId="218" fontId="27" fillId="0" borderId="0" xfId="1" applyNumberFormat="1" applyFont="1" applyFill="1" applyBorder="1" applyAlignment="1">
      <alignment vertical="center"/>
    </xf>
    <xf numFmtId="3" fontId="27" fillId="0" borderId="0" xfId="3" applyNumberFormat="1" applyFont="1" applyFill="1" applyBorder="1" applyAlignment="1">
      <alignment vertical="center"/>
    </xf>
    <xf numFmtId="220" fontId="137" fillId="0" borderId="0" xfId="3" applyNumberFormat="1" applyFont="1" applyFill="1" applyBorder="1" applyAlignment="1">
      <alignment vertical="center"/>
    </xf>
    <xf numFmtId="188" fontId="137" fillId="0" borderId="0" xfId="3" applyNumberFormat="1" applyFont="1" applyFill="1" applyBorder="1" applyAlignment="1">
      <alignment vertical="center"/>
    </xf>
    <xf numFmtId="189" fontId="142" fillId="0" borderId="0" xfId="3" applyNumberFormat="1" applyFont="1" applyFill="1" applyBorder="1" applyAlignment="1">
      <alignment horizontal="right" vertical="center"/>
    </xf>
    <xf numFmtId="218" fontId="141" fillId="0" borderId="0" xfId="1" applyNumberFormat="1" applyFont="1" applyFill="1" applyBorder="1" applyAlignment="1">
      <alignment vertical="center"/>
    </xf>
    <xf numFmtId="218" fontId="141" fillId="0" borderId="0" xfId="0" applyNumberFormat="1" applyFont="1" applyAlignment="1">
      <alignment vertical="center"/>
    </xf>
    <xf numFmtId="218" fontId="66" fillId="0" borderId="0" xfId="1" applyNumberFormat="1" applyFont="1" applyFill="1" applyBorder="1" applyAlignment="1">
      <alignment vertical="center"/>
    </xf>
    <xf numFmtId="4" fontId="65" fillId="0" borderId="0" xfId="0" applyNumberFormat="1" applyFont="1" applyAlignment="1">
      <alignment vertical="center"/>
    </xf>
    <xf numFmtId="0" fontId="93" fillId="0" borderId="1" xfId="0" applyFont="1" applyBorder="1"/>
    <xf numFmtId="218" fontId="93" fillId="0" borderId="1" xfId="1" applyNumberFormat="1" applyFont="1" applyFill="1" applyBorder="1"/>
    <xf numFmtId="43" fontId="93" fillId="0" borderId="0" xfId="1" applyFont="1" applyFill="1" applyBorder="1"/>
    <xf numFmtId="9" fontId="93" fillId="0" borderId="0" xfId="0" applyNumberFormat="1" applyFont="1"/>
    <xf numFmtId="43" fontId="92" fillId="0" borderId="0" xfId="1" applyFont="1" applyFill="1" applyBorder="1"/>
    <xf numFmtId="205" fontId="92" fillId="0" borderId="0" xfId="0" applyNumberFormat="1" applyFont="1"/>
    <xf numFmtId="0" fontId="13" fillId="7" borderId="26" xfId="28" applyFont="1" applyFill="1" applyBorder="1" applyAlignment="1">
      <alignment horizontal="left"/>
    </xf>
    <xf numFmtId="1" fontId="51" fillId="0" borderId="1" xfId="1" applyNumberFormat="1" applyFont="1" applyFill="1" applyBorder="1" applyAlignment="1">
      <alignment horizontal="right" vertical="center" wrapText="1"/>
    </xf>
    <xf numFmtId="1" fontId="141" fillId="0" borderId="1" xfId="1" applyNumberFormat="1" applyFont="1" applyFill="1" applyBorder="1" applyAlignment="1">
      <alignment horizontal="right" vertical="center"/>
    </xf>
    <xf numFmtId="1" fontId="27" fillId="0" borderId="1" xfId="1" applyNumberFormat="1" applyFont="1" applyFill="1" applyBorder="1" applyAlignment="1">
      <alignment horizontal="right" vertical="center"/>
    </xf>
    <xf numFmtId="43" fontId="51" fillId="0" borderId="1" xfId="1" applyFont="1" applyFill="1" applyBorder="1" applyAlignment="1">
      <alignment horizontal="right" vertical="center" wrapText="1"/>
    </xf>
    <xf numFmtId="43" fontId="27" fillId="0" borderId="1" xfId="1" applyFont="1" applyFill="1" applyBorder="1" applyAlignment="1"/>
    <xf numFmtId="43" fontId="124" fillId="0" borderId="1" xfId="1" applyFont="1" applyFill="1" applyBorder="1" applyAlignment="1">
      <alignment vertical="center"/>
    </xf>
    <xf numFmtId="3" fontId="125" fillId="0" borderId="26" xfId="0" applyNumberFormat="1" applyFont="1" applyBorder="1" applyAlignment="1">
      <alignment vertical="center"/>
    </xf>
    <xf numFmtId="189" fontId="92" fillId="0" borderId="26" xfId="3" applyNumberFormat="1" applyFont="1" applyFill="1" applyBorder="1" applyAlignment="1">
      <alignment horizontal="right" vertical="center"/>
    </xf>
    <xf numFmtId="3" fontId="125" fillId="0" borderId="30" xfId="0" applyNumberFormat="1" applyFont="1" applyBorder="1" applyAlignment="1">
      <alignment vertical="center"/>
    </xf>
    <xf numFmtId="189" fontId="92" fillId="0" borderId="30" xfId="3" applyNumberFormat="1" applyFont="1" applyFill="1" applyBorder="1" applyAlignment="1">
      <alignment horizontal="right" vertical="center"/>
    </xf>
    <xf numFmtId="2" fontId="124" fillId="0" borderId="1" xfId="1" applyNumberFormat="1" applyFont="1" applyFill="1" applyBorder="1" applyAlignment="1">
      <alignment horizontal="right" vertical="center" indent="1"/>
    </xf>
    <xf numFmtId="191" fontId="22" fillId="0" borderId="0" xfId="1" applyNumberFormat="1" applyFont="1" applyFill="1" applyAlignment="1">
      <alignment horizontal="center"/>
    </xf>
    <xf numFmtId="191" fontId="22" fillId="0" borderId="1" xfId="1" applyNumberFormat="1" applyFont="1" applyBorder="1" applyAlignment="1">
      <alignment horizontal="center" vertical="center"/>
    </xf>
    <xf numFmtId="192" fontId="124" fillId="0" borderId="1" xfId="0" applyNumberFormat="1" applyFont="1" applyBorder="1" applyAlignment="1">
      <alignment vertical="center" shrinkToFit="1"/>
    </xf>
    <xf numFmtId="192" fontId="129" fillId="0" borderId="1" xfId="1" applyNumberFormat="1" applyFont="1" applyFill="1" applyBorder="1" applyAlignment="1">
      <alignment horizontal="center" vertical="center" shrinkToFit="1"/>
    </xf>
    <xf numFmtId="189" fontId="124" fillId="0" borderId="1" xfId="0" applyNumberFormat="1" applyFont="1" applyBorder="1" applyAlignment="1">
      <alignment vertical="center" shrinkToFit="1"/>
    </xf>
    <xf numFmtId="189" fontId="129" fillId="0" borderId="1" xfId="0" applyNumberFormat="1" applyFont="1" applyBorder="1" applyAlignment="1">
      <alignment vertical="center" shrinkToFit="1"/>
    </xf>
    <xf numFmtId="192" fontId="124" fillId="0" borderId="1" xfId="1" applyNumberFormat="1" applyFont="1" applyFill="1" applyBorder="1" applyAlignment="1">
      <alignment horizontal="right" vertical="center" shrinkToFit="1"/>
    </xf>
    <xf numFmtId="192" fontId="124" fillId="0" borderId="1" xfId="1" applyNumberFormat="1" applyFont="1" applyFill="1" applyBorder="1" applyAlignment="1">
      <alignment vertical="center" shrinkToFit="1"/>
    </xf>
    <xf numFmtId="1" fontId="124" fillId="0" borderId="1" xfId="1" applyNumberFormat="1" applyFont="1" applyFill="1" applyBorder="1" applyAlignment="1">
      <alignment horizontal="right" vertical="center" shrinkToFit="1"/>
    </xf>
    <xf numFmtId="221" fontId="51" fillId="0" borderId="1" xfId="1" applyNumberFormat="1" applyFont="1" applyFill="1" applyBorder="1" applyAlignment="1">
      <alignment horizontal="right" vertical="center" wrapText="1"/>
    </xf>
    <xf numFmtId="192" fontId="27" fillId="0" borderId="1" xfId="11" applyNumberFormat="1" applyFont="1" applyFill="1" applyBorder="1" applyAlignment="1">
      <alignment vertical="center"/>
    </xf>
    <xf numFmtId="43" fontId="13" fillId="0" borderId="25" xfId="1" applyFont="1" applyFill="1" applyBorder="1" applyAlignment="1">
      <alignment horizontal="center" vertical="center" wrapText="1"/>
    </xf>
    <xf numFmtId="43" fontId="13" fillId="0" borderId="26" xfId="1" applyFont="1" applyFill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shrinkToFit="1"/>
    </xf>
    <xf numFmtId="0" fontId="22" fillId="0" borderId="26" xfId="255" applyFont="1" applyBorder="1" applyAlignment="1">
      <alignment horizontal="left" vertical="center" shrinkToFit="1"/>
    </xf>
    <xf numFmtId="3" fontId="22" fillId="0" borderId="26" xfId="1" applyNumberFormat="1" applyFont="1" applyFill="1" applyBorder="1" applyAlignment="1">
      <alignment vertical="center" shrinkToFit="1"/>
    </xf>
    <xf numFmtId="3" fontId="22" fillId="0" borderId="26" xfId="0" applyNumberFormat="1" applyFont="1" applyBorder="1" applyAlignment="1">
      <alignment vertical="center" shrinkToFit="1"/>
    </xf>
    <xf numFmtId="3" fontId="92" fillId="0" borderId="26" xfId="1" applyNumberFormat="1" applyFont="1" applyFill="1" applyBorder="1" applyAlignment="1">
      <alignment vertical="center" shrinkToFit="1"/>
    </xf>
    <xf numFmtId="3" fontId="125" fillId="0" borderId="26" xfId="0" applyNumberFormat="1" applyFont="1" applyBorder="1" applyAlignment="1">
      <alignment vertical="center" shrinkToFit="1"/>
    </xf>
    <xf numFmtId="189" fontId="92" fillId="0" borderId="26" xfId="3" applyNumberFormat="1" applyFont="1" applyFill="1" applyBorder="1" applyAlignment="1">
      <alignment vertical="center" shrinkToFit="1"/>
    </xf>
    <xf numFmtId="0" fontId="125" fillId="0" borderId="30" xfId="0" applyFont="1" applyBorder="1" applyAlignment="1">
      <alignment horizontal="center" vertical="center" shrinkToFit="1"/>
    </xf>
    <xf numFmtId="0" fontId="22" fillId="0" borderId="30" xfId="255" applyFont="1" applyBorder="1" applyAlignment="1">
      <alignment horizontal="left" vertical="center" shrinkToFit="1"/>
    </xf>
    <xf numFmtId="3" fontId="22" fillId="0" borderId="30" xfId="1" applyNumberFormat="1" applyFont="1" applyFill="1" applyBorder="1" applyAlignment="1">
      <alignment vertical="center" shrinkToFit="1"/>
    </xf>
    <xf numFmtId="3" fontId="22" fillId="0" borderId="30" xfId="0" applyNumberFormat="1" applyFont="1" applyBorder="1" applyAlignment="1">
      <alignment vertical="center" shrinkToFit="1"/>
    </xf>
    <xf numFmtId="3" fontId="92" fillId="0" borderId="30" xfId="1" applyNumberFormat="1" applyFont="1" applyFill="1" applyBorder="1" applyAlignment="1">
      <alignment vertical="center" shrinkToFit="1"/>
    </xf>
    <xf numFmtId="3" fontId="125" fillId="0" borderId="30" xfId="0" applyNumberFormat="1" applyFont="1" applyBorder="1" applyAlignment="1">
      <alignment vertical="center" shrinkToFit="1"/>
    </xf>
    <xf numFmtId="189" fontId="92" fillId="0" borderId="30" xfId="3" applyNumberFormat="1" applyFont="1" applyFill="1" applyBorder="1" applyAlignment="1">
      <alignment vertical="center" shrinkToFit="1"/>
    </xf>
    <xf numFmtId="0" fontId="124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center" shrinkToFit="1"/>
    </xf>
    <xf numFmtId="189" fontId="124" fillId="0" borderId="1" xfId="1" applyNumberFormat="1" applyFont="1" applyFill="1" applyBorder="1" applyAlignment="1">
      <alignment vertical="center" shrinkToFit="1"/>
    </xf>
    <xf numFmtId="0" fontId="125" fillId="0" borderId="1" xfId="0" applyFont="1" applyBorder="1" applyAlignment="1">
      <alignment horizontal="center" vertical="center" shrinkToFit="1"/>
    </xf>
    <xf numFmtId="0" fontId="22" fillId="0" borderId="1" xfId="255" applyFont="1" applyBorder="1" applyAlignment="1">
      <alignment horizontal="left" vertical="center" shrinkToFit="1"/>
    </xf>
    <xf numFmtId="3" fontId="22" fillId="0" borderId="1" xfId="1" applyNumberFormat="1" applyFont="1" applyFill="1" applyBorder="1" applyAlignment="1">
      <alignment vertical="center" shrinkToFit="1"/>
    </xf>
    <xf numFmtId="3" fontId="22" fillId="0" borderId="1" xfId="0" applyNumberFormat="1" applyFont="1" applyBorder="1" applyAlignment="1">
      <alignment vertical="center" shrinkToFit="1"/>
    </xf>
    <xf numFmtId="3" fontId="92" fillId="0" borderId="1" xfId="1" applyNumberFormat="1" applyFont="1" applyFill="1" applyBorder="1" applyAlignment="1">
      <alignment vertical="center" shrinkToFit="1"/>
    </xf>
    <xf numFmtId="3" fontId="125" fillId="0" borderId="1" xfId="0" applyNumberFormat="1" applyFont="1" applyBorder="1" applyAlignment="1">
      <alignment vertical="center" shrinkToFit="1"/>
    </xf>
    <xf numFmtId="189" fontId="92" fillId="0" borderId="1" xfId="3" applyNumberFormat="1" applyFont="1" applyFill="1" applyBorder="1" applyAlignment="1">
      <alignment vertical="center" shrinkToFit="1"/>
    </xf>
    <xf numFmtId="192" fontId="27" fillId="0" borderId="1" xfId="11" applyNumberFormat="1" applyFont="1" applyFill="1" applyBorder="1" applyAlignment="1">
      <alignment horizontal="right" vertical="center"/>
    </xf>
    <xf numFmtId="189" fontId="124" fillId="0" borderId="0" xfId="0" applyNumberFormat="1" applyFont="1" applyAlignment="1">
      <alignment vertical="center" shrinkToFit="1"/>
    </xf>
    <xf numFmtId="192" fontId="124" fillId="0" borderId="0" xfId="0" applyNumberFormat="1" applyFont="1" applyAlignment="1">
      <alignment vertical="center" shrinkToFit="1"/>
    </xf>
    <xf numFmtId="189" fontId="129" fillId="0" borderId="0" xfId="0" applyNumberFormat="1" applyFont="1" applyAlignment="1">
      <alignment vertical="center" shrinkToFit="1"/>
    </xf>
    <xf numFmtId="0" fontId="11" fillId="0" borderId="0" xfId="254" applyFont="1"/>
    <xf numFmtId="0" fontId="8" fillId="0" borderId="0" xfId="254" applyFont="1"/>
    <xf numFmtId="0" fontId="20" fillId="0" borderId="0" xfId="254" applyFont="1" applyAlignment="1">
      <alignment horizontal="center"/>
    </xf>
    <xf numFmtId="0" fontId="8" fillId="0" borderId="0" xfId="254" applyFont="1" applyAlignment="1">
      <alignment horizontal="center"/>
    </xf>
    <xf numFmtId="0" fontId="17" fillId="0" borderId="0" xfId="254" applyFont="1" applyAlignment="1">
      <alignment horizontal="center"/>
    </xf>
    <xf numFmtId="0" fontId="12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3" fontId="8" fillId="0" borderId="0" xfId="11" applyNumberFormat="1" applyFont="1" applyFill="1" applyAlignment="1">
      <alignment horizontal="right"/>
    </xf>
    <xf numFmtId="189" fontId="13" fillId="0" borderId="0" xfId="11" applyFont="1" applyFill="1"/>
    <xf numFmtId="0" fontId="13" fillId="0" borderId="0" xfId="254" applyFont="1"/>
    <xf numFmtId="0" fontId="8" fillId="0" borderId="1" xfId="254" applyFont="1" applyBorder="1" applyAlignment="1">
      <alignment vertical="center"/>
    </xf>
    <xf numFmtId="192" fontId="12" fillId="7" borderId="1" xfId="11" applyNumberFormat="1" applyFont="1" applyFill="1" applyBorder="1" applyAlignment="1">
      <alignment horizontal="right" vertical="center" shrinkToFit="1"/>
    </xf>
    <xf numFmtId="192" fontId="12" fillId="0" borderId="1" xfId="254" applyNumberFormat="1" applyFont="1" applyBorder="1" applyAlignment="1">
      <alignment horizontal="right" vertical="center" shrinkToFit="1"/>
    </xf>
    <xf numFmtId="0" fontId="2" fillId="0" borderId="24" xfId="254" applyFont="1" applyBorder="1" applyAlignment="1">
      <alignment vertical="center" shrinkToFit="1"/>
    </xf>
    <xf numFmtId="0" fontId="12" fillId="0" borderId="0" xfId="254" applyFont="1" applyAlignment="1">
      <alignment vertical="center" shrinkToFit="1"/>
    </xf>
    <xf numFmtId="192" fontId="2" fillId="0" borderId="24" xfId="11" applyNumberFormat="1" applyFont="1" applyFill="1" applyBorder="1" applyAlignment="1">
      <alignment vertical="center" shrinkToFit="1"/>
    </xf>
    <xf numFmtId="0" fontId="16" fillId="0" borderId="0" xfId="254" applyFont="1"/>
    <xf numFmtId="0" fontId="16" fillId="0" borderId="0" xfId="254" applyFont="1" applyAlignment="1">
      <alignment horizontal="center"/>
    </xf>
    <xf numFmtId="0" fontId="27" fillId="0" borderId="0" xfId="254" applyFont="1"/>
    <xf numFmtId="192" fontId="27" fillId="0" borderId="0" xfId="254" applyNumberFormat="1" applyFont="1"/>
    <xf numFmtId="0" fontId="27" fillId="0" borderId="0" xfId="254" applyFont="1" applyAlignment="1">
      <alignment horizontal="center"/>
    </xf>
    <xf numFmtId="3" fontId="27" fillId="0" borderId="0" xfId="254" applyNumberFormat="1" applyFont="1" applyAlignment="1">
      <alignment horizontal="right"/>
    </xf>
    <xf numFmtId="189" fontId="27" fillId="0" borderId="0" xfId="254" applyNumberFormat="1" applyFont="1" applyAlignment="1">
      <alignment horizontal="center"/>
    </xf>
    <xf numFmtId="0" fontId="10" fillId="0" borderId="0" xfId="254" applyFont="1" applyAlignment="1">
      <alignment horizontal="right"/>
    </xf>
    <xf numFmtId="189" fontId="10" fillId="0" borderId="0" xfId="11" applyFont="1" applyFill="1" applyAlignment="1">
      <alignment horizontal="right"/>
    </xf>
    <xf numFmtId="189" fontId="10" fillId="0" borderId="0" xfId="254" applyNumberFormat="1" applyFont="1" applyAlignment="1">
      <alignment horizontal="right"/>
    </xf>
    <xf numFmtId="193" fontId="10" fillId="0" borderId="0" xfId="11" applyNumberFormat="1" applyFont="1" applyFill="1" applyAlignment="1">
      <alignment horizontal="right"/>
    </xf>
    <xf numFmtId="3" fontId="27" fillId="0" borderId="0" xfId="254" applyNumberFormat="1" applyFont="1"/>
    <xf numFmtId="222" fontId="10" fillId="0" borderId="0" xfId="11" applyNumberFormat="1" applyFont="1" applyFill="1" applyAlignment="1">
      <alignment horizontal="right"/>
    </xf>
    <xf numFmtId="189" fontId="27" fillId="0" borderId="0" xfId="254" applyNumberFormat="1" applyFont="1"/>
    <xf numFmtId="192" fontId="11" fillId="0" borderId="0" xfId="254" applyNumberFormat="1" applyFont="1" applyAlignment="1">
      <alignment horizontal="center"/>
    </xf>
    <xf numFmtId="0" fontId="11" fillId="0" borderId="0" xfId="254" applyFont="1" applyAlignment="1">
      <alignment horizontal="center"/>
    </xf>
    <xf numFmtId="3" fontId="8" fillId="0" borderId="0" xfId="254" applyNumberFormat="1" applyFont="1" applyAlignment="1">
      <alignment horizontal="right"/>
    </xf>
    <xf numFmtId="192" fontId="13" fillId="0" borderId="0" xfId="254" applyNumberFormat="1" applyFont="1"/>
    <xf numFmtId="189" fontId="13" fillId="0" borderId="0" xfId="254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43" fontId="13" fillId="0" borderId="0" xfId="254" applyNumberFormat="1" applyFont="1" applyAlignment="1">
      <alignment horizontal="center"/>
    </xf>
    <xf numFmtId="192" fontId="13" fillId="0" borderId="0" xfId="11" applyNumberFormat="1" applyFont="1" applyFill="1"/>
    <xf numFmtId="0" fontId="15" fillId="0" borderId="0" xfId="254" applyFont="1"/>
    <xf numFmtId="189" fontId="8" fillId="0" borderId="0" xfId="254" applyNumberFormat="1" applyFont="1"/>
    <xf numFmtId="189" fontId="8" fillId="0" borderId="0" xfId="11" applyFont="1" applyFill="1" applyAlignment="1">
      <alignment horizontal="center"/>
    </xf>
    <xf numFmtId="192" fontId="8" fillId="0" borderId="0" xfId="254" applyNumberFormat="1" applyFont="1"/>
    <xf numFmtId="202" fontId="22" fillId="0" borderId="26" xfId="0" applyNumberFormat="1" applyFont="1" applyBorder="1" applyAlignment="1">
      <alignment horizontal="right"/>
    </xf>
    <xf numFmtId="0" fontId="11" fillId="0" borderId="1" xfId="254" applyFont="1" applyBorder="1" applyAlignment="1">
      <alignment horizontal="center" vertical="center" shrinkToFit="1"/>
    </xf>
    <xf numFmtId="0" fontId="13" fillId="0" borderId="25" xfId="254" applyFont="1" applyBorder="1" applyAlignment="1">
      <alignment horizontal="center" vertical="center" wrapText="1"/>
    </xf>
    <xf numFmtId="0" fontId="13" fillId="0" borderId="25" xfId="255" applyFont="1" applyBorder="1" applyAlignment="1">
      <alignment vertical="center" wrapText="1"/>
    </xf>
    <xf numFmtId="0" fontId="13" fillId="0" borderId="25" xfId="0" quotePrefix="1" applyFont="1" applyBorder="1" applyAlignment="1">
      <alignment vertical="center"/>
    </xf>
    <xf numFmtId="0" fontId="13" fillId="0" borderId="25" xfId="254" applyFont="1" applyBorder="1" applyAlignment="1">
      <alignment horizontal="left" vertical="center" shrinkToFit="1"/>
    </xf>
    <xf numFmtId="0" fontId="13" fillId="0" borderId="25" xfId="254" applyFont="1" applyBorder="1" applyAlignment="1">
      <alignment horizontal="center" vertical="center" shrinkToFit="1"/>
    </xf>
    <xf numFmtId="0" fontId="13" fillId="0" borderId="26" xfId="254" applyFont="1" applyBorder="1" applyAlignment="1">
      <alignment horizontal="center" vertical="center" wrapText="1"/>
    </xf>
    <xf numFmtId="0" fontId="13" fillId="0" borderId="26" xfId="255" applyFont="1" applyBorder="1" applyAlignment="1">
      <alignment vertical="center" wrapText="1"/>
    </xf>
    <xf numFmtId="212" fontId="13" fillId="0" borderId="26" xfId="11" applyNumberFormat="1" applyFont="1" applyFill="1" applyBorder="1" applyAlignment="1">
      <alignment horizontal="left" vertical="center"/>
    </xf>
    <xf numFmtId="0" fontId="13" fillId="0" borderId="26" xfId="0" quotePrefix="1" applyFont="1" applyBorder="1" applyAlignment="1">
      <alignment vertical="center"/>
    </xf>
    <xf numFmtId="0" fontId="13" fillId="0" borderId="26" xfId="254" applyFont="1" applyBorder="1" applyAlignment="1">
      <alignment horizontal="left" vertical="center" shrinkToFit="1"/>
    </xf>
    <xf numFmtId="0" fontId="13" fillId="0" borderId="26" xfId="254" applyFont="1" applyBorder="1" applyAlignment="1">
      <alignment horizontal="center" vertical="center" shrinkToFit="1"/>
    </xf>
    <xf numFmtId="0" fontId="13" fillId="0" borderId="30" xfId="254" applyFont="1" applyBorder="1" applyAlignment="1">
      <alignment horizontal="center" vertical="center" wrapText="1"/>
    </xf>
    <xf numFmtId="0" fontId="13" fillId="0" borderId="30" xfId="255" applyFont="1" applyBorder="1" applyAlignment="1">
      <alignment vertical="center" wrapText="1"/>
    </xf>
    <xf numFmtId="212" fontId="13" fillId="0" borderId="30" xfId="11" applyNumberFormat="1" applyFont="1" applyFill="1" applyBorder="1" applyAlignment="1">
      <alignment horizontal="left" vertical="center"/>
    </xf>
    <xf numFmtId="0" fontId="13" fillId="0" borderId="30" xfId="0" quotePrefix="1" applyFont="1" applyBorder="1" applyAlignment="1">
      <alignment vertical="center"/>
    </xf>
    <xf numFmtId="0" fontId="13" fillId="0" borderId="30" xfId="254" applyFont="1" applyBorder="1" applyAlignment="1">
      <alignment horizontal="left" vertical="center" shrinkToFit="1"/>
    </xf>
    <xf numFmtId="0" fontId="13" fillId="0" borderId="30" xfId="254" applyFont="1" applyBorder="1" applyAlignment="1">
      <alignment horizontal="center" vertical="center" shrinkToFit="1"/>
    </xf>
    <xf numFmtId="43" fontId="13" fillId="0" borderId="30" xfId="1" applyFont="1" applyFill="1" applyBorder="1" applyAlignment="1">
      <alignment horizontal="center" vertical="center" wrapText="1"/>
    </xf>
    <xf numFmtId="3" fontId="39" fillId="0" borderId="0" xfId="254" applyNumberFormat="1" applyFont="1"/>
    <xf numFmtId="3" fontId="13" fillId="7" borderId="25" xfId="0" applyNumberFormat="1" applyFont="1" applyFill="1" applyBorder="1" applyAlignment="1">
      <alignment horizontal="left" vertical="center"/>
    </xf>
    <xf numFmtId="202" fontId="22" fillId="0" borderId="25" xfId="0" applyNumberFormat="1" applyFont="1" applyBorder="1" applyAlignment="1">
      <alignment horizontal="right"/>
    </xf>
    <xf numFmtId="202" fontId="22" fillId="0" borderId="30" xfId="0" applyNumberFormat="1" applyFont="1" applyBorder="1" applyAlignment="1">
      <alignment horizontal="right"/>
    </xf>
    <xf numFmtId="0" fontId="11" fillId="0" borderId="0" xfId="254" applyFont="1" applyAlignment="1">
      <alignment horizontal="center" vertical="center"/>
    </xf>
    <xf numFmtId="1" fontId="124" fillId="0" borderId="1" xfId="1" applyNumberFormat="1" applyFont="1" applyFill="1" applyBorder="1" applyAlignment="1">
      <alignment vertical="center" shrinkToFit="1"/>
    </xf>
    <xf numFmtId="191" fontId="124" fillId="0" borderId="1" xfId="1" applyNumberFormat="1" applyFont="1" applyBorder="1" applyAlignment="1">
      <alignment vertical="center" shrinkToFit="1"/>
    </xf>
    <xf numFmtId="191" fontId="124" fillId="0" borderId="1" xfId="1" applyNumberFormat="1" applyFont="1" applyFill="1" applyBorder="1" applyAlignment="1">
      <alignment vertical="center" shrinkToFit="1"/>
    </xf>
    <xf numFmtId="0" fontId="12" fillId="0" borderId="0" xfId="254" applyFont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12" fillId="0" borderId="14" xfId="254" applyFont="1" applyBorder="1" applyAlignment="1">
      <alignment horizontal="center" vertical="center"/>
    </xf>
    <xf numFmtId="0" fontId="11" fillId="0" borderId="14" xfId="254" applyFont="1" applyBorder="1" applyAlignment="1">
      <alignment horizontal="center" vertical="center"/>
    </xf>
    <xf numFmtId="212" fontId="13" fillId="0" borderId="25" xfId="11" applyNumberFormat="1" applyFont="1" applyFill="1" applyBorder="1" applyAlignment="1">
      <alignment horizontal="left" vertical="center"/>
    </xf>
    <xf numFmtId="192" fontId="13" fillId="0" borderId="25" xfId="0" applyNumberFormat="1" applyFont="1" applyBorder="1" applyAlignment="1">
      <alignment horizontal="center" vertical="center" wrapText="1"/>
    </xf>
    <xf numFmtId="192" fontId="13" fillId="0" borderId="26" xfId="0" applyNumberFormat="1" applyFont="1" applyBorder="1" applyAlignment="1">
      <alignment horizontal="center" vertical="center" wrapText="1"/>
    </xf>
    <xf numFmtId="192" fontId="13" fillId="0" borderId="30" xfId="0" applyNumberFormat="1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shrinkToFit="1"/>
    </xf>
    <xf numFmtId="192" fontId="11" fillId="0" borderId="1" xfId="0" applyNumberFormat="1" applyFont="1" applyBorder="1" applyAlignment="1">
      <alignment horizontal="center" vertical="center" wrapText="1"/>
    </xf>
    <xf numFmtId="0" fontId="13" fillId="0" borderId="60" xfId="254" applyFont="1" applyBorder="1" applyAlignment="1">
      <alignment horizontal="center" vertical="center" wrapText="1"/>
    </xf>
    <xf numFmtId="0" fontId="13" fillId="0" borderId="60" xfId="255" applyFont="1" applyBorder="1" applyAlignment="1">
      <alignment vertical="center" wrapText="1"/>
    </xf>
    <xf numFmtId="212" fontId="13" fillId="0" borderId="60" xfId="11" applyNumberFormat="1" applyFont="1" applyFill="1" applyBorder="1" applyAlignment="1">
      <alignment horizontal="left" vertical="center"/>
    </xf>
    <xf numFmtId="0" fontId="13" fillId="0" borderId="60" xfId="254" applyFont="1" applyBorder="1" applyAlignment="1">
      <alignment horizontal="left" vertical="center" shrinkToFit="1"/>
    </xf>
    <xf numFmtId="0" fontId="13" fillId="0" borderId="60" xfId="254" applyFont="1" applyBorder="1" applyAlignment="1">
      <alignment horizontal="center" vertical="center" shrinkToFit="1"/>
    </xf>
    <xf numFmtId="192" fontId="13" fillId="0" borderId="6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0" fontId="13" fillId="0" borderId="26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92" fontId="11" fillId="0" borderId="1" xfId="11" applyNumberFormat="1" applyFont="1" applyFill="1" applyBorder="1" applyAlignment="1">
      <alignment vertical="center" shrinkToFit="1"/>
    </xf>
    <xf numFmtId="0" fontId="13" fillId="0" borderId="25" xfId="0" applyFont="1" applyBorder="1" applyAlignment="1">
      <alignment horizontal="left" vertical="center"/>
    </xf>
    <xf numFmtId="192" fontId="13" fillId="0" borderId="25" xfId="11" applyNumberFormat="1" applyFont="1" applyFill="1" applyBorder="1" applyAlignment="1">
      <alignment vertical="center" shrinkToFit="1"/>
    </xf>
    <xf numFmtId="192" fontId="13" fillId="0" borderId="26" xfId="11" applyNumberFormat="1" applyFont="1" applyFill="1" applyBorder="1" applyAlignment="1">
      <alignment vertical="center" shrinkToFit="1"/>
    </xf>
    <xf numFmtId="192" fontId="13" fillId="0" borderId="30" xfId="11" applyNumberFormat="1" applyFont="1" applyFill="1" applyBorder="1" applyAlignment="1">
      <alignment vertical="center" shrinkToFit="1"/>
    </xf>
    <xf numFmtId="0" fontId="13" fillId="0" borderId="1" xfId="254" applyFont="1" applyBorder="1" applyAlignment="1">
      <alignment vertical="center"/>
    </xf>
    <xf numFmtId="192" fontId="11" fillId="7" borderId="1" xfId="11" applyNumberFormat="1" applyFont="1" applyFill="1" applyBorder="1" applyAlignment="1">
      <alignment horizontal="right" vertical="center" shrinkToFit="1"/>
    </xf>
    <xf numFmtId="192" fontId="11" fillId="0" borderId="1" xfId="254" applyNumberFormat="1" applyFont="1" applyBorder="1" applyAlignment="1">
      <alignment horizontal="right" vertical="center" shrinkToFit="1"/>
    </xf>
    <xf numFmtId="0" fontId="11" fillId="0" borderId="24" xfId="254" applyFont="1" applyBorder="1" applyAlignment="1">
      <alignment vertical="center" shrinkToFit="1"/>
    </xf>
    <xf numFmtId="0" fontId="22" fillId="0" borderId="25" xfId="255" applyFont="1" applyBorder="1" applyAlignment="1">
      <alignment horizontal="left" vertical="center" shrinkToFit="1"/>
    </xf>
    <xf numFmtId="0" fontId="149" fillId="0" borderId="0" xfId="0" applyFont="1"/>
    <xf numFmtId="0" fontId="56" fillId="0" borderId="0" xfId="254" applyFont="1"/>
    <xf numFmtId="0" fontId="56" fillId="0" borderId="0" xfId="254" applyFont="1" applyAlignment="1">
      <alignment horizontal="left"/>
    </xf>
    <xf numFmtId="0" fontId="56" fillId="0" borderId="0" xfId="254" applyFont="1" applyAlignment="1">
      <alignment horizontal="center"/>
    </xf>
    <xf numFmtId="0" fontId="150" fillId="0" borderId="0" xfId="254" applyFont="1"/>
    <xf numFmtId="192" fontId="150" fillId="0" borderId="0" xfId="254" applyNumberFormat="1" applyFont="1"/>
    <xf numFmtId="0" fontId="150" fillId="0" borderId="0" xfId="254" applyFont="1" applyAlignment="1">
      <alignment horizontal="center"/>
    </xf>
    <xf numFmtId="189" fontId="150" fillId="0" borderId="0" xfId="254" applyNumberFormat="1" applyFont="1" applyAlignment="1">
      <alignment horizontal="center"/>
    </xf>
    <xf numFmtId="0" fontId="21" fillId="0" borderId="0" xfId="254" applyFont="1" applyAlignment="1">
      <alignment horizontal="right"/>
    </xf>
    <xf numFmtId="189" fontId="21" fillId="0" borderId="0" xfId="11" applyFont="1" applyFill="1" applyAlignment="1">
      <alignment horizontal="right"/>
    </xf>
    <xf numFmtId="0" fontId="151" fillId="0" borderId="0" xfId="0" applyFont="1" applyAlignment="1">
      <alignment horizontal="center"/>
    </xf>
    <xf numFmtId="0" fontId="111" fillId="7" borderId="25" xfId="0" applyFont="1" applyFill="1" applyBorder="1" applyAlignment="1">
      <alignment horizontal="left"/>
    </xf>
    <xf numFmtId="0" fontId="133" fillId="7" borderId="0" xfId="0" applyFont="1" applyFill="1" applyAlignment="1">
      <alignment horizontal="center" vertical="center"/>
    </xf>
    <xf numFmtId="0" fontId="124" fillId="0" borderId="1" xfId="0" applyFont="1" applyBorder="1" applyAlignment="1">
      <alignment vertical="center" wrapText="1"/>
    </xf>
    <xf numFmtId="192" fontId="125" fillId="0" borderId="60" xfId="1" applyNumberFormat="1" applyFont="1" applyFill="1" applyBorder="1" applyAlignment="1">
      <alignment horizontal="center" vertical="center"/>
    </xf>
    <xf numFmtId="192" fontId="124" fillId="0" borderId="1" xfId="1" applyNumberFormat="1" applyFont="1" applyFill="1" applyBorder="1" applyAlignment="1">
      <alignment horizontal="center" vertical="center" shrinkToFit="1"/>
    </xf>
    <xf numFmtId="212" fontId="124" fillId="0" borderId="1" xfId="1" applyNumberFormat="1" applyFont="1" applyFill="1" applyBorder="1" applyAlignment="1">
      <alignment horizontal="right" vertical="center" shrinkToFit="1"/>
    </xf>
    <xf numFmtId="191" fontId="124" fillId="0" borderId="1" xfId="1" applyNumberFormat="1" applyFont="1" applyFill="1" applyBorder="1" applyAlignment="1">
      <alignment horizontal="right" vertical="center" shrinkToFit="1"/>
    </xf>
    <xf numFmtId="43" fontId="124" fillId="0" borderId="1" xfId="1" applyFont="1" applyFill="1" applyBorder="1" applyAlignment="1">
      <alignment horizontal="right" vertical="center" shrinkToFit="1"/>
    </xf>
    <xf numFmtId="189" fontId="124" fillId="0" borderId="1" xfId="1" applyNumberFormat="1" applyFont="1" applyFill="1" applyBorder="1" applyAlignment="1">
      <alignment horizontal="right" vertical="center" shrinkToFit="1"/>
    </xf>
    <xf numFmtId="0" fontId="115" fillId="7" borderId="0" xfId="0" applyFont="1" applyFill="1"/>
    <xf numFmtId="0" fontId="126" fillId="7" borderId="0" xfId="0" applyFont="1" applyFill="1"/>
    <xf numFmtId="0" fontId="118" fillId="7" borderId="0" xfId="0" applyFont="1" applyFill="1" applyAlignment="1">
      <alignment horizontal="left" vertical="center"/>
    </xf>
    <xf numFmtId="192" fontId="118" fillId="7" borderId="0" xfId="11" applyNumberFormat="1" applyFont="1" applyFill="1" applyBorder="1" applyAlignment="1">
      <alignment horizontal="center" vertical="center"/>
    </xf>
    <xf numFmtId="0" fontId="152" fillId="7" borderId="0" xfId="0" applyFont="1" applyFill="1" applyAlignment="1">
      <alignment horizontal="center" vertical="center"/>
    </xf>
    <xf numFmtId="214" fontId="118" fillId="7" borderId="0" xfId="11" applyNumberFormat="1" applyFont="1" applyFill="1" applyBorder="1" applyAlignment="1">
      <alignment horizontal="center" vertical="center"/>
    </xf>
    <xf numFmtId="0" fontId="153" fillId="7" borderId="0" xfId="0" applyFont="1" applyFill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43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54" xfId="0" applyFont="1" applyFill="1" applyBorder="1" applyAlignment="1">
      <alignment horizontal="center" vertical="center"/>
    </xf>
    <xf numFmtId="0" fontId="14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192" fontId="134" fillId="7" borderId="1" xfId="11" applyNumberFormat="1" applyFont="1" applyFill="1" applyBorder="1" applyAlignment="1">
      <alignment vertical="center" shrinkToFit="1"/>
    </xf>
    <xf numFmtId="189" fontId="134" fillId="7" borderId="1" xfId="11" applyFont="1" applyFill="1" applyBorder="1" applyAlignment="1">
      <alignment vertical="center" shrinkToFit="1"/>
    </xf>
    <xf numFmtId="191" fontId="134" fillId="7" borderId="1" xfId="1" applyNumberFormat="1" applyFont="1" applyFill="1" applyBorder="1" applyAlignment="1">
      <alignment vertical="center" shrinkToFit="1"/>
    </xf>
    <xf numFmtId="189" fontId="134" fillId="7" borderId="1" xfId="3" applyNumberFormat="1" applyFont="1" applyFill="1" applyBorder="1" applyAlignment="1">
      <alignment vertical="center"/>
    </xf>
    <xf numFmtId="0" fontId="13" fillId="7" borderId="1" xfId="255" applyFont="1" applyFill="1" applyBorder="1" applyAlignment="1">
      <alignment horizontal="left" vertical="center"/>
    </xf>
    <xf numFmtId="192" fontId="111" fillId="7" borderId="1" xfId="11" applyNumberFormat="1" applyFont="1" applyFill="1" applyBorder="1" applyAlignment="1">
      <alignment horizontal="center" vertical="center"/>
    </xf>
    <xf numFmtId="1" fontId="111" fillId="7" borderId="1" xfId="0" applyNumberFormat="1" applyFont="1" applyFill="1" applyBorder="1" applyAlignment="1">
      <alignment vertical="center"/>
    </xf>
    <xf numFmtId="191" fontId="111" fillId="7" borderId="1" xfId="1" applyNumberFormat="1" applyFont="1" applyFill="1" applyBorder="1" applyAlignment="1">
      <alignment vertical="center"/>
    </xf>
    <xf numFmtId="189" fontId="111" fillId="7" borderId="1" xfId="11" applyFont="1" applyFill="1" applyBorder="1" applyAlignment="1">
      <alignment vertical="center"/>
    </xf>
    <xf numFmtId="191" fontId="8" fillId="7" borderId="1" xfId="3" applyNumberFormat="1" applyFont="1" applyFill="1" applyBorder="1" applyAlignment="1">
      <alignment horizontal="left" vertical="center" wrapText="1"/>
    </xf>
    <xf numFmtId="0" fontId="127" fillId="7" borderId="0" xfId="0" applyFont="1" applyFill="1"/>
    <xf numFmtId="0" fontId="130" fillId="7" borderId="0" xfId="0" applyFont="1" applyFill="1" applyAlignment="1">
      <alignment horizontal="right" vertical="center"/>
    </xf>
    <xf numFmtId="0" fontId="129" fillId="7" borderId="0" xfId="0" applyFont="1" applyFill="1"/>
    <xf numFmtId="192" fontId="111" fillId="7" borderId="24" xfId="11" applyNumberFormat="1" applyFont="1" applyFill="1" applyBorder="1" applyAlignment="1">
      <alignment vertical="center" shrinkToFit="1"/>
    </xf>
    <xf numFmtId="189" fontId="117" fillId="7" borderId="24" xfId="3" applyNumberFormat="1" applyFont="1" applyFill="1" applyBorder="1" applyAlignment="1">
      <alignment horizontal="right" vertical="center"/>
    </xf>
    <xf numFmtId="0" fontId="157" fillId="7" borderId="0" xfId="0" applyFont="1" applyFill="1"/>
    <xf numFmtId="0" fontId="158" fillId="7" borderId="0" xfId="0" applyFont="1" applyFill="1"/>
    <xf numFmtId="0" fontId="155" fillId="7" borderId="0" xfId="0" applyFont="1" applyFill="1" applyAlignment="1">
      <alignment vertical="center"/>
    </xf>
    <xf numFmtId="0" fontId="134" fillId="7" borderId="0" xfId="0" applyFont="1" applyFill="1"/>
    <xf numFmtId="0" fontId="134" fillId="7" borderId="0" xfId="0" applyFont="1" applyFill="1" applyAlignment="1">
      <alignment horizontal="center"/>
    </xf>
    <xf numFmtId="43" fontId="124" fillId="0" borderId="1" xfId="1" applyFont="1" applyBorder="1" applyAlignment="1">
      <alignment vertical="center" shrinkToFit="1"/>
    </xf>
    <xf numFmtId="43" fontId="125" fillId="0" borderId="26" xfId="1" applyFont="1" applyFill="1" applyBorder="1" applyAlignment="1">
      <alignment vertical="center" shrinkToFit="1"/>
    </xf>
    <xf numFmtId="43" fontId="125" fillId="0" borderId="30" xfId="1" applyFont="1" applyFill="1" applyBorder="1" applyAlignment="1">
      <alignment vertical="center" shrinkToFit="1"/>
    </xf>
    <xf numFmtId="43" fontId="124" fillId="0" borderId="1" xfId="1" applyFont="1" applyFill="1" applyBorder="1" applyAlignment="1">
      <alignment vertical="center" shrinkToFit="1"/>
    </xf>
    <xf numFmtId="1" fontId="22" fillId="0" borderId="26" xfId="1" applyNumberFormat="1" applyFont="1" applyBorder="1" applyAlignment="1">
      <alignment vertical="center" shrinkToFit="1"/>
    </xf>
    <xf numFmtId="1" fontId="22" fillId="0" borderId="26" xfId="1" applyNumberFormat="1" applyFont="1" applyFill="1" applyBorder="1" applyAlignment="1">
      <alignment vertical="center" shrinkToFit="1"/>
    </xf>
    <xf numFmtId="1" fontId="22" fillId="0" borderId="30" xfId="1" applyNumberFormat="1" applyFont="1" applyBorder="1" applyAlignment="1">
      <alignment vertical="center" shrinkToFit="1"/>
    </xf>
    <xf numFmtId="1" fontId="22" fillId="0" borderId="30" xfId="1" applyNumberFormat="1" applyFont="1" applyFill="1" applyBorder="1" applyAlignment="1">
      <alignment vertical="center" shrinkToFit="1"/>
    </xf>
    <xf numFmtId="1" fontId="22" fillId="0" borderId="1" xfId="1" applyNumberFormat="1" applyFont="1" applyBorder="1" applyAlignment="1">
      <alignment vertical="center" shrinkToFit="1"/>
    </xf>
    <xf numFmtId="1" fontId="22" fillId="0" borderId="1" xfId="1" applyNumberFormat="1" applyFont="1" applyFill="1" applyBorder="1" applyAlignment="1">
      <alignment vertical="center" shrinkToFit="1"/>
    </xf>
    <xf numFmtId="191" fontId="22" fillId="0" borderId="1" xfId="1" applyNumberFormat="1" applyFont="1" applyBorder="1" applyAlignment="1">
      <alignment vertical="center" shrinkToFit="1"/>
    </xf>
    <xf numFmtId="191" fontId="22" fillId="0" borderId="1" xfId="1" applyNumberFormat="1" applyFont="1" applyFill="1" applyBorder="1" applyAlignment="1">
      <alignment vertical="center" shrinkToFit="1"/>
    </xf>
    <xf numFmtId="43" fontId="100" fillId="0" borderId="26" xfId="1" applyFont="1" applyFill="1" applyBorder="1" applyAlignment="1">
      <alignment horizontal="right" vertical="center" shrinkToFit="1"/>
    </xf>
    <xf numFmtId="43" fontId="100" fillId="0" borderId="30" xfId="1" applyFont="1" applyFill="1" applyBorder="1" applyAlignment="1">
      <alignment horizontal="right" vertical="center" shrinkToFit="1"/>
    </xf>
    <xf numFmtId="43" fontId="100" fillId="0" borderId="1" xfId="1" applyFont="1" applyFill="1" applyBorder="1" applyAlignment="1">
      <alignment horizontal="right" vertical="center" shrinkToFit="1"/>
    </xf>
    <xf numFmtId="0" fontId="159" fillId="0" borderId="0" xfId="0" applyFont="1"/>
    <xf numFmtId="189" fontId="159" fillId="0" borderId="0" xfId="0" applyNumberFormat="1" applyFont="1"/>
    <xf numFmtId="3" fontId="159" fillId="0" borderId="0" xfId="0" applyNumberFormat="1" applyFont="1"/>
    <xf numFmtId="189" fontId="22" fillId="0" borderId="0" xfId="11" applyFont="1" applyFill="1"/>
    <xf numFmtId="3" fontId="22" fillId="0" borderId="0" xfId="11" applyNumberFormat="1" applyFont="1" applyFill="1"/>
    <xf numFmtId="192" fontId="22" fillId="0" borderId="0" xfId="11" applyNumberFormat="1" applyFont="1" applyFill="1"/>
    <xf numFmtId="0" fontId="15" fillId="0" borderId="0" xfId="0" applyFont="1"/>
    <xf numFmtId="0" fontId="8" fillId="0" borderId="0" xfId="0" applyFont="1" applyAlignment="1">
      <alignment horizontal="right" shrinkToFit="1"/>
    </xf>
    <xf numFmtId="193" fontId="13" fillId="0" borderId="0" xfId="11" applyNumberFormat="1" applyFont="1" applyFill="1" applyBorder="1" applyAlignment="1"/>
    <xf numFmtId="189" fontId="13" fillId="0" borderId="0" xfId="11" applyFont="1" applyFill="1" applyBorder="1" applyAlignment="1"/>
    <xf numFmtId="3" fontId="13" fillId="0" borderId="0" xfId="11" applyNumberFormat="1" applyFont="1" applyFill="1" applyBorder="1" applyAlignment="1"/>
    <xf numFmtId="192" fontId="13" fillId="0" borderId="0" xfId="11" applyNumberFormat="1" applyFont="1" applyFill="1" applyBorder="1"/>
    <xf numFmtId="193" fontId="13" fillId="0" borderId="14" xfId="11" applyNumberFormat="1" applyFont="1" applyFill="1" applyBorder="1" applyAlignment="1"/>
    <xf numFmtId="189" fontId="13" fillId="0" borderId="14" xfId="11" applyFont="1" applyFill="1" applyBorder="1" applyAlignment="1"/>
    <xf numFmtId="3" fontId="13" fillId="0" borderId="14" xfId="11" applyNumberFormat="1" applyFont="1" applyFill="1" applyBorder="1" applyAlignment="1"/>
    <xf numFmtId="192" fontId="13" fillId="0" borderId="14" xfId="11" applyNumberFormat="1" applyFont="1" applyFill="1" applyBorder="1"/>
    <xf numFmtId="0" fontId="11" fillId="0" borderId="14" xfId="0" applyFont="1" applyBorder="1"/>
    <xf numFmtId="0" fontId="11" fillId="0" borderId="1" xfId="0" quotePrefix="1" applyFont="1" applyBorder="1" applyAlignment="1">
      <alignment vertical="center" shrinkToFit="1"/>
    </xf>
    <xf numFmtId="192" fontId="13" fillId="0" borderId="22" xfId="0" applyNumberFormat="1" applyFont="1" applyBorder="1" applyAlignment="1">
      <alignment vertical="center"/>
    </xf>
    <xf numFmtId="0" fontId="11" fillId="0" borderId="27" xfId="254" applyFont="1" applyBorder="1" applyAlignment="1">
      <alignment vertical="center" shrinkToFit="1"/>
    </xf>
    <xf numFmtId="0" fontId="11" fillId="0" borderId="21" xfId="254" applyFont="1" applyBorder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quotePrefix="1" applyFont="1" applyBorder="1" applyAlignment="1">
      <alignment horizontal="center" vertical="center"/>
    </xf>
    <xf numFmtId="0" fontId="13" fillId="0" borderId="22" xfId="254" quotePrefix="1" applyFont="1" applyBorder="1" applyAlignment="1">
      <alignment horizontal="center" vertical="center" shrinkToFit="1"/>
    </xf>
    <xf numFmtId="0" fontId="13" fillId="0" borderId="27" xfId="254" quotePrefix="1" applyFont="1" applyBorder="1" applyAlignment="1">
      <alignment horizontal="center" vertical="center" shrinkToFit="1"/>
    </xf>
    <xf numFmtId="0" fontId="11" fillId="0" borderId="21" xfId="254" quotePrefix="1" applyFont="1" applyBorder="1" applyAlignment="1">
      <alignment vertical="center" shrinkToFit="1"/>
    </xf>
    <xf numFmtId="0" fontId="160" fillId="0" borderId="0" xfId="255" applyFont="1" applyAlignment="1">
      <alignment vertical="center" wrapTex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61" fillId="0" borderId="1" xfId="255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shrinkToFit="1"/>
    </xf>
    <xf numFmtId="0" fontId="160" fillId="0" borderId="30" xfId="255" applyFont="1" applyBorder="1" applyAlignment="1">
      <alignment vertical="center" wrapText="1"/>
    </xf>
    <xf numFmtId="0" fontId="13" fillId="0" borderId="30" xfId="0" quotePrefix="1" applyFont="1" applyBorder="1" applyAlignment="1">
      <alignment horizontal="center" vertical="center"/>
    </xf>
    <xf numFmtId="0" fontId="13" fillId="0" borderId="30" xfId="254" quotePrefix="1" applyFont="1" applyBorder="1" applyAlignment="1">
      <alignment horizontal="center" vertical="center" shrinkToFit="1"/>
    </xf>
    <xf numFmtId="0" fontId="13" fillId="0" borderId="61" xfId="0" applyFont="1" applyBorder="1" applyAlignment="1">
      <alignment vertical="center" shrinkToFit="1"/>
    </xf>
    <xf numFmtId="0" fontId="11" fillId="0" borderId="63" xfId="0" applyFont="1" applyBorder="1" applyAlignment="1">
      <alignment vertical="center" shrinkToFit="1"/>
    </xf>
    <xf numFmtId="0" fontId="13" fillId="0" borderId="25" xfId="0" applyFont="1" applyBorder="1" applyAlignment="1">
      <alignment vertical="center" shrinkToFit="1"/>
    </xf>
    <xf numFmtId="0" fontId="11" fillId="0" borderId="25" xfId="0" applyFont="1" applyBorder="1" applyAlignment="1">
      <alignment vertical="center" shrinkToFit="1"/>
    </xf>
    <xf numFmtId="189" fontId="11" fillId="0" borderId="25" xfId="11" applyFont="1" applyFill="1" applyBorder="1" applyAlignment="1">
      <alignment vertical="center" shrinkToFit="1"/>
    </xf>
    <xf numFmtId="192" fontId="11" fillId="0" borderId="25" xfId="0" applyNumberFormat="1" applyFont="1" applyBorder="1" applyAlignment="1">
      <alignment vertical="center"/>
    </xf>
    <xf numFmtId="0" fontId="146" fillId="7" borderId="0" xfId="0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3" fontId="13" fillId="0" borderId="0" xfId="0" applyNumberFormat="1" applyFont="1"/>
    <xf numFmtId="192" fontId="12" fillId="0" borderId="0" xfId="254" applyNumberFormat="1" applyFont="1"/>
    <xf numFmtId="192" fontId="8" fillId="0" borderId="0" xfId="11" applyNumberFormat="1" applyFont="1" applyFill="1" applyBorder="1" applyAlignment="1">
      <alignment vertical="center" shrinkToFit="1"/>
    </xf>
    <xf numFmtId="192" fontId="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189" fontId="13" fillId="0" borderId="0" xfId="0" applyNumberFormat="1" applyFont="1" applyAlignment="1">
      <alignment horizontal="center"/>
    </xf>
    <xf numFmtId="3" fontId="13" fillId="0" borderId="0" xfId="11" applyNumberFormat="1" applyFont="1" applyFill="1" applyAlignment="1">
      <alignment horizontal="center"/>
    </xf>
    <xf numFmtId="192" fontId="117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89" fontId="1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0" fontId="117" fillId="0" borderId="0" xfId="0" applyFont="1"/>
    <xf numFmtId="3" fontId="13" fillId="0" borderId="0" xfId="11" applyNumberFormat="1" applyFont="1" applyFill="1"/>
    <xf numFmtId="188" fontId="13" fillId="0" borderId="0" xfId="0" applyNumberFormat="1" applyFont="1"/>
    <xf numFmtId="189" fontId="12" fillId="0" borderId="0" xfId="11" applyFont="1" applyFill="1" applyBorder="1" applyAlignment="1">
      <alignment vertical="center" shrinkToFit="1"/>
    </xf>
    <xf numFmtId="188" fontId="12" fillId="0" borderId="0" xfId="0" applyNumberFormat="1" applyFont="1" applyAlignment="1">
      <alignment vertical="center"/>
    </xf>
    <xf numFmtId="3" fontId="117" fillId="0" borderId="0" xfId="0" applyNumberFormat="1" applyFont="1" applyAlignment="1">
      <alignment horizontal="center"/>
    </xf>
    <xf numFmtId="192" fontId="8" fillId="0" borderId="0" xfId="11" applyNumberFormat="1" applyFont="1" applyFill="1"/>
    <xf numFmtId="192" fontId="12" fillId="0" borderId="0" xfId="11" applyNumberFormat="1" applyFont="1" applyFill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92" fontId="32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15" fillId="0" borderId="0" xfId="0" applyFont="1" applyAlignment="1">
      <alignment vertical="center"/>
    </xf>
    <xf numFmtId="188" fontId="115" fillId="0" borderId="0" xfId="0" applyNumberFormat="1" applyFont="1" applyAlignment="1">
      <alignment vertical="center"/>
    </xf>
    <xf numFmtId="188" fontId="8" fillId="0" borderId="0" xfId="0" applyNumberFormat="1" applyFont="1" applyAlignment="1">
      <alignment vertical="center"/>
    </xf>
    <xf numFmtId="189" fontId="8" fillId="0" borderId="0" xfId="11" applyFont="1" applyFill="1" applyAlignment="1">
      <alignment vertical="center"/>
    </xf>
    <xf numFmtId="0" fontId="8" fillId="7" borderId="0" xfId="0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188" fontId="8" fillId="7" borderId="0" xfId="0" applyNumberFormat="1" applyFont="1" applyFill="1" applyAlignment="1">
      <alignment vertical="center"/>
    </xf>
    <xf numFmtId="192" fontId="22" fillId="0" borderId="0" xfId="0" applyNumberFormat="1" applyFont="1" applyAlignment="1">
      <alignment vertical="center"/>
    </xf>
    <xf numFmtId="0" fontId="11" fillId="0" borderId="1" xfId="254" quotePrefix="1" applyFont="1" applyBorder="1" applyAlignment="1">
      <alignment vertical="center" shrinkToFit="1"/>
    </xf>
    <xf numFmtId="191" fontId="11" fillId="0" borderId="1" xfId="1" quotePrefix="1" applyNumberFormat="1" applyFont="1" applyBorder="1" applyAlignment="1">
      <alignment horizontal="center" vertical="center" shrinkToFit="1"/>
    </xf>
    <xf numFmtId="3" fontId="13" fillId="0" borderId="25" xfId="0" applyNumberFormat="1" applyFont="1" applyBorder="1" applyAlignment="1">
      <alignment vertical="center" shrinkToFit="1"/>
    </xf>
    <xf numFmtId="191" fontId="121" fillId="0" borderId="1" xfId="1" applyNumberFormat="1" applyFont="1" applyBorder="1" applyAlignment="1">
      <alignment horizontal="center" vertical="center" shrinkToFit="1"/>
    </xf>
    <xf numFmtId="191" fontId="13" fillId="0" borderId="25" xfId="1" applyNumberFormat="1" applyFont="1" applyBorder="1" applyAlignment="1">
      <alignment horizontal="center" vertical="center" shrinkToFit="1"/>
    </xf>
    <xf numFmtId="191" fontId="13" fillId="0" borderId="22" xfId="1" applyNumberFormat="1" applyFont="1" applyBorder="1" applyAlignment="1">
      <alignment horizontal="center" vertical="center" shrinkToFit="1"/>
    </xf>
    <xf numFmtId="191" fontId="13" fillId="0" borderId="30" xfId="1" applyNumberFormat="1" applyFont="1" applyBorder="1" applyAlignment="1">
      <alignment horizontal="center" vertical="center" shrinkToFit="1"/>
    </xf>
    <xf numFmtId="191" fontId="11" fillId="0" borderId="1" xfId="1" applyNumberFormat="1" applyFont="1" applyFill="1" applyBorder="1" applyAlignment="1">
      <alignment horizontal="right" vertical="center" shrinkToFit="1"/>
    </xf>
    <xf numFmtId="191" fontId="13" fillId="0" borderId="25" xfId="1" applyNumberFormat="1" applyFont="1" applyFill="1" applyBorder="1" applyAlignment="1">
      <alignment horizontal="right" vertical="center" shrinkToFit="1"/>
    </xf>
    <xf numFmtId="191" fontId="13" fillId="0" borderId="22" xfId="1" applyNumberFormat="1" applyFont="1" applyFill="1" applyBorder="1" applyAlignment="1">
      <alignment horizontal="right" vertical="center" shrinkToFit="1"/>
    </xf>
    <xf numFmtId="191" fontId="11" fillId="0" borderId="1" xfId="1" quotePrefix="1" applyNumberFormat="1" applyFont="1" applyBorder="1" applyAlignment="1">
      <alignment horizontal="right" vertical="center" shrinkToFit="1"/>
    </xf>
    <xf numFmtId="191" fontId="13" fillId="0" borderId="30" xfId="1" applyNumberFormat="1" applyFont="1" applyFill="1" applyBorder="1" applyAlignment="1">
      <alignment horizontal="right" vertical="center" shrinkToFit="1"/>
    </xf>
    <xf numFmtId="0" fontId="13" fillId="7" borderId="30" xfId="28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8" fillId="0" borderId="14" xfId="0" applyFont="1" applyBorder="1" applyAlignment="1">
      <alignment horizontal="right" vertical="center" shrinkToFit="1"/>
    </xf>
    <xf numFmtId="198" fontId="8" fillId="0" borderId="14" xfId="11" applyNumberFormat="1" applyFont="1" applyFill="1" applyBorder="1" applyAlignment="1">
      <alignment horizontal="center" vertical="center" shrinkToFit="1"/>
    </xf>
    <xf numFmtId="0" fontId="133" fillId="7" borderId="0" xfId="0" applyFont="1" applyFill="1" applyAlignment="1">
      <alignment horizont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63" fillId="7" borderId="0" xfId="0" applyFont="1" applyFill="1" applyAlignment="1">
      <alignment horizontal="center"/>
    </xf>
    <xf numFmtId="0" fontId="164" fillId="7" borderId="0" xfId="0" applyFont="1" applyFill="1" applyAlignment="1">
      <alignment horizontal="center" shrinkToFit="1"/>
    </xf>
    <xf numFmtId="0" fontId="164" fillId="7" borderId="0" xfId="0" applyFont="1" applyFill="1" applyAlignment="1">
      <alignment shrinkToFit="1"/>
    </xf>
    <xf numFmtId="0" fontId="101" fillId="0" borderId="0" xfId="0" applyFont="1"/>
    <xf numFmtId="191" fontId="150" fillId="0" borderId="0" xfId="1" applyNumberFormat="1" applyFont="1" applyAlignment="1">
      <alignment horizontal="center"/>
    </xf>
    <xf numFmtId="191" fontId="101" fillId="0" borderId="0" xfId="1" applyNumberFormat="1" applyFont="1" applyAlignment="1">
      <alignment horizontal="center"/>
    </xf>
    <xf numFmtId="191" fontId="101" fillId="0" borderId="0" xfId="1" applyNumberFormat="1" applyFont="1"/>
    <xf numFmtId="43" fontId="101" fillId="0" borderId="0" xfId="1" applyFont="1" applyAlignment="1">
      <alignment horizontal="center"/>
    </xf>
    <xf numFmtId="224" fontId="101" fillId="0" borderId="0" xfId="1" applyNumberFormat="1" applyFont="1" applyAlignment="1">
      <alignment horizontal="center"/>
    </xf>
    <xf numFmtId="43" fontId="22" fillId="0" borderId="26" xfId="1" applyFont="1" applyBorder="1" applyAlignment="1">
      <alignment vertical="center" shrinkToFit="1"/>
    </xf>
    <xf numFmtId="43" fontId="22" fillId="0" borderId="30" xfId="1" applyFont="1" applyBorder="1" applyAlignment="1">
      <alignment vertical="center" shrinkToFit="1"/>
    </xf>
    <xf numFmtId="43" fontId="22" fillId="0" borderId="1" xfId="1" applyFont="1" applyBorder="1" applyAlignment="1">
      <alignment vertical="center" shrinkToFit="1"/>
    </xf>
    <xf numFmtId="1" fontId="124" fillId="0" borderId="1" xfId="1" applyNumberFormat="1" applyFont="1" applyFill="1" applyBorder="1" applyAlignment="1">
      <alignment vertical="center"/>
    </xf>
    <xf numFmtId="212" fontId="124" fillId="0" borderId="1" xfId="1" applyNumberFormat="1" applyFont="1" applyFill="1" applyBorder="1" applyAlignment="1">
      <alignment vertical="center" shrinkToFit="1"/>
    </xf>
    <xf numFmtId="0" fontId="164" fillId="0" borderId="25" xfId="0" applyFont="1" applyBorder="1" applyAlignment="1">
      <alignment horizontal="center" vertical="center"/>
    </xf>
    <xf numFmtId="0" fontId="164" fillId="0" borderId="25" xfId="0" applyFont="1" applyBorder="1" applyAlignment="1">
      <alignment horizontal="left" vertical="center"/>
    </xf>
    <xf numFmtId="1" fontId="164" fillId="0" borderId="25" xfId="1" applyNumberFormat="1" applyFont="1" applyFill="1" applyBorder="1" applyAlignment="1">
      <alignment vertical="center"/>
    </xf>
    <xf numFmtId="43" fontId="124" fillId="0" borderId="25" xfId="1" applyFont="1" applyFill="1" applyBorder="1" applyAlignment="1">
      <alignment vertical="center"/>
    </xf>
    <xf numFmtId="192" fontId="124" fillId="0" borderId="25" xfId="1" applyNumberFormat="1" applyFont="1" applyFill="1" applyBorder="1" applyAlignment="1">
      <alignment vertical="center"/>
    </xf>
    <xf numFmtId="191" fontId="164" fillId="0" borderId="25" xfId="1" applyNumberFormat="1" applyFont="1" applyFill="1" applyBorder="1" applyAlignment="1">
      <alignment vertical="center" shrinkToFit="1"/>
    </xf>
    <xf numFmtId="3" fontId="22" fillId="0" borderId="25" xfId="0" applyNumberFormat="1" applyFont="1" applyBorder="1" applyAlignment="1">
      <alignment vertical="center" shrinkToFit="1"/>
    </xf>
    <xf numFmtId="3" fontId="92" fillId="0" borderId="25" xfId="1" applyNumberFormat="1" applyFont="1" applyFill="1" applyBorder="1" applyAlignment="1">
      <alignment vertical="center" shrinkToFit="1"/>
    </xf>
    <xf numFmtId="43" fontId="100" fillId="0" borderId="25" xfId="1" applyFont="1" applyFill="1" applyBorder="1" applyAlignment="1">
      <alignment horizontal="right" vertical="center" shrinkToFit="1"/>
    </xf>
    <xf numFmtId="3" fontId="125" fillId="0" borderId="25" xfId="0" applyNumberFormat="1" applyFont="1" applyBorder="1" applyAlignment="1">
      <alignment vertical="center" shrinkToFit="1"/>
    </xf>
    <xf numFmtId="189" fontId="92" fillId="0" borderId="25" xfId="3" applyNumberFormat="1" applyFont="1" applyFill="1" applyBorder="1" applyAlignment="1">
      <alignment vertical="center" shrinkToFit="1"/>
    </xf>
    <xf numFmtId="3" fontId="125" fillId="0" borderId="25" xfId="0" applyNumberFormat="1" applyFont="1" applyBorder="1" applyAlignment="1">
      <alignment vertical="center"/>
    </xf>
    <xf numFmtId="189" fontId="92" fillId="0" borderId="25" xfId="3" applyNumberFormat="1" applyFont="1" applyFill="1" applyBorder="1" applyAlignment="1">
      <alignment horizontal="right" vertical="center"/>
    </xf>
    <xf numFmtId="191" fontId="164" fillId="0" borderId="26" xfId="1" applyNumberFormat="1" applyFont="1" applyFill="1" applyBorder="1" applyAlignment="1">
      <alignment vertical="center" shrinkToFit="1"/>
    </xf>
    <xf numFmtId="191" fontId="164" fillId="0" borderId="30" xfId="1" applyNumberFormat="1" applyFont="1" applyFill="1" applyBorder="1" applyAlignment="1">
      <alignment vertical="center" shrinkToFit="1"/>
    </xf>
    <xf numFmtId="2" fontId="164" fillId="0" borderId="25" xfId="1" applyNumberFormat="1" applyFont="1" applyFill="1" applyBorder="1" applyAlignment="1">
      <alignment horizontal="right" vertical="center" indent="1"/>
    </xf>
    <xf numFmtId="43" fontId="125" fillId="0" borderId="22" xfId="1" applyFont="1" applyFill="1" applyBorder="1" applyAlignment="1">
      <alignment horizontal="center" vertical="center"/>
    </xf>
    <xf numFmtId="43" fontId="124" fillId="0" borderId="1" xfId="1" applyFont="1" applyFill="1" applyBorder="1" applyAlignment="1">
      <alignment horizontal="center" vertical="center" shrinkToFit="1"/>
    </xf>
    <xf numFmtId="0" fontId="164" fillId="0" borderId="16" xfId="0" applyFont="1" applyBorder="1" applyAlignment="1">
      <alignment horizontal="center" vertical="center"/>
    </xf>
    <xf numFmtId="0" fontId="164" fillId="0" borderId="16" xfId="0" applyFont="1" applyBorder="1" applyAlignment="1">
      <alignment horizontal="left" vertical="center"/>
    </xf>
    <xf numFmtId="192" fontId="164" fillId="0" borderId="16" xfId="1" applyNumberFormat="1" applyFont="1" applyFill="1" applyBorder="1" applyAlignment="1">
      <alignment horizontal="right" vertical="center" shrinkToFit="1"/>
    </xf>
    <xf numFmtId="192" fontId="164" fillId="0" borderId="16" xfId="1" applyNumberFormat="1" applyFont="1" applyFill="1" applyBorder="1" applyAlignment="1">
      <alignment vertical="center" shrinkToFit="1"/>
    </xf>
    <xf numFmtId="1" fontId="164" fillId="0" borderId="16" xfId="1" applyNumberFormat="1" applyFont="1" applyFill="1" applyBorder="1" applyAlignment="1">
      <alignment horizontal="right" vertical="center" shrinkToFit="1"/>
    </xf>
    <xf numFmtId="43" fontId="164" fillId="0" borderId="16" xfId="1" applyFont="1" applyFill="1" applyBorder="1" applyAlignment="1">
      <alignment horizontal="right" vertical="center" indent="1"/>
    </xf>
    <xf numFmtId="2" fontId="164" fillId="0" borderId="16" xfId="1" applyNumberFormat="1" applyFont="1" applyFill="1" applyBorder="1" applyAlignment="1">
      <alignment horizontal="right" vertical="center" indent="1"/>
    </xf>
    <xf numFmtId="189" fontId="22" fillId="0" borderId="16" xfId="0" applyNumberFormat="1" applyFont="1" applyBorder="1" applyAlignment="1">
      <alignment vertical="center"/>
    </xf>
    <xf numFmtId="0" fontId="124" fillId="0" borderId="16" xfId="0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22" fillId="0" borderId="6" xfId="255" applyFont="1" applyBorder="1" applyAlignment="1">
      <alignment horizontal="left" vertical="center"/>
    </xf>
    <xf numFmtId="192" fontId="125" fillId="0" borderId="6" xfId="1" applyNumberFormat="1" applyFont="1" applyFill="1" applyBorder="1" applyAlignment="1">
      <alignment horizontal="right" vertical="center" indent="1"/>
    </xf>
    <xf numFmtId="192" fontId="125" fillId="0" borderId="6" xfId="1" applyNumberFormat="1" applyFont="1" applyFill="1" applyBorder="1" applyAlignment="1">
      <alignment horizontal="center" vertical="center"/>
    </xf>
    <xf numFmtId="1" fontId="164" fillId="0" borderId="6" xfId="1" applyNumberFormat="1" applyFont="1" applyFill="1" applyBorder="1" applyAlignment="1">
      <alignment horizontal="right" vertical="center" shrinkToFit="1"/>
    </xf>
    <xf numFmtId="189" fontId="22" fillId="0" borderId="6" xfId="1" applyNumberFormat="1" applyFont="1" applyFill="1" applyBorder="1" applyAlignment="1">
      <alignment vertical="center"/>
    </xf>
    <xf numFmtId="192" fontId="125" fillId="0" borderId="6" xfId="1" applyNumberFormat="1" applyFont="1" applyFill="1" applyBorder="1" applyAlignment="1">
      <alignment vertical="center"/>
    </xf>
    <xf numFmtId="189" fontId="22" fillId="0" borderId="6" xfId="0" applyNumberFormat="1" applyFont="1" applyBorder="1" applyAlignment="1">
      <alignment vertical="center"/>
    </xf>
    <xf numFmtId="2" fontId="164" fillId="0" borderId="6" xfId="1" applyNumberFormat="1" applyFont="1" applyFill="1" applyBorder="1" applyAlignment="1">
      <alignment horizontal="right" vertical="center" indent="1"/>
    </xf>
    <xf numFmtId="192" fontId="125" fillId="0" borderId="6" xfId="0" applyNumberFormat="1" applyFont="1" applyBorder="1" applyAlignment="1">
      <alignment vertical="center"/>
    </xf>
    <xf numFmtId="192" fontId="127" fillId="0" borderId="6" xfId="0" applyNumberFormat="1" applyFont="1" applyBorder="1" applyAlignment="1">
      <alignment vertical="center"/>
    </xf>
    <xf numFmtId="0" fontId="164" fillId="0" borderId="17" xfId="0" applyFont="1" applyBorder="1" applyAlignment="1">
      <alignment horizontal="center" vertical="center"/>
    </xf>
    <xf numFmtId="0" fontId="22" fillId="0" borderId="17" xfId="255" applyFont="1" applyBorder="1" applyAlignment="1">
      <alignment horizontal="left" vertical="center"/>
    </xf>
    <xf numFmtId="192" fontId="125" fillId="0" borderId="17" xfId="1" applyNumberFormat="1" applyFont="1" applyFill="1" applyBorder="1" applyAlignment="1">
      <alignment horizontal="right" vertical="center" indent="1"/>
    </xf>
    <xf numFmtId="192" fontId="125" fillId="0" borderId="17" xfId="1" applyNumberFormat="1" applyFont="1" applyFill="1" applyBorder="1" applyAlignment="1">
      <alignment horizontal="center" vertical="center"/>
    </xf>
    <xf numFmtId="1" fontId="164" fillId="0" borderId="17" xfId="1" applyNumberFormat="1" applyFont="1" applyFill="1" applyBorder="1" applyAlignment="1">
      <alignment horizontal="right" vertical="center" shrinkToFit="1"/>
    </xf>
    <xf numFmtId="189" fontId="22" fillId="0" borderId="17" xfId="1" applyNumberFormat="1" applyFont="1" applyFill="1" applyBorder="1" applyAlignment="1">
      <alignment vertical="center"/>
    </xf>
    <xf numFmtId="192" fontId="125" fillId="0" borderId="17" xfId="1" applyNumberFormat="1" applyFont="1" applyFill="1" applyBorder="1" applyAlignment="1">
      <alignment vertical="center"/>
    </xf>
    <xf numFmtId="189" fontId="22" fillId="0" borderId="17" xfId="0" applyNumberFormat="1" applyFont="1" applyBorder="1" applyAlignment="1">
      <alignment vertical="center"/>
    </xf>
    <xf numFmtId="2" fontId="164" fillId="0" borderId="17" xfId="1" applyNumberFormat="1" applyFont="1" applyFill="1" applyBorder="1" applyAlignment="1">
      <alignment horizontal="right" vertical="center" indent="1"/>
    </xf>
    <xf numFmtId="192" fontId="125" fillId="0" borderId="17" xfId="0" applyNumberFormat="1" applyFont="1" applyBorder="1" applyAlignment="1">
      <alignment vertical="center"/>
    </xf>
    <xf numFmtId="192" fontId="127" fillId="0" borderId="17" xfId="0" applyNumberFormat="1" applyFont="1" applyBorder="1" applyAlignment="1">
      <alignment vertical="center"/>
    </xf>
    <xf numFmtId="2" fontId="8" fillId="0" borderId="14" xfId="11" applyNumberFormat="1" applyFont="1" applyFill="1" applyBorder="1" applyAlignment="1">
      <alignment horizontal="center" vertical="center" shrinkToFit="1"/>
    </xf>
    <xf numFmtId="0" fontId="77" fillId="3" borderId="0" xfId="255" applyFont="1" applyFill="1"/>
    <xf numFmtId="0" fontId="166" fillId="3" borderId="0" xfId="255" applyFont="1" applyFill="1"/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/>
    <xf numFmtId="192" fontId="77" fillId="0" borderId="1" xfId="0" applyNumberFormat="1" applyFont="1" applyBorder="1"/>
    <xf numFmtId="0" fontId="3" fillId="3" borderId="0" xfId="255" applyFont="1" applyFill="1" applyAlignment="1">
      <alignment horizontal="center" vertical="center" shrinkToFit="1"/>
    </xf>
    <xf numFmtId="0" fontId="61" fillId="0" borderId="0" xfId="255" applyFont="1"/>
    <xf numFmtId="0" fontId="72" fillId="0" borderId="0" xfId="255" applyFont="1"/>
    <xf numFmtId="0" fontId="72" fillId="0" borderId="0" xfId="255" applyFont="1" applyAlignment="1">
      <alignment horizontal="center"/>
    </xf>
    <xf numFmtId="0" fontId="10" fillId="0" borderId="0" xfId="0" applyFont="1" applyAlignment="1">
      <alignment vertical="center"/>
    </xf>
    <xf numFmtId="0" fontId="170" fillId="0" borderId="0" xfId="0" applyFont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92" fontId="10" fillId="0" borderId="25" xfId="3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92" fontId="10" fillId="0" borderId="26" xfId="3" applyNumberFormat="1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92" fontId="145" fillId="0" borderId="1" xfId="3" applyNumberFormat="1" applyFont="1" applyBorder="1" applyAlignment="1">
      <alignment horizontal="center" vertical="center"/>
    </xf>
    <xf numFmtId="0" fontId="145" fillId="0" borderId="0" xfId="0" applyFont="1" applyAlignment="1">
      <alignment vertical="center"/>
    </xf>
    <xf numFmtId="14" fontId="116" fillId="0" borderId="0" xfId="0" applyNumberFormat="1" applyFont="1" applyAlignment="1">
      <alignment vertical="center"/>
    </xf>
    <xf numFmtId="0" fontId="10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60" xfId="0" applyFont="1" applyBorder="1" applyAlignment="1">
      <alignment vertical="center"/>
    </xf>
    <xf numFmtId="192" fontId="10" fillId="0" borderId="30" xfId="3" applyNumberFormat="1" applyFont="1" applyBorder="1" applyAlignment="1">
      <alignment horizontal="center" vertical="center"/>
    </xf>
    <xf numFmtId="0" fontId="92" fillId="0" borderId="25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14" xfId="0" applyFont="1" applyBorder="1" applyAlignment="1">
      <alignment horizontal="right" vertical="center" shrinkToFit="1"/>
    </xf>
    <xf numFmtId="192" fontId="11" fillId="0" borderId="1" xfId="0" applyNumberFormat="1" applyFont="1" applyBorder="1" applyAlignment="1">
      <alignment vertical="center"/>
    </xf>
    <xf numFmtId="192" fontId="13" fillId="0" borderId="22" xfId="11" applyNumberFormat="1" applyFont="1" applyFill="1" applyBorder="1" applyAlignment="1">
      <alignment vertical="center" shrinkToFit="1"/>
    </xf>
    <xf numFmtId="192" fontId="13" fillId="0" borderId="1" xfId="11" applyNumberFormat="1" applyFont="1" applyFill="1" applyBorder="1" applyAlignment="1">
      <alignment vertical="center" shrinkToFit="1"/>
    </xf>
    <xf numFmtId="191" fontId="13" fillId="0" borderId="30" xfId="1" quotePrefix="1" applyNumberFormat="1" applyFont="1" applyFill="1" applyBorder="1" applyAlignment="1">
      <alignment horizontal="right" vertical="center" shrinkToFit="1"/>
    </xf>
    <xf numFmtId="0" fontId="13" fillId="0" borderId="62" xfId="0" applyFont="1" applyBorder="1" applyAlignment="1">
      <alignment horizontal="center" vertical="center" shrinkToFit="1"/>
    </xf>
    <xf numFmtId="191" fontId="13" fillId="0" borderId="30" xfId="1" quotePrefix="1" applyNumberFormat="1" applyFont="1" applyBorder="1" applyAlignment="1">
      <alignment horizontal="center" vertical="center" shrinkToFit="1"/>
    </xf>
    <xf numFmtId="191" fontId="11" fillId="0" borderId="30" xfId="1" applyNumberFormat="1" applyFont="1" applyFill="1" applyBorder="1" applyAlignment="1">
      <alignment horizontal="right" vertical="center" shrinkToFit="1"/>
    </xf>
    <xf numFmtId="189" fontId="11" fillId="0" borderId="30" xfId="11" applyFont="1" applyFill="1" applyBorder="1" applyAlignment="1">
      <alignment vertical="center" shrinkToFit="1"/>
    </xf>
    <xf numFmtId="0" fontId="13" fillId="0" borderId="14" xfId="0" applyFont="1" applyBorder="1" applyAlignment="1">
      <alignment vertical="center"/>
    </xf>
    <xf numFmtId="191" fontId="13" fillId="0" borderId="20" xfId="1" quotePrefix="1" applyNumberFormat="1" applyFont="1" applyBorder="1" applyAlignment="1">
      <alignment horizontal="center" vertical="center" shrinkToFit="1"/>
    </xf>
    <xf numFmtId="191" fontId="13" fillId="0" borderId="20" xfId="1" applyNumberFormat="1" applyFont="1" applyFill="1" applyBorder="1" applyAlignment="1">
      <alignment horizontal="right" vertical="center" shrinkToFit="1"/>
    </xf>
    <xf numFmtId="191" fontId="11" fillId="0" borderId="20" xfId="1" applyNumberFormat="1" applyFont="1" applyFill="1" applyBorder="1" applyAlignment="1">
      <alignment horizontal="right" vertical="center" shrinkToFit="1"/>
    </xf>
    <xf numFmtId="189" fontId="11" fillId="0" borderId="20" xfId="11" applyFont="1" applyFill="1" applyBorder="1" applyAlignment="1">
      <alignment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vertical="center" shrinkToFit="1"/>
    </xf>
    <xf numFmtId="191" fontId="11" fillId="0" borderId="1" xfId="1" applyNumberFormat="1" applyFont="1" applyFill="1" applyBorder="1" applyAlignment="1">
      <alignment horizontal="center" vertical="center" shrinkToFit="1"/>
    </xf>
    <xf numFmtId="191" fontId="11" fillId="0" borderId="1" xfId="1" applyNumberFormat="1" applyFont="1" applyBorder="1" applyAlignment="1">
      <alignment horizontal="center" vertical="center" shrinkToFit="1"/>
    </xf>
    <xf numFmtId="191" fontId="11" fillId="0" borderId="31" xfId="1" applyNumberFormat="1" applyFont="1" applyBorder="1" applyAlignment="1">
      <alignment horizontal="right" vertical="center" shrinkToFit="1"/>
    </xf>
    <xf numFmtId="189" fontId="11" fillId="0" borderId="1" xfId="11" applyFont="1" applyFill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254" quotePrefix="1" applyFont="1" applyBorder="1" applyAlignment="1">
      <alignment horizontal="center" vertical="center" shrinkToFit="1"/>
    </xf>
    <xf numFmtId="192" fontId="13" fillId="0" borderId="1" xfId="0" applyNumberFormat="1" applyFont="1" applyBorder="1" applyAlignment="1">
      <alignment vertical="center"/>
    </xf>
    <xf numFmtId="192" fontId="13" fillId="0" borderId="30" xfId="0" applyNumberFormat="1" applyFont="1" applyBorder="1" applyAlignment="1">
      <alignment vertical="center"/>
    </xf>
    <xf numFmtId="0" fontId="11" fillId="0" borderId="64" xfId="0" applyFont="1" applyBorder="1" applyAlignment="1">
      <alignment horizontal="center" vertical="center" shrinkToFit="1"/>
    </xf>
    <xf numFmtId="191" fontId="13" fillId="0" borderId="1" xfId="1" applyNumberFormat="1" applyFont="1" applyFill="1" applyBorder="1" applyAlignment="1">
      <alignment horizontal="righ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28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54" xfId="0" applyFont="1" applyBorder="1" applyAlignment="1">
      <alignment horizontal="center" vertical="center" shrinkToFit="1"/>
    </xf>
    <xf numFmtId="191" fontId="11" fillId="0" borderId="20" xfId="1" quotePrefix="1" applyNumberFormat="1" applyFont="1" applyBorder="1" applyAlignment="1">
      <alignment horizontal="center" vertical="center" shrinkToFit="1"/>
    </xf>
    <xf numFmtId="192" fontId="11" fillId="0" borderId="20" xfId="0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shrinkToFit="1"/>
    </xf>
    <xf numFmtId="192" fontId="13" fillId="0" borderId="20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7" fillId="3" borderId="0" xfId="255" applyFont="1" applyFill="1" applyAlignment="1">
      <alignment horizontal="center"/>
    </xf>
    <xf numFmtId="0" fontId="51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5" xfId="0" applyFont="1" applyBorder="1" applyAlignment="1">
      <alignment horizontal="left" vertical="center" wrapText="1"/>
    </xf>
    <xf numFmtId="0" fontId="145" fillId="0" borderId="15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1" fillId="0" borderId="0" xfId="0" quotePrefix="1" applyFont="1" applyAlignment="1"/>
    <xf numFmtId="0" fontId="101" fillId="3" borderId="0" xfId="255" applyFont="1" applyFill="1" applyAlignment="1"/>
    <xf numFmtId="0" fontId="66" fillId="0" borderId="0" xfId="0" applyFont="1" applyAlignment="1"/>
    <xf numFmtId="0" fontId="93" fillId="0" borderId="0" xfId="0" applyFont="1" applyAlignment="1"/>
    <xf numFmtId="0" fontId="22" fillId="0" borderId="0" xfId="0" applyFont="1" applyAlignment="1"/>
    <xf numFmtId="0" fontId="20" fillId="0" borderId="0" xfId="0" applyFont="1" applyAlignment="1"/>
    <xf numFmtId="192" fontId="10" fillId="0" borderId="60" xfId="3" applyNumberFormat="1" applyFont="1" applyBorder="1" applyAlignment="1">
      <alignment horizontal="center" vertical="center"/>
    </xf>
    <xf numFmtId="192" fontId="10" fillId="0" borderId="60" xfId="0" applyNumberFormat="1" applyFont="1" applyBorder="1" applyAlignment="1">
      <alignment vertical="center"/>
    </xf>
    <xf numFmtId="0" fontId="145" fillId="0" borderId="1" xfId="0" applyFont="1" applyBorder="1" applyAlignment="1">
      <alignment vertical="center"/>
    </xf>
    <xf numFmtId="218" fontId="92" fillId="0" borderId="25" xfId="1" applyNumberFormat="1" applyFont="1" applyFill="1" applyBorder="1" applyAlignment="1">
      <alignment vertical="center" wrapText="1"/>
    </xf>
    <xf numFmtId="1" fontId="124" fillId="7" borderId="0" xfId="0" applyNumberFormat="1" applyFont="1" applyFill="1" applyBorder="1" applyAlignment="1">
      <alignment horizontal="center"/>
    </xf>
    <xf numFmtId="0" fontId="125" fillId="7" borderId="0" xfId="0" applyFont="1" applyFill="1" applyBorder="1" applyAlignment="1">
      <alignment vertical="center"/>
    </xf>
    <xf numFmtId="0" fontId="125" fillId="7" borderId="0" xfId="0" applyFont="1" applyFill="1" applyBorder="1"/>
    <xf numFmtId="4" fontId="124" fillId="7" borderId="0" xfId="1" applyNumberFormat="1" applyFont="1" applyFill="1" applyBorder="1" applyAlignment="1">
      <alignment vertical="center" shrinkToFit="1"/>
    </xf>
    <xf numFmtId="0" fontId="124" fillId="7" borderId="0" xfId="0" applyFont="1" applyFill="1" applyBorder="1" applyAlignment="1">
      <alignment vertical="center"/>
    </xf>
    <xf numFmtId="0" fontId="125" fillId="7" borderId="1" xfId="0" applyFont="1" applyFill="1" applyBorder="1" applyAlignment="1">
      <alignment horizontal="center" vertical="center"/>
    </xf>
    <xf numFmtId="0" fontId="128" fillId="7" borderId="1" xfId="25" applyFont="1" applyFill="1" applyBorder="1" applyAlignment="1">
      <alignment horizontal="left" vertical="center"/>
    </xf>
    <xf numFmtId="3" fontId="125" fillId="7" borderId="1" xfId="0" applyNumberFormat="1" applyFont="1" applyFill="1" applyBorder="1" applyAlignment="1">
      <alignment horizontal="center" vertical="center"/>
    </xf>
    <xf numFmtId="0" fontId="125" fillId="7" borderId="1" xfId="0" applyFont="1" applyFill="1" applyBorder="1" applyAlignment="1">
      <alignment horizontal="left" vertical="center"/>
    </xf>
    <xf numFmtId="200" fontId="125" fillId="7" borderId="1" xfId="0" applyNumberFormat="1" applyFont="1" applyFill="1" applyBorder="1" applyAlignment="1">
      <alignment vertical="center"/>
    </xf>
    <xf numFmtId="188" fontId="125" fillId="7" borderId="1" xfId="1" applyNumberFormat="1" applyFont="1" applyFill="1" applyBorder="1" applyAlignment="1">
      <alignment vertical="center"/>
    </xf>
    <xf numFmtId="188" fontId="125" fillId="7" borderId="1" xfId="0" applyNumberFormat="1" applyFont="1" applyFill="1" applyBorder="1" applyAlignment="1">
      <alignment vertical="center"/>
    </xf>
    <xf numFmtId="200" fontId="125" fillId="7" borderId="1" xfId="0" applyNumberFormat="1" applyFont="1" applyFill="1" applyBorder="1" applyAlignment="1">
      <alignment horizontal="center" vertical="center"/>
    </xf>
    <xf numFmtId="191" fontId="125" fillId="7" borderId="1" xfId="1" applyNumberFormat="1" applyFont="1" applyFill="1" applyBorder="1" applyAlignment="1">
      <alignment horizontal="right" vertical="center" wrapText="1"/>
    </xf>
    <xf numFmtId="213" fontId="125" fillId="7" borderId="1" xfId="1" applyNumberFormat="1" applyFont="1" applyFill="1" applyBorder="1" applyAlignment="1">
      <alignment horizontal="right" vertical="center" shrinkToFit="1"/>
    </xf>
    <xf numFmtId="3" fontId="128" fillId="7" borderId="1" xfId="25" applyNumberFormat="1" applyFont="1" applyFill="1" applyBorder="1" applyAlignment="1">
      <alignment vertical="center"/>
    </xf>
    <xf numFmtId="3" fontId="128" fillId="7" borderId="1" xfId="25" applyNumberFormat="1" applyFont="1" applyFill="1" applyBorder="1" applyAlignment="1">
      <alignment horizontal="left" vertical="center"/>
    </xf>
    <xf numFmtId="0" fontId="128" fillId="7" borderId="1" xfId="0" applyFont="1" applyFill="1" applyBorder="1" applyAlignment="1">
      <alignment horizontal="left" vertical="center"/>
    </xf>
    <xf numFmtId="189" fontId="20" fillId="0" borderId="1" xfId="0" applyNumberFormat="1" applyFont="1" applyBorder="1"/>
    <xf numFmtId="191" fontId="20" fillId="0" borderId="1" xfId="1" applyNumberFormat="1" applyFont="1" applyBorder="1"/>
    <xf numFmtId="224" fontId="150" fillId="0" borderId="0" xfId="1" applyNumberFormat="1" applyFont="1" applyAlignment="1">
      <alignment horizontal="center"/>
    </xf>
    <xf numFmtId="0" fontId="95" fillId="0" borderId="25" xfId="0" applyFont="1" applyBorder="1" applyAlignment="1">
      <alignment horizontal="center" vertical="center"/>
    </xf>
    <xf numFmtId="2" fontId="95" fillId="0" borderId="25" xfId="0" applyNumberFormat="1" applyFont="1" applyBorder="1" applyAlignment="1">
      <alignment horizontal="center" vertical="center" wrapText="1"/>
    </xf>
    <xf numFmtId="3" fontId="92" fillId="0" borderId="25" xfId="1" applyNumberFormat="1" applyFont="1" applyBorder="1" applyAlignment="1">
      <alignment horizontal="center" vertical="center"/>
    </xf>
    <xf numFmtId="0" fontId="95" fillId="0" borderId="25" xfId="0" applyFont="1" applyBorder="1" applyAlignment="1">
      <alignment horizontal="center" vertical="center" wrapText="1"/>
    </xf>
    <xf numFmtId="1" fontId="95" fillId="0" borderId="25" xfId="0" applyNumberFormat="1" applyFont="1" applyBorder="1" applyAlignment="1">
      <alignment horizontal="center" vertical="center" wrapText="1"/>
    </xf>
    <xf numFmtId="1" fontId="93" fillId="0" borderId="1" xfId="0" applyNumberFormat="1" applyFont="1" applyBorder="1" applyAlignment="1">
      <alignment horizontal="center" vertical="center"/>
    </xf>
    <xf numFmtId="0" fontId="13" fillId="0" borderId="6" xfId="303" applyFont="1" applyBorder="1" applyAlignment="1">
      <alignment horizontal="left"/>
    </xf>
    <xf numFmtId="0" fontId="13" fillId="0" borderId="1" xfId="303" applyFont="1" applyBorder="1" applyAlignment="1">
      <alignment horizontal="left"/>
    </xf>
    <xf numFmtId="3" fontId="125" fillId="7" borderId="0" xfId="0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105" fillId="0" borderId="0" xfId="1" applyNumberFormat="1" applyFont="1" applyAlignment="1">
      <alignment horizontal="center"/>
    </xf>
    <xf numFmtId="191" fontId="20" fillId="7" borderId="0" xfId="1" applyNumberFormat="1" applyFont="1" applyFill="1" applyAlignment="1">
      <alignment horizontal="center"/>
    </xf>
    <xf numFmtId="191" fontId="93" fillId="7" borderId="1" xfId="1" applyNumberFormat="1" applyFont="1" applyFill="1" applyBorder="1" applyAlignment="1">
      <alignment horizontal="center" vertical="center" wrapText="1"/>
    </xf>
    <xf numFmtId="191" fontId="92" fillId="7" borderId="0" xfId="1" applyNumberFormat="1" applyFont="1" applyFill="1"/>
    <xf numFmtId="43" fontId="20" fillId="0" borderId="1" xfId="1" applyNumberFormat="1" applyFont="1" applyBorder="1"/>
    <xf numFmtId="0" fontId="101" fillId="0" borderId="16" xfId="0" applyFont="1" applyBorder="1"/>
    <xf numFmtId="192" fontId="101" fillId="0" borderId="16" xfId="11" applyNumberFormat="1" applyFont="1" applyBorder="1"/>
    <xf numFmtId="0" fontId="101" fillId="0" borderId="6" xfId="0" applyFont="1" applyBorder="1"/>
    <xf numFmtId="192" fontId="101" fillId="0" borderId="6" xfId="11" applyNumberFormat="1" applyFont="1" applyBorder="1"/>
    <xf numFmtId="0" fontId="101" fillId="0" borderId="17" xfId="0" applyFont="1" applyBorder="1"/>
    <xf numFmtId="192" fontId="101" fillId="0" borderId="17" xfId="11" applyNumberFormat="1" applyFont="1" applyBorder="1"/>
    <xf numFmtId="0" fontId="22" fillId="0" borderId="16" xfId="0" applyFont="1" applyBorder="1" applyAlignment="1">
      <alignment horizontal="center" vertical="center"/>
    </xf>
    <xf numFmtId="0" fontId="104" fillId="0" borderId="16" xfId="25" applyFont="1" applyBorder="1" applyAlignment="1">
      <alignment horizontal="left" vertical="center"/>
    </xf>
    <xf numFmtId="3" fontId="22" fillId="0" borderId="16" xfId="0" applyNumberFormat="1" applyFont="1" applyBorder="1" applyAlignment="1">
      <alignment horizontal="center" vertical="center"/>
    </xf>
    <xf numFmtId="189" fontId="22" fillId="0" borderId="16" xfId="0" applyNumberFormat="1" applyFont="1" applyBorder="1" applyAlignment="1">
      <alignment horizontal="right" vertical="center"/>
    </xf>
    <xf numFmtId="3" fontId="22" fillId="0" borderId="16" xfId="1" applyNumberFormat="1" applyFont="1" applyFill="1" applyBorder="1" applyAlignment="1">
      <alignment horizontal="right" vertical="center"/>
    </xf>
    <xf numFmtId="191" fontId="22" fillId="0" borderId="16" xfId="1" applyNumberFormat="1" applyFont="1" applyFill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22" fillId="0" borderId="6" xfId="0" applyFont="1" applyBorder="1" applyAlignment="1">
      <alignment horizontal="center" vertical="center"/>
    </xf>
    <xf numFmtId="0" fontId="104" fillId="0" borderId="6" xfId="25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189" fontId="22" fillId="0" borderId="6" xfId="0" applyNumberFormat="1" applyFont="1" applyBorder="1" applyAlignment="1">
      <alignment horizontal="right" vertical="center"/>
    </xf>
    <xf numFmtId="3" fontId="22" fillId="0" borderId="6" xfId="1" applyNumberFormat="1" applyFont="1" applyFill="1" applyBorder="1" applyAlignment="1">
      <alignment horizontal="right" vertical="center"/>
    </xf>
    <xf numFmtId="191" fontId="22" fillId="0" borderId="6" xfId="1" applyNumberFormat="1" applyFont="1" applyFill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0" fontId="22" fillId="0" borderId="17" xfId="0" applyFont="1" applyBorder="1" applyAlignment="1">
      <alignment horizontal="center" vertical="center"/>
    </xf>
    <xf numFmtId="0" fontId="104" fillId="0" borderId="17" xfId="25" applyFont="1" applyBorder="1" applyAlignment="1">
      <alignment horizontal="left" vertical="center"/>
    </xf>
    <xf numFmtId="3" fontId="22" fillId="0" borderId="17" xfId="0" applyNumberFormat="1" applyFont="1" applyBorder="1" applyAlignment="1">
      <alignment horizontal="center" vertical="center"/>
    </xf>
    <xf numFmtId="189" fontId="22" fillId="0" borderId="17" xfId="0" applyNumberFormat="1" applyFont="1" applyBorder="1" applyAlignment="1">
      <alignment horizontal="right" vertical="center"/>
    </xf>
    <xf numFmtId="191" fontId="22" fillId="0" borderId="17" xfId="1" applyNumberFormat="1" applyFont="1" applyFill="1" applyBorder="1" applyAlignment="1">
      <alignment horizontal="right" vertical="center"/>
    </xf>
    <xf numFmtId="3" fontId="104" fillId="0" borderId="16" xfId="25" applyNumberFormat="1" applyFont="1" applyBorder="1" applyAlignment="1">
      <alignment horizontal="left" vertical="center"/>
    </xf>
    <xf numFmtId="0" fontId="13" fillId="0" borderId="16" xfId="303" applyFont="1" applyBorder="1" applyAlignment="1">
      <alignment horizontal="left"/>
    </xf>
    <xf numFmtId="43" fontId="22" fillId="0" borderId="6" xfId="1" applyNumberFormat="1" applyFont="1" applyBorder="1" applyAlignment="1">
      <alignment horizontal="right" vertical="center"/>
    </xf>
    <xf numFmtId="3" fontId="104" fillId="0" borderId="6" xfId="25" applyNumberFormat="1" applyFont="1" applyBorder="1" applyAlignment="1">
      <alignment horizontal="left" vertical="center"/>
    </xf>
    <xf numFmtId="191" fontId="127" fillId="0" borderId="6" xfId="1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43" fontId="11" fillId="0" borderId="1" xfId="1" quotePrefix="1" applyNumberFormat="1" applyFont="1" applyBorder="1" applyAlignment="1">
      <alignment horizontal="right" vertical="center" shrinkToFit="1"/>
    </xf>
    <xf numFmtId="43" fontId="13" fillId="0" borderId="30" xfId="1" applyNumberFormat="1" applyFont="1" applyFill="1" applyBorder="1" applyAlignment="1">
      <alignment horizontal="right" vertical="center" shrinkToFit="1"/>
    </xf>
    <xf numFmtId="43" fontId="11" fillId="0" borderId="1" xfId="1" applyNumberFormat="1" applyFont="1" applyFill="1" applyBorder="1" applyAlignment="1">
      <alignment horizontal="right" vertical="center" shrinkToFit="1"/>
    </xf>
    <xf numFmtId="192" fontId="10" fillId="0" borderId="1" xfId="3" applyNumberFormat="1" applyFont="1" applyBorder="1" applyAlignment="1">
      <alignment horizontal="center" vertical="center"/>
    </xf>
    <xf numFmtId="0" fontId="180" fillId="12" borderId="1" xfId="28" applyFont="1" applyFill="1" applyBorder="1" applyAlignment="1" applyProtection="1">
      <alignment horizontal="left"/>
    </xf>
    <xf numFmtId="0" fontId="180" fillId="0" borderId="6" xfId="303" applyFont="1" applyBorder="1" applyAlignment="1">
      <alignment horizontal="left"/>
    </xf>
    <xf numFmtId="191" fontId="125" fillId="7" borderId="0" xfId="1" applyNumberFormat="1" applyFont="1" applyFill="1" applyBorder="1"/>
    <xf numFmtId="191" fontId="125" fillId="7" borderId="0" xfId="0" applyNumberFormat="1" applyFont="1" applyFill="1" applyBorder="1"/>
    <xf numFmtId="0" fontId="129" fillId="7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22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202" fontId="21" fillId="0" borderId="0" xfId="0" applyNumberFormat="1" applyFont="1" applyFill="1"/>
    <xf numFmtId="0" fontId="21" fillId="0" borderId="0" xfId="0" applyFont="1" applyFill="1"/>
    <xf numFmtId="0" fontId="101" fillId="0" borderId="0" xfId="0" applyFont="1" applyFill="1"/>
    <xf numFmtId="0" fontId="30" fillId="0" borderId="0" xfId="0" applyFont="1" applyFill="1" applyAlignment="1">
      <alignment horizontal="center"/>
    </xf>
    <xf numFmtId="0" fontId="38" fillId="0" borderId="0" xfId="0" applyFont="1" applyFill="1"/>
    <xf numFmtId="0" fontId="38" fillId="0" borderId="0" xfId="0" applyFont="1" applyFill="1" applyBorder="1" applyAlignment="1">
      <alignment vertical="center" shrinkToFit="1"/>
    </xf>
    <xf numFmtId="0" fontId="186" fillId="0" borderId="0" xfId="0" applyFont="1" applyFill="1"/>
    <xf numFmtId="0" fontId="186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56" fillId="0" borderId="0" xfId="0" applyFont="1" applyFill="1"/>
    <xf numFmtId="0" fontId="29" fillId="0" borderId="0" xfId="0" applyFont="1" applyFill="1"/>
    <xf numFmtId="0" fontId="39" fillId="0" borderId="0" xfId="0" applyFont="1" applyFill="1" applyAlignment="1">
      <alignment horizontal="left"/>
    </xf>
    <xf numFmtId="0" fontId="56" fillId="0" borderId="0" xfId="0" applyFont="1" applyFill="1" applyAlignment="1"/>
    <xf numFmtId="0" fontId="38" fillId="0" borderId="0" xfId="0" applyFont="1" applyFill="1" applyAlignment="1"/>
    <xf numFmtId="0" fontId="21" fillId="0" borderId="0" xfId="0" applyFont="1" applyFill="1" applyAlignment="1"/>
    <xf numFmtId="0" fontId="39" fillId="0" borderId="0" xfId="0" applyFont="1" applyFill="1" applyAlignment="1"/>
    <xf numFmtId="218" fontId="21" fillId="0" borderId="0" xfId="8" applyNumberFormat="1" applyFont="1" applyFill="1"/>
    <xf numFmtId="189" fontId="187" fillId="0" borderId="1" xfId="0" applyNumberFormat="1" applyFont="1" applyBorder="1" applyAlignment="1">
      <alignment horizontal="center" vertical="center" shrinkToFit="1"/>
    </xf>
    <xf numFmtId="189" fontId="187" fillId="7" borderId="1" xfId="0" applyNumberFormat="1" applyFont="1" applyFill="1" applyBorder="1" applyAlignment="1">
      <alignment horizontal="center" vertical="center" shrinkToFit="1"/>
    </xf>
    <xf numFmtId="37" fontId="173" fillId="7" borderId="1" xfId="1" applyNumberFormat="1" applyFont="1" applyFill="1" applyBorder="1" applyAlignment="1">
      <alignment horizontal="center" vertical="center" shrinkToFit="1"/>
    </xf>
    <xf numFmtId="43" fontId="77" fillId="7" borderId="1" xfId="1" applyFont="1" applyFill="1" applyBorder="1" applyAlignment="1">
      <alignment horizontal="center" vertical="center" shrinkToFit="1"/>
    </xf>
    <xf numFmtId="195" fontId="77" fillId="3" borderId="1" xfId="0" applyNumberFormat="1" applyFont="1" applyFill="1" applyBorder="1" applyAlignment="1">
      <alignment horizontal="center" vertical="center" shrinkToFit="1"/>
    </xf>
    <xf numFmtId="0" fontId="95" fillId="0" borderId="0" xfId="0" applyFont="1" applyAlignment="1">
      <alignment vertical="center"/>
    </xf>
    <xf numFmtId="0" fontId="173" fillId="7" borderId="0" xfId="0" applyFont="1" applyFill="1"/>
    <xf numFmtId="0" fontId="23" fillId="0" borderId="0" xfId="0" applyFont="1"/>
    <xf numFmtId="195" fontId="77" fillId="7" borderId="1" xfId="0" applyNumberFormat="1" applyFont="1" applyFill="1" applyBorder="1" applyAlignment="1">
      <alignment horizontal="center" vertical="center" shrinkToFit="1"/>
    </xf>
    <xf numFmtId="0" fontId="94" fillId="7" borderId="0" xfId="0" applyFont="1" applyFill="1" applyAlignment="1">
      <alignment horizontal="center"/>
    </xf>
    <xf numFmtId="0" fontId="65" fillId="7" borderId="0" xfId="255" applyFont="1" applyFill="1" applyBorder="1" applyAlignment="1">
      <alignment horizontal="center" vertical="center"/>
    </xf>
    <xf numFmtId="1" fontId="65" fillId="7" borderId="1" xfId="0" applyNumberFormat="1" applyFont="1" applyFill="1" applyBorder="1" applyAlignment="1">
      <alignment horizontal="center" vertical="center"/>
    </xf>
    <xf numFmtId="192" fontId="13" fillId="7" borderId="0" xfId="0" applyNumberFormat="1" applyFont="1" applyFill="1" applyBorder="1" applyAlignment="1">
      <alignment horizontal="center"/>
    </xf>
    <xf numFmtId="203" fontId="13" fillId="0" borderId="0" xfId="8" applyNumberFormat="1" applyFont="1" applyFill="1" applyBorder="1" applyAlignment="1">
      <alignment horizontal="center" vertical="center"/>
    </xf>
    <xf numFmtId="0" fontId="97" fillId="7" borderId="0" xfId="255" applyFont="1" applyFill="1" applyBorder="1"/>
    <xf numFmtId="0" fontId="97" fillId="7" borderId="0" xfId="255" applyFont="1" applyFill="1" applyBorder="1" applyAlignment="1">
      <alignment horizontal="center"/>
    </xf>
    <xf numFmtId="0" fontId="11" fillId="7" borderId="0" xfId="255" applyFont="1" applyFill="1" applyBorder="1" applyAlignment="1">
      <alignment horizontal="center"/>
    </xf>
    <xf numFmtId="202" fontId="65" fillId="7" borderId="0" xfId="255" applyNumberFormat="1" applyFont="1" applyFill="1" applyBorder="1" applyAlignment="1">
      <alignment horizontal="center" vertical="center"/>
    </xf>
    <xf numFmtId="202" fontId="13" fillId="7" borderId="0" xfId="275" applyNumberFormat="1" applyFont="1" applyFill="1" applyBorder="1" applyAlignment="1">
      <alignment horizontal="left"/>
    </xf>
    <xf numFmtId="0" fontId="13" fillId="7" borderId="0" xfId="255" applyFont="1" applyFill="1" applyBorder="1" applyAlignment="1">
      <alignment horizontal="center"/>
    </xf>
    <xf numFmtId="204" fontId="13" fillId="7" borderId="0" xfId="255" applyNumberFormat="1" applyFont="1" applyFill="1" applyBorder="1" applyAlignment="1">
      <alignment horizontal="center"/>
    </xf>
    <xf numFmtId="202" fontId="13" fillId="7" borderId="0" xfId="275" applyNumberFormat="1" applyFont="1" applyFill="1" applyBorder="1" applyAlignment="1">
      <alignment horizontal="center"/>
    </xf>
    <xf numFmtId="0" fontId="11" fillId="7" borderId="0" xfId="255" applyFont="1" applyFill="1" applyBorder="1" applyAlignment="1">
      <alignment vertical="center" shrinkToFit="1"/>
    </xf>
    <xf numFmtId="0" fontId="65" fillId="7" borderId="0" xfId="255" applyFont="1" applyFill="1" applyBorder="1" applyAlignment="1">
      <alignment vertical="center"/>
    </xf>
    <xf numFmtId="3" fontId="97" fillId="7" borderId="0" xfId="255" applyNumberFormat="1" applyFont="1" applyFill="1" applyBorder="1" applyAlignment="1"/>
    <xf numFmtId="0" fontId="97" fillId="7" borderId="0" xfId="255" applyFont="1" applyFill="1" applyBorder="1" applyAlignment="1">
      <alignment vertical="center" wrapText="1"/>
    </xf>
    <xf numFmtId="202" fontId="11" fillId="7" borderId="1" xfId="255" applyNumberFormat="1" applyFont="1" applyFill="1" applyBorder="1" applyAlignment="1">
      <alignment horizontal="center"/>
    </xf>
    <xf numFmtId="3" fontId="97" fillId="7" borderId="1" xfId="255" applyNumberFormat="1" applyFont="1" applyFill="1" applyBorder="1" applyAlignment="1"/>
    <xf numFmtId="0" fontId="180" fillId="0" borderId="17" xfId="303" applyFont="1" applyBorder="1" applyAlignment="1">
      <alignment horizontal="left"/>
    </xf>
    <xf numFmtId="0" fontId="27" fillId="0" borderId="0" xfId="0" applyFont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189" fontId="16" fillId="0" borderId="6" xfId="0" applyNumberFormat="1" applyFont="1" applyBorder="1" applyAlignment="1">
      <alignment horizontal="left" vertical="center"/>
    </xf>
    <xf numFmtId="3" fontId="16" fillId="0" borderId="6" xfId="1" applyNumberFormat="1" applyFont="1" applyFill="1" applyBorder="1" applyAlignment="1">
      <alignment horizontal="right" vertical="center"/>
    </xf>
    <xf numFmtId="191" fontId="16" fillId="0" borderId="6" xfId="1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4" fontId="16" fillId="0" borderId="6" xfId="1" applyNumberFormat="1" applyFont="1" applyFill="1" applyBorder="1" applyAlignment="1">
      <alignment horizontal="right" vertical="center"/>
    </xf>
    <xf numFmtId="0" fontId="27" fillId="0" borderId="6" xfId="0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center" vertical="center"/>
    </xf>
    <xf numFmtId="191" fontId="22" fillId="0" borderId="16" xfId="1" applyNumberFormat="1" applyFont="1" applyFill="1" applyBorder="1" applyAlignment="1">
      <alignment horizontal="center" vertical="center"/>
    </xf>
    <xf numFmtId="189" fontId="16" fillId="0" borderId="6" xfId="0" applyNumberFormat="1" applyFont="1" applyBorder="1" applyAlignment="1">
      <alignment horizontal="center" vertical="center"/>
    </xf>
    <xf numFmtId="191" fontId="22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center" vertical="center"/>
    </xf>
    <xf numFmtId="191" fontId="104" fillId="0" borderId="0" xfId="1" applyNumberFormat="1" applyFont="1" applyFill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4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189" fontId="22" fillId="0" borderId="0" xfId="0" applyNumberFormat="1" applyFont="1" applyBorder="1"/>
    <xf numFmtId="0" fontId="101" fillId="0" borderId="1" xfId="0" applyFont="1" applyFill="1" applyBorder="1" applyAlignment="1">
      <alignment horizontal="left" vertical="center" wrapText="1"/>
    </xf>
    <xf numFmtId="2" fontId="189" fillId="0" borderId="0" xfId="0" applyNumberFormat="1" applyFont="1"/>
    <xf numFmtId="0" fontId="189" fillId="0" borderId="0" xfId="0" applyFont="1"/>
    <xf numFmtId="0" fontId="189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90" fillId="0" borderId="0" xfId="0" applyFont="1"/>
    <xf numFmtId="0" fontId="191" fillId="0" borderId="0" xfId="0" applyFont="1" applyAlignment="1">
      <alignment horizontal="center"/>
    </xf>
    <xf numFmtId="0" fontId="83" fillId="0" borderId="0" xfId="0" applyFont="1"/>
    <xf numFmtId="0" fontId="1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83" fillId="0" borderId="0" xfId="0" applyNumberFormat="1" applyFont="1"/>
    <xf numFmtId="0" fontId="83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9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0" fontId="189" fillId="0" borderId="1" xfId="0" applyFont="1" applyBorder="1"/>
    <xf numFmtId="0" fontId="12" fillId="0" borderId="1" xfId="0" applyFont="1" applyBorder="1" applyAlignment="1">
      <alignment horizontal="center" vertical="top" wrapText="1"/>
    </xf>
    <xf numFmtId="0" fontId="12" fillId="13" borderId="68" xfId="0" applyFont="1" applyFill="1" applyBorder="1" applyAlignment="1">
      <alignment horizontal="left" shrinkToFit="1"/>
    </xf>
    <xf numFmtId="192" fontId="12" fillId="0" borderId="1" xfId="1" applyNumberFormat="1" applyFont="1" applyBorder="1" applyAlignment="1">
      <alignment horizontal="center" wrapText="1"/>
    </xf>
    <xf numFmtId="0" fontId="189" fillId="0" borderId="1" xfId="0" applyFont="1" applyBorder="1" applyAlignment="1">
      <alignment horizontal="center"/>
    </xf>
    <xf numFmtId="2" fontId="189" fillId="0" borderId="1" xfId="0" applyNumberFormat="1" applyFont="1" applyBorder="1" applyAlignment="1">
      <alignment horizontal="center"/>
    </xf>
    <xf numFmtId="192" fontId="189" fillId="0" borderId="1" xfId="1" applyNumberFormat="1" applyFont="1" applyBorder="1" applyAlignment="1">
      <alignment horizontal="center"/>
    </xf>
    <xf numFmtId="0" fontId="14" fillId="0" borderId="0" xfId="0" applyFont="1"/>
    <xf numFmtId="0" fontId="193" fillId="0" borderId="0" xfId="0" applyFont="1"/>
    <xf numFmtId="0" fontId="13" fillId="0" borderId="0" xfId="0" applyFont="1" applyAlignment="1">
      <alignment horizontal="left" indent="6"/>
    </xf>
    <xf numFmtId="0" fontId="15" fillId="0" borderId="0" xfId="0" applyFont="1" applyAlignment="1">
      <alignment horizontal="left" indent="6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45" fillId="13" borderId="68" xfId="0" applyNumberFormat="1" applyFont="1" applyFill="1" applyBorder="1" applyAlignment="1">
      <alignment horizontal="left" shrinkToFit="1"/>
    </xf>
    <xf numFmtId="0" fontId="39" fillId="13" borderId="68" xfId="0" applyFont="1" applyFill="1" applyBorder="1" applyAlignment="1">
      <alignment horizontal="left" shrinkToFi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6" fillId="0" borderId="0" xfId="0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vertical="center"/>
    </xf>
    <xf numFmtId="3" fontId="56" fillId="0" borderId="0" xfId="0" applyNumberFormat="1" applyFont="1" applyFill="1" applyBorder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2" fontId="58" fillId="0" borderId="0" xfId="0" applyNumberFormat="1" applyFont="1" applyFill="1" applyBorder="1" applyAlignment="1">
      <alignment horizontal="center" vertical="center"/>
    </xf>
    <xf numFmtId="197" fontId="30" fillId="0" borderId="0" xfId="0" applyNumberFormat="1" applyFont="1" applyFill="1" applyBorder="1" applyAlignment="1">
      <alignment horizontal="center" vertical="center"/>
    </xf>
    <xf numFmtId="197" fontId="58" fillId="0" borderId="0" xfId="0" applyNumberFormat="1" applyFont="1" applyFill="1" applyBorder="1" applyAlignment="1">
      <alignment horizontal="center" vertical="center"/>
    </xf>
    <xf numFmtId="0" fontId="197" fillId="0" borderId="0" xfId="0" applyFont="1"/>
    <xf numFmtId="0" fontId="179" fillId="0" borderId="1" xfId="0" quotePrefix="1" applyNumberFormat="1" applyFont="1" applyFill="1" applyBorder="1" applyAlignment="1">
      <alignment horizontal="center" vertical="center" wrapText="1"/>
    </xf>
    <xf numFmtId="2" fontId="179" fillId="0" borderId="1" xfId="0" quotePrefix="1" applyNumberFormat="1" applyFont="1" applyFill="1" applyBorder="1" applyAlignment="1">
      <alignment horizontal="center" vertical="center" wrapText="1"/>
    </xf>
    <xf numFmtId="197" fontId="179" fillId="0" borderId="1" xfId="0" quotePrefix="1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vertical="center" wrapText="1"/>
    </xf>
    <xf numFmtId="0" fontId="200" fillId="0" borderId="16" xfId="0" applyNumberFormat="1" applyFont="1" applyFill="1" applyBorder="1" applyAlignment="1">
      <alignment horizontal="center" vertical="center"/>
    </xf>
    <xf numFmtId="3" fontId="179" fillId="0" borderId="16" xfId="0" quotePrefix="1" applyNumberFormat="1" applyFont="1" applyFill="1" applyBorder="1" applyAlignment="1">
      <alignment horizontal="center" vertical="center"/>
    </xf>
    <xf numFmtId="2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10" applyNumberFormat="1" applyFont="1" applyFill="1" applyBorder="1" applyAlignment="1">
      <alignment horizontal="center" vertical="center" wrapText="1"/>
    </xf>
    <xf numFmtId="0" fontId="199" fillId="0" borderId="16" xfId="0" quotePrefix="1" applyNumberFormat="1" applyFont="1" applyFill="1" applyBorder="1" applyAlignment="1">
      <alignment horizontal="center" vertical="center"/>
    </xf>
    <xf numFmtId="0" fontId="199" fillId="0" borderId="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left" vertical="center" wrapText="1"/>
    </xf>
    <xf numFmtId="0" fontId="200" fillId="0" borderId="6" xfId="0" applyFont="1" applyFill="1" applyBorder="1" applyAlignment="1">
      <alignment horizontal="left" vertical="center" wrapText="1"/>
    </xf>
    <xf numFmtId="0" fontId="179" fillId="0" borderId="6" xfId="0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10" applyNumberFormat="1" applyFont="1" applyFill="1" applyBorder="1" applyAlignment="1">
      <alignment horizontal="center" vertical="center" wrapText="1"/>
    </xf>
    <xf numFmtId="0" fontId="199" fillId="0" borderId="6" xfId="0" quotePrefix="1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Font="1" applyFill="1" applyBorder="1" applyAlignment="1">
      <alignment horizontal="center" vertical="center" wrapText="1"/>
    </xf>
    <xf numFmtId="195" fontId="201" fillId="0" borderId="6" xfId="0" quotePrefix="1" applyNumberFormat="1" applyFont="1" applyFill="1" applyBorder="1" applyAlignment="1">
      <alignment horizontal="center" vertical="center" wrapText="1"/>
    </xf>
    <xf numFmtId="197" fontId="181" fillId="0" borderId="6" xfId="0" applyNumberFormat="1" applyFont="1" applyFill="1" applyBorder="1" applyAlignment="1">
      <alignment horizontal="center" vertical="center" wrapText="1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0" fontId="200" fillId="0" borderId="6" xfId="0" applyFont="1" applyFill="1" applyBorder="1" applyAlignment="1">
      <alignment horizontal="center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199" fillId="0" borderId="6" xfId="0" applyNumberFormat="1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vertical="center" wrapText="1"/>
    </xf>
    <xf numFmtId="0" fontId="18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left" vertical="center"/>
    </xf>
    <xf numFmtId="3" fontId="180" fillId="0" borderId="6" xfId="0" quotePrefix="1" applyNumberFormat="1" applyFont="1" applyFill="1" applyBorder="1" applyAlignment="1">
      <alignment horizontal="left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79" fillId="0" borderId="6" xfId="10" applyNumberFormat="1" applyFont="1" applyFill="1" applyBorder="1" applyAlignment="1">
      <alignment horizontal="center" vertical="center"/>
    </xf>
    <xf numFmtId="0" fontId="203" fillId="0" borderId="0" xfId="0" applyFont="1"/>
    <xf numFmtId="3" fontId="201" fillId="0" borderId="6" xfId="0" applyNumberFormat="1" applyFont="1" applyFill="1" applyBorder="1" applyAlignment="1">
      <alignment horizontal="center" vertical="center" wrapText="1"/>
    </xf>
    <xf numFmtId="1" fontId="182" fillId="7" borderId="6" xfId="10" applyNumberFormat="1" applyFont="1" applyFill="1" applyBorder="1" applyAlignment="1">
      <alignment horizontal="center" vertical="center"/>
    </xf>
    <xf numFmtId="4" fontId="180" fillId="7" borderId="6" xfId="273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/>
    </xf>
    <xf numFmtId="4" fontId="204" fillId="7" borderId="6" xfId="273" applyNumberFormat="1" applyFont="1" applyFill="1" applyBorder="1" applyAlignment="1">
      <alignment horizontal="center" vertical="center"/>
    </xf>
    <xf numFmtId="195" fontId="201" fillId="0" borderId="6" xfId="10" applyNumberFormat="1" applyFont="1" applyFill="1" applyBorder="1" applyAlignment="1">
      <alignment horizontal="center" vertical="center" wrapText="1"/>
    </xf>
    <xf numFmtId="4" fontId="197" fillId="0" borderId="0" xfId="0" applyNumberFormat="1" applyFont="1"/>
    <xf numFmtId="0" fontId="201" fillId="0" borderId="23" xfId="0" applyFont="1" applyFill="1" applyBorder="1" applyAlignment="1">
      <alignment vertical="center" wrapText="1"/>
    </xf>
    <xf numFmtId="4" fontId="101" fillId="0" borderId="18" xfId="305" applyNumberFormat="1" applyFont="1" applyFill="1" applyBorder="1" applyAlignment="1">
      <alignment horizontal="center" vertical="center" wrapText="1"/>
    </xf>
    <xf numFmtId="2" fontId="204" fillId="0" borderId="6" xfId="0" quotePrefix="1" applyNumberFormat="1" applyFont="1" applyFill="1" applyBorder="1" applyAlignment="1">
      <alignment horizontal="center" vertical="center"/>
    </xf>
    <xf numFmtId="1" fontId="179" fillId="7" borderId="6" xfId="10" applyNumberFormat="1" applyFont="1" applyFill="1" applyBorder="1" applyAlignment="1">
      <alignment horizontal="center" vertical="center"/>
    </xf>
    <xf numFmtId="1" fontId="181" fillId="7" borderId="6" xfId="10" applyNumberFormat="1" applyFont="1" applyFill="1" applyBorder="1" applyAlignment="1">
      <alignment horizontal="center" vertical="center"/>
    </xf>
    <xf numFmtId="1" fontId="204" fillId="7" borderId="6" xfId="10" applyNumberFormat="1" applyFont="1" applyFill="1" applyBorder="1" applyAlignment="1">
      <alignment horizontal="center" vertical="center"/>
    </xf>
    <xf numFmtId="1" fontId="204" fillId="7" borderId="6" xfId="273" applyNumberFormat="1" applyFont="1" applyFill="1" applyBorder="1" applyAlignment="1">
      <alignment horizontal="center" vertical="center"/>
    </xf>
    <xf numFmtId="0" fontId="179" fillId="0" borderId="6" xfId="0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 wrapText="1"/>
    </xf>
    <xf numFmtId="0" fontId="199" fillId="7" borderId="6" xfId="273" applyFont="1" applyFill="1" applyBorder="1" applyAlignment="1">
      <alignment vertical="center"/>
    </xf>
    <xf numFmtId="0" fontId="20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center" vertical="center"/>
    </xf>
    <xf numFmtId="0" fontId="199" fillId="0" borderId="6" xfId="0" quotePrefix="1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 wrapText="1"/>
    </xf>
    <xf numFmtId="4" fontId="179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applyNumberFormat="1" applyFont="1" applyFill="1" applyBorder="1" applyAlignment="1">
      <alignment vertical="center"/>
    </xf>
    <xf numFmtId="3" fontId="180" fillId="0" borderId="6" xfId="0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/>
    </xf>
    <xf numFmtId="0" fontId="201" fillId="0" borderId="6" xfId="0" quotePrefix="1" applyNumberFormat="1" applyFont="1" applyFill="1" applyBorder="1" applyAlignment="1">
      <alignment horizontal="center" vertical="center"/>
    </xf>
    <xf numFmtId="0" fontId="179" fillId="0" borderId="17" xfId="0" quotePrefix="1" applyNumberFormat="1" applyFont="1" applyFill="1" applyBorder="1" applyAlignment="1">
      <alignment horizontal="center" vertical="center" wrapText="1"/>
    </xf>
    <xf numFmtId="2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10" applyNumberFormat="1" applyFont="1" applyFill="1" applyBorder="1" applyAlignment="1">
      <alignment horizontal="center" vertical="center" wrapText="1"/>
    </xf>
    <xf numFmtId="0" fontId="199" fillId="0" borderId="17" xfId="0" quotePrefix="1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vertical="center"/>
    </xf>
    <xf numFmtId="0" fontId="205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/>
    </xf>
    <xf numFmtId="0" fontId="179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4" fontId="56" fillId="0" borderId="0" xfId="0" applyNumberFormat="1" applyFont="1" applyFill="1" applyAlignment="1">
      <alignment vertical="center"/>
    </xf>
    <xf numFmtId="197" fontId="56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vertical="center"/>
    </xf>
    <xf numFmtId="0" fontId="56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197" fontId="56" fillId="0" borderId="0" xfId="0" applyNumberFormat="1" applyFont="1" applyFill="1" applyBorder="1" applyAlignment="1">
      <alignment vertical="center"/>
    </xf>
    <xf numFmtId="197" fontId="13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left"/>
    </xf>
    <xf numFmtId="3" fontId="13" fillId="0" borderId="0" xfId="0" applyNumberFormat="1" applyFont="1" applyFill="1" applyBorder="1"/>
    <xf numFmtId="3" fontId="56" fillId="0" borderId="0" xfId="0" applyNumberFormat="1" applyFont="1" applyFill="1" applyBorder="1"/>
    <xf numFmtId="197" fontId="56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43" fontId="13" fillId="0" borderId="22" xfId="1" applyNumberFormat="1" applyFont="1" applyBorder="1" applyAlignment="1">
      <alignment horizontal="right" vertical="center" shrinkToFit="1"/>
    </xf>
    <xf numFmtId="0" fontId="127" fillId="0" borderId="0" xfId="0" applyFont="1"/>
    <xf numFmtId="192" fontId="129" fillId="0" borderId="0" xfId="1" applyNumberFormat="1" applyFont="1" applyFill="1" applyBorder="1" applyAlignment="1">
      <alignment horizontal="right" vertical="center" shrinkToFit="1"/>
    </xf>
    <xf numFmtId="188" fontId="127" fillId="0" borderId="0" xfId="0" applyNumberFormat="1" applyFont="1"/>
    <xf numFmtId="192" fontId="127" fillId="0" borderId="0" xfId="1" applyNumberFormat="1" applyFont="1" applyFill="1"/>
    <xf numFmtId="212" fontId="127" fillId="0" borderId="0" xfId="1" applyNumberFormat="1" applyFont="1" applyFill="1"/>
    <xf numFmtId="0" fontId="22" fillId="0" borderId="0" xfId="0" applyFont="1" applyAlignment="1">
      <alignment horizontal="center" vertical="center"/>
    </xf>
    <xf numFmtId="191" fontId="20" fillId="0" borderId="0" xfId="1" applyNumberFormat="1" applyFont="1" applyFill="1" applyAlignment="1">
      <alignment vertical="center"/>
    </xf>
    <xf numFmtId="191" fontId="20" fillId="0" borderId="1" xfId="1" applyNumberFormat="1" applyFont="1" applyFill="1" applyBorder="1" applyAlignment="1">
      <alignment vertical="center"/>
    </xf>
    <xf numFmtId="0" fontId="23" fillId="0" borderId="0" xfId="0" applyFont="1" applyAlignment="1"/>
    <xf numFmtId="0" fontId="124" fillId="7" borderId="0" xfId="0" applyFont="1" applyFill="1" applyAlignment="1">
      <alignment vertical="center"/>
    </xf>
    <xf numFmtId="0" fontId="93" fillId="0" borderId="0" xfId="0" applyFont="1" applyAlignment="1">
      <alignment vertical="center"/>
    </xf>
    <xf numFmtId="43" fontId="93" fillId="0" borderId="0" xfId="1" applyFont="1" applyFill="1" applyBorder="1" applyAlignment="1">
      <alignment vertical="center"/>
    </xf>
    <xf numFmtId="205" fontId="93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0" fontId="93" fillId="7" borderId="0" xfId="0" applyFont="1" applyFill="1" applyAlignment="1"/>
    <xf numFmtId="192" fontId="16" fillId="0" borderId="6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91" fontId="22" fillId="0" borderId="1" xfId="1" applyNumberFormat="1" applyFont="1" applyBorder="1" applyAlignment="1">
      <alignment horizontal="right" vertical="center"/>
    </xf>
    <xf numFmtId="0" fontId="66" fillId="7" borderId="0" xfId="255" applyFont="1" applyFill="1" applyAlignment="1">
      <alignment vertical="center"/>
    </xf>
    <xf numFmtId="0" fontId="97" fillId="7" borderId="0" xfId="255" applyFont="1" applyFill="1" applyAlignment="1">
      <alignment vertical="center"/>
    </xf>
    <xf numFmtId="0" fontId="13" fillId="0" borderId="0" xfId="274" applyFont="1" applyFill="1" applyBorder="1" applyAlignment="1"/>
    <xf numFmtId="0" fontId="13" fillId="0" borderId="0" xfId="274" applyFont="1" applyFill="1" applyBorder="1"/>
    <xf numFmtId="0" fontId="8" fillId="0" borderId="0" xfId="274" applyFont="1" applyFill="1" applyBorder="1"/>
    <xf numFmtId="0" fontId="11" fillId="0" borderId="0" xfId="274" applyFont="1" applyFill="1" applyBorder="1" applyAlignment="1">
      <alignment horizontal="center"/>
    </xf>
    <xf numFmtId="0" fontId="146" fillId="0" borderId="0" xfId="0" applyFont="1" applyFill="1"/>
    <xf numFmtId="0" fontId="115" fillId="0" borderId="0" xfId="274" applyFont="1" applyFill="1" applyBorder="1"/>
    <xf numFmtId="0" fontId="21" fillId="0" borderId="8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vertical="center" wrapText="1"/>
    </xf>
    <xf numFmtId="0" fontId="115" fillId="0" borderId="0" xfId="274" applyFont="1" applyFill="1" applyBorder="1" applyAlignment="1">
      <alignment vertical="center"/>
    </xf>
    <xf numFmtId="0" fontId="21" fillId="0" borderId="8" xfId="274" applyFont="1" applyFill="1" applyBorder="1" applyAlignment="1">
      <alignment horizontal="center"/>
    </xf>
    <xf numFmtId="0" fontId="22" fillId="0" borderId="8" xfId="274" quotePrefix="1" applyFont="1" applyFill="1" applyBorder="1" applyAlignment="1">
      <alignment horizontal="center" vertical="center" wrapText="1"/>
    </xf>
    <xf numFmtId="0" fontId="21" fillId="0" borderId="42" xfId="274" applyFont="1" applyFill="1" applyBorder="1" applyAlignment="1">
      <alignment horizontal="center" vertical="center" wrapText="1"/>
    </xf>
    <xf numFmtId="0" fontId="10" fillId="0" borderId="0" xfId="274" applyFont="1" applyFill="1" applyBorder="1"/>
    <xf numFmtId="0" fontId="11" fillId="0" borderId="0" xfId="274" applyFont="1" applyFill="1" applyBorder="1" applyAlignment="1"/>
    <xf numFmtId="0" fontId="10" fillId="0" borderId="1" xfId="274" applyFont="1" applyFill="1" applyBorder="1" applyAlignment="1">
      <alignment horizontal="center"/>
    </xf>
    <xf numFmtId="0" fontId="2" fillId="0" borderId="1" xfId="274" applyFont="1" applyFill="1" applyBorder="1" applyAlignment="1">
      <alignment horizontal="center"/>
    </xf>
    <xf numFmtId="0" fontId="208" fillId="0" borderId="0" xfId="274" applyFont="1" applyFill="1" applyBorder="1"/>
    <xf numFmtId="0" fontId="209" fillId="0" borderId="0" xfId="274" applyFont="1" applyFill="1" applyBorder="1"/>
    <xf numFmtId="0" fontId="10" fillId="0" borderId="0" xfId="274" applyFont="1" applyFill="1" applyBorder="1" applyAlignment="1"/>
    <xf numFmtId="0" fontId="21" fillId="0" borderId="9" xfId="274" applyFont="1" applyFill="1" applyBorder="1" applyAlignment="1">
      <alignment horizontal="center" vertical="center" wrapText="1"/>
    </xf>
    <xf numFmtId="0" fontId="22" fillId="0" borderId="10" xfId="274" quotePrefix="1" applyFont="1" applyFill="1" applyBorder="1" applyAlignment="1">
      <alignment horizontal="center" vertical="center" wrapText="1"/>
    </xf>
    <xf numFmtId="0" fontId="27" fillId="7" borderId="0" xfId="274" applyFont="1" applyFill="1" applyBorder="1" applyAlignment="1">
      <alignment vertical="center" wrapText="1"/>
    </xf>
    <xf numFmtId="0" fontId="8" fillId="0" borderId="0" xfId="274" applyFont="1" applyFill="1" applyBorder="1" applyAlignment="1"/>
    <xf numFmtId="0" fontId="21" fillId="0" borderId="10" xfId="274" applyFont="1" applyFill="1" applyBorder="1" applyAlignment="1">
      <alignment horizontal="center"/>
    </xf>
    <xf numFmtId="0" fontId="21" fillId="0" borderId="40" xfId="274" applyFont="1" applyFill="1" applyBorder="1" applyAlignment="1">
      <alignment horizontal="center"/>
    </xf>
    <xf numFmtId="0" fontId="22" fillId="0" borderId="40" xfId="274" quotePrefix="1" applyFont="1" applyFill="1" applyBorder="1" applyAlignment="1">
      <alignment horizontal="center" vertical="center" wrapText="1"/>
    </xf>
    <xf numFmtId="0" fontId="21" fillId="0" borderId="39" xfId="274" applyFont="1" applyFill="1" applyBorder="1" applyAlignment="1">
      <alignment horizontal="center"/>
    </xf>
    <xf numFmtId="0" fontId="22" fillId="0" borderId="39" xfId="274" quotePrefix="1" applyFont="1" applyFill="1" applyBorder="1" applyAlignment="1">
      <alignment horizontal="center" vertical="center" wrapText="1"/>
    </xf>
    <xf numFmtId="0" fontId="21" fillId="0" borderId="9" xfId="274" applyFont="1" applyFill="1" applyBorder="1" applyAlignment="1">
      <alignment horizontal="center"/>
    </xf>
    <xf numFmtId="0" fontId="127" fillId="0" borderId="9" xfId="274" quotePrefix="1" applyFont="1" applyFill="1" applyBorder="1" applyAlignment="1">
      <alignment horizontal="center" vertical="center" wrapText="1"/>
    </xf>
    <xf numFmtId="0" fontId="20" fillId="0" borderId="40" xfId="274" applyFont="1" applyFill="1" applyBorder="1" applyAlignment="1">
      <alignment horizontal="center" vertical="center" wrapText="1"/>
    </xf>
    <xf numFmtId="0" fontId="20" fillId="0" borderId="40" xfId="305" applyFont="1" applyFill="1" applyBorder="1" applyAlignment="1">
      <alignment horizontal="center" vertical="center"/>
    </xf>
    <xf numFmtId="0" fontId="77" fillId="0" borderId="40" xfId="274" applyFont="1" applyFill="1" applyBorder="1" applyAlignment="1">
      <alignment vertical="center" wrapText="1"/>
    </xf>
    <xf numFmtId="0" fontId="77" fillId="0" borderId="40" xfId="274" applyFont="1" applyFill="1" applyBorder="1" applyAlignment="1">
      <alignment vertical="center"/>
    </xf>
    <xf numFmtId="0" fontId="77" fillId="0" borderId="40" xfId="274" applyFont="1" applyFill="1" applyBorder="1" applyAlignment="1">
      <alignment horizontal="center" vertical="center" wrapText="1"/>
    </xf>
    <xf numFmtId="0" fontId="77" fillId="0" borderId="40" xfId="305" applyFont="1" applyFill="1" applyBorder="1" applyAlignment="1">
      <alignment horizontal="center" vertical="center" wrapText="1"/>
    </xf>
    <xf numFmtId="0" fontId="206" fillId="0" borderId="40" xfId="305" applyFont="1" applyFill="1" applyBorder="1" applyAlignment="1">
      <alignment horizontal="center" vertical="center"/>
    </xf>
    <xf numFmtId="0" fontId="101" fillId="0" borderId="74" xfId="274" applyFont="1" applyFill="1" applyBorder="1" applyAlignment="1">
      <alignment horizontal="center" vertical="center" wrapText="1"/>
    </xf>
    <xf numFmtId="0" fontId="127" fillId="0" borderId="75" xfId="274" quotePrefix="1" applyFont="1" applyFill="1" applyBorder="1" applyAlignment="1">
      <alignment horizontal="center" vertical="center" wrapText="1"/>
    </xf>
    <xf numFmtId="0" fontId="22" fillId="0" borderId="72" xfId="274" quotePrefix="1" applyFont="1" applyFill="1" applyBorder="1" applyAlignment="1">
      <alignment horizontal="center" vertical="center" wrapText="1"/>
    </xf>
    <xf numFmtId="0" fontId="22" fillId="0" borderId="73" xfId="274" quotePrefix="1" applyFont="1" applyFill="1" applyBorder="1" applyAlignment="1">
      <alignment horizontal="center" vertical="center" wrapText="1"/>
    </xf>
    <xf numFmtId="0" fontId="22" fillId="0" borderId="74" xfId="274" quotePrefix="1" applyFont="1" applyFill="1" applyBorder="1" applyAlignment="1">
      <alignment horizontal="center" vertical="center" wrapText="1"/>
    </xf>
    <xf numFmtId="0" fontId="22" fillId="0" borderId="58" xfId="274" quotePrefix="1" applyFont="1" applyFill="1" applyBorder="1" applyAlignment="1">
      <alignment horizontal="center" vertical="center" wrapText="1"/>
    </xf>
    <xf numFmtId="0" fontId="22" fillId="0" borderId="38" xfId="274" quotePrefix="1" applyFont="1" applyFill="1" applyBorder="1" applyAlignment="1">
      <alignment horizontal="center" vertical="center" wrapText="1"/>
    </xf>
    <xf numFmtId="0" fontId="22" fillId="0" borderId="51" xfId="274" quotePrefix="1" applyFont="1" applyFill="1" applyBorder="1" applyAlignment="1">
      <alignment horizontal="center" vertical="center" wrapText="1"/>
    </xf>
    <xf numFmtId="0" fontId="21" fillId="0" borderId="77" xfId="274" applyFont="1" applyFill="1" applyBorder="1" applyAlignment="1">
      <alignment horizontal="center"/>
    </xf>
    <xf numFmtId="0" fontId="21" fillId="0" borderId="49" xfId="274" applyFont="1" applyFill="1" applyBorder="1" applyAlignment="1">
      <alignment horizontal="center"/>
    </xf>
    <xf numFmtId="0" fontId="21" fillId="0" borderId="78" xfId="274" applyFont="1" applyFill="1" applyBorder="1" applyAlignment="1">
      <alignment horizontal="center"/>
    </xf>
    <xf numFmtId="0" fontId="21" fillId="0" borderId="76" xfId="274" applyFont="1" applyFill="1" applyBorder="1" applyAlignment="1">
      <alignment horizontal="center"/>
    </xf>
    <xf numFmtId="0" fontId="21" fillId="0" borderId="48" xfId="274" applyFont="1" applyFill="1" applyBorder="1" applyAlignment="1">
      <alignment horizontal="center"/>
    </xf>
    <xf numFmtId="0" fontId="127" fillId="0" borderId="48" xfId="274" quotePrefix="1" applyFont="1" applyFill="1" applyBorder="1" applyAlignment="1">
      <alignment horizontal="center" vertical="center" wrapText="1"/>
    </xf>
    <xf numFmtId="0" fontId="127" fillId="0" borderId="81" xfId="274" quotePrefix="1" applyFont="1" applyFill="1" applyBorder="1" applyAlignment="1">
      <alignment horizontal="center" vertical="center" wrapText="1"/>
    </xf>
    <xf numFmtId="0" fontId="34" fillId="7" borderId="0" xfId="255" applyFont="1" applyFill="1" applyAlignme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0" fillId="0" borderId="0" xfId="255" applyFont="1" applyAlignment="1">
      <alignment horizontal="left"/>
    </xf>
    <xf numFmtId="0" fontId="210" fillId="0" borderId="0" xfId="255" applyFont="1"/>
    <xf numFmtId="0" fontId="114" fillId="0" borderId="0" xfId="255" applyFont="1"/>
    <xf numFmtId="0" fontId="114" fillId="0" borderId="1" xfId="255" applyFont="1" applyBorder="1"/>
    <xf numFmtId="0" fontId="114" fillId="0" borderId="1" xfId="255" applyFont="1" applyBorder="1" applyAlignment="1">
      <alignment horizontal="center"/>
    </xf>
    <xf numFmtId="225" fontId="114" fillId="0" borderId="1" xfId="1" applyNumberFormat="1" applyFont="1" applyBorder="1"/>
    <xf numFmtId="225" fontId="114" fillId="0" borderId="0" xfId="255" applyNumberFormat="1" applyFont="1"/>
    <xf numFmtId="0" fontId="114" fillId="0" borderId="0" xfId="255" applyFont="1" applyBorder="1" applyAlignment="1">
      <alignment horizontal="center"/>
    </xf>
    <xf numFmtId="0" fontId="114" fillId="0" borderId="0" xfId="255" applyFont="1" applyBorder="1"/>
    <xf numFmtId="0" fontId="114" fillId="0" borderId="0" xfId="255" applyFont="1" applyAlignment="1">
      <alignment horizontal="center"/>
    </xf>
    <xf numFmtId="0" fontId="210" fillId="0" borderId="0" xfId="255" applyFont="1" applyBorder="1"/>
    <xf numFmtId="0" fontId="210" fillId="0" borderId="0" xfId="255" applyFont="1" applyAlignment="1">
      <alignment horizontal="center"/>
    </xf>
    <xf numFmtId="0" fontId="210" fillId="0" borderId="0" xfId="255" applyFont="1" applyAlignment="1"/>
    <xf numFmtId="0" fontId="210" fillId="0" borderId="0" xfId="255" applyFont="1" applyAlignment="1">
      <alignment horizontal="center" vertical="center" wrapText="1"/>
    </xf>
    <xf numFmtId="0" fontId="210" fillId="0" borderId="0" xfId="255" applyFont="1" applyAlignment="1">
      <alignment horizontal="center" wrapText="1"/>
    </xf>
    <xf numFmtId="0" fontId="114" fillId="0" borderId="1" xfId="255" applyFont="1" applyBorder="1" applyAlignment="1">
      <alignment horizontal="center" wrapText="1"/>
    </xf>
    <xf numFmtId="0" fontId="114" fillId="0" borderId="0" xfId="255" applyFont="1" applyAlignment="1">
      <alignment horizontal="center" wrapText="1"/>
    </xf>
    <xf numFmtId="192" fontId="130" fillId="7" borderId="0" xfId="0" applyNumberFormat="1" applyFont="1" applyFill="1" applyAlignment="1">
      <alignment vertical="center"/>
    </xf>
    <xf numFmtId="0" fontId="21" fillId="0" borderId="0" xfId="0" applyFont="1" applyFill="1" applyBorder="1" applyAlignment="1">
      <alignment vertical="center" shrinkToFit="1"/>
    </xf>
    <xf numFmtId="0" fontId="210" fillId="0" borderId="0" xfId="255" applyFont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04" fillId="0" borderId="0" xfId="25" applyFont="1" applyBorder="1" applyAlignment="1">
      <alignment horizontal="left" vertical="center"/>
    </xf>
    <xf numFmtId="3" fontId="22" fillId="0" borderId="0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91" fontId="22" fillId="0" borderId="22" xfId="1" applyNumberFormat="1" applyFont="1" applyFill="1" applyBorder="1" applyAlignment="1">
      <alignment horizontal="right" vertical="center"/>
    </xf>
    <xf numFmtId="0" fontId="213" fillId="12" borderId="1" xfId="28" applyFont="1" applyFill="1" applyBorder="1" applyAlignment="1" applyProtection="1">
      <alignment horizontal="left"/>
    </xf>
    <xf numFmtId="0" fontId="127" fillId="3" borderId="0" xfId="0" applyFont="1" applyFill="1"/>
    <xf numFmtId="0" fontId="180" fillId="12" borderId="22" xfId="28" applyFont="1" applyFill="1" applyBorder="1" applyAlignment="1" applyProtection="1">
      <alignment horizontal="left"/>
    </xf>
    <xf numFmtId="3" fontId="104" fillId="0" borderId="0" xfId="25" applyNumberFormat="1" applyFont="1" applyBorder="1" applyAlignment="1">
      <alignment horizontal="left" vertical="center"/>
    </xf>
    <xf numFmtId="43" fontId="22" fillId="0" borderId="22" xfId="1" applyNumberFormat="1" applyFont="1" applyBorder="1" applyAlignment="1">
      <alignment horizontal="right" vertical="center"/>
    </xf>
    <xf numFmtId="191" fontId="13" fillId="0" borderId="1" xfId="1" applyNumberFormat="1" applyFont="1" applyBorder="1" applyAlignment="1">
      <alignment horizontal="center" vertical="center" shrinkToFit="1"/>
    </xf>
    <xf numFmtId="43" fontId="13" fillId="0" borderId="1" xfId="1" applyNumberFormat="1" applyFont="1" applyBorder="1" applyAlignment="1">
      <alignment horizontal="right" vertical="center" shrinkToFit="1"/>
    </xf>
    <xf numFmtId="43" fontId="130" fillId="7" borderId="0" xfId="0" applyNumberFormat="1" applyFont="1" applyFill="1" applyAlignment="1">
      <alignment horizontal="center"/>
    </xf>
    <xf numFmtId="4" fontId="125" fillId="7" borderId="0" xfId="0" applyNumberFormat="1" applyFont="1" applyFill="1" applyAlignment="1">
      <alignment horizontal="center"/>
    </xf>
    <xf numFmtId="4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22" fillId="0" borderId="1" xfId="1" applyNumberFormat="1" applyFont="1" applyBorder="1" applyAlignment="1">
      <alignment horizontal="right"/>
    </xf>
    <xf numFmtId="212" fontId="22" fillId="0" borderId="1" xfId="1" applyNumberFormat="1" applyFont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24" fillId="7" borderId="0" xfId="0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7" fillId="0" borderId="6" xfId="0" applyFont="1" applyBorder="1" applyAlignment="1">
      <alignment horizontal="center" vertical="center"/>
    </xf>
    <xf numFmtId="0" fontId="216" fillId="0" borderId="6" xfId="25" applyFont="1" applyBorder="1" applyAlignment="1">
      <alignment horizontal="left" vertical="center"/>
    </xf>
    <xf numFmtId="0" fontId="217" fillId="12" borderId="1" xfId="28" applyFont="1" applyFill="1" applyBorder="1" applyAlignment="1" applyProtection="1">
      <alignment horizontal="left"/>
    </xf>
    <xf numFmtId="3" fontId="127" fillId="0" borderId="6" xfId="0" applyNumberFormat="1" applyFont="1" applyBorder="1" applyAlignment="1">
      <alignment horizontal="center" vertical="center"/>
    </xf>
    <xf numFmtId="0" fontId="127" fillId="0" borderId="0" xfId="0" applyFont="1" applyBorder="1" applyAlignment="1">
      <alignment horizontal="right" vertical="center"/>
    </xf>
    <xf numFmtId="3" fontId="127" fillId="0" borderId="0" xfId="0" applyNumberFormat="1" applyFont="1"/>
    <xf numFmtId="191" fontId="20" fillId="0" borderId="1" xfId="1" applyNumberFormat="1" applyFont="1" applyBorder="1" applyAlignment="1">
      <alignment horizontal="right" vertical="center"/>
    </xf>
    <xf numFmtId="191" fontId="20" fillId="0" borderId="1" xfId="1" applyNumberFormat="1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/>
    </xf>
    <xf numFmtId="191" fontId="22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5" fillId="7" borderId="0" xfId="0" applyFont="1" applyFill="1" applyAlignment="1">
      <alignment vertical="center"/>
    </xf>
    <xf numFmtId="189" fontId="20" fillId="0" borderId="1" xfId="0" applyNumberFormat="1" applyFont="1" applyBorder="1" applyAlignment="1">
      <alignment vertical="center"/>
    </xf>
    <xf numFmtId="18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9" fontId="22" fillId="0" borderId="6" xfId="0" applyNumberFormat="1" applyFont="1" applyBorder="1" applyAlignment="1">
      <alignment horizontal="center" vertical="center"/>
    </xf>
    <xf numFmtId="189" fontId="20" fillId="0" borderId="1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192" fontId="20" fillId="0" borderId="1" xfId="0" applyNumberFormat="1" applyFont="1" applyBorder="1" applyAlignment="1">
      <alignment vertical="center"/>
    </xf>
    <xf numFmtId="191" fontId="20" fillId="0" borderId="1" xfId="0" applyNumberFormat="1" applyFont="1" applyBorder="1" applyAlignment="1">
      <alignment vertical="center"/>
    </xf>
    <xf numFmtId="0" fontId="22" fillId="0" borderId="8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27" fillId="0" borderId="3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0" fillId="12" borderId="24" xfId="28" applyFont="1" applyFill="1" applyBorder="1" applyAlignment="1" applyProtection="1">
      <alignment horizontal="left"/>
    </xf>
    <xf numFmtId="0" fontId="22" fillId="0" borderId="23" xfId="0" applyFont="1" applyBorder="1" applyAlignment="1">
      <alignment horizontal="center" vertical="center"/>
    </xf>
    <xf numFmtId="191" fontId="20" fillId="0" borderId="15" xfId="1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189" fontId="22" fillId="0" borderId="18" xfId="0" applyNumberFormat="1" applyFont="1" applyBorder="1" applyAlignment="1">
      <alignment horizontal="center" vertical="center"/>
    </xf>
    <xf numFmtId="191" fontId="22" fillId="0" borderId="18" xfId="0" applyNumberFormat="1" applyFont="1" applyBorder="1" applyAlignment="1">
      <alignment horizontal="center" vertical="center"/>
    </xf>
    <xf numFmtId="191" fontId="22" fillId="0" borderId="20" xfId="1" applyNumberFormat="1" applyFont="1" applyFill="1" applyBorder="1" applyAlignment="1">
      <alignment horizontal="right" vertical="center"/>
    </xf>
    <xf numFmtId="191" fontId="22" fillId="0" borderId="18" xfId="1" applyNumberFormat="1" applyFont="1" applyFill="1" applyBorder="1" applyAlignment="1">
      <alignment horizontal="right" vertical="center"/>
    </xf>
    <xf numFmtId="191" fontId="22" fillId="0" borderId="6" xfId="0" applyNumberFormat="1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 wrapText="1"/>
    </xf>
    <xf numFmtId="37" fontId="93" fillId="0" borderId="15" xfId="1" quotePrefix="1" applyNumberFormat="1" applyFont="1" applyFill="1" applyBorder="1" applyAlignment="1">
      <alignment horizontal="center" vertical="center" wrapText="1"/>
    </xf>
    <xf numFmtId="218" fontId="93" fillId="0" borderId="15" xfId="1" quotePrefix="1" applyNumberFormat="1" applyFont="1" applyFill="1" applyBorder="1" applyAlignment="1">
      <alignment horizontal="center" vertical="center" wrapText="1"/>
    </xf>
    <xf numFmtId="43" fontId="20" fillId="0" borderId="20" xfId="1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189" fontId="13" fillId="0" borderId="0" xfId="0" applyNumberFormat="1" applyFont="1" applyAlignment="1">
      <alignment horizontal="center"/>
    </xf>
    <xf numFmtId="192" fontId="117" fillId="0" borderId="0" xfId="0" applyNumberFormat="1" applyFont="1" applyAlignment="1">
      <alignment horizontal="center"/>
    </xf>
    <xf numFmtId="0" fontId="124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0" fontId="164" fillId="7" borderId="0" xfId="0" applyFont="1" applyFill="1" applyAlignment="1">
      <alignment horizontal="center"/>
    </xf>
    <xf numFmtId="0" fontId="201" fillId="12" borderId="1" xfId="28" applyFont="1" applyFill="1" applyBorder="1" applyAlignment="1" applyProtection="1">
      <alignment horizontal="left"/>
    </xf>
    <xf numFmtId="0" fontId="22" fillId="0" borderId="1" xfId="303" applyFont="1" applyBorder="1" applyAlignment="1">
      <alignment horizontal="left"/>
    </xf>
    <xf numFmtId="3" fontId="124" fillId="7" borderId="1" xfId="1" applyNumberFormat="1" applyFont="1" applyFill="1" applyBorder="1" applyAlignment="1">
      <alignment vertical="center" shrinkToFit="1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227" fontId="92" fillId="0" borderId="0" xfId="1" applyNumberFormat="1" applyFont="1" applyFill="1" applyBorder="1"/>
    <xf numFmtId="0" fontId="101" fillId="0" borderId="1" xfId="273" applyFont="1" applyBorder="1" applyAlignment="1">
      <alignment horizontal="left" vertical="center"/>
    </xf>
    <xf numFmtId="197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right" vertical="center"/>
    </xf>
    <xf numFmtId="191" fontId="221" fillId="0" borderId="0" xfId="1" applyNumberFormat="1" applyFont="1" applyAlignment="1">
      <alignment horizontal="center"/>
    </xf>
    <xf numFmtId="191" fontId="221" fillId="0" borderId="0" xfId="1" applyNumberFormat="1" applyFont="1"/>
    <xf numFmtId="224" fontId="222" fillId="7" borderId="0" xfId="1" applyNumberFormat="1" applyFont="1" applyFill="1" applyAlignment="1"/>
    <xf numFmtId="0" fontId="221" fillId="0" borderId="0" xfId="0" applyFont="1"/>
    <xf numFmtId="43" fontId="221" fillId="7" borderId="14" xfId="1" applyFont="1" applyFill="1" applyBorder="1" applyAlignment="1"/>
    <xf numFmtId="0" fontId="180" fillId="0" borderId="1" xfId="303" applyFont="1" applyBorder="1" applyAlignment="1">
      <alignment horizontal="left"/>
    </xf>
    <xf numFmtId="0" fontId="22" fillId="7" borderId="0" xfId="0" applyFont="1" applyFill="1" applyBorder="1"/>
    <xf numFmtId="193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64" fillId="7" borderId="1" xfId="0" applyFont="1" applyFill="1" applyBorder="1" applyAlignment="1">
      <alignment horizontal="center" vertical="distributed" wrapText="1"/>
    </xf>
    <xf numFmtId="193" fontId="164" fillId="7" borderId="1" xfId="1" applyNumberFormat="1" applyFont="1" applyFill="1" applyBorder="1" applyAlignment="1">
      <alignment horizontal="center" vertical="distributed" wrapText="1"/>
    </xf>
    <xf numFmtId="0" fontId="164" fillId="7" borderId="1" xfId="0" applyFont="1" applyFill="1" applyBorder="1" applyAlignment="1">
      <alignment horizontal="center" vertical="center" wrapText="1"/>
    </xf>
    <xf numFmtId="1" fontId="136" fillId="7" borderId="1" xfId="0" applyNumberFormat="1" applyFont="1" applyFill="1" applyBorder="1" applyAlignment="1">
      <alignment horizont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164" fillId="7" borderId="1" xfId="0" applyFont="1" applyFill="1" applyBorder="1" applyAlignment="1">
      <alignment horizontal="center" vertical="center"/>
    </xf>
    <xf numFmtId="3" fontId="164" fillId="7" borderId="1" xfId="0" applyNumberFormat="1" applyFont="1" applyFill="1" applyBorder="1" applyAlignment="1">
      <alignment horizontal="center" vertical="center"/>
    </xf>
    <xf numFmtId="0" fontId="164" fillId="7" borderId="1" xfId="0" applyFont="1" applyFill="1" applyBorder="1" applyAlignment="1">
      <alignment horizontal="left" vertical="center"/>
    </xf>
    <xf numFmtId="200" fontId="164" fillId="7" borderId="1" xfId="0" applyNumberFormat="1" applyFont="1" applyFill="1" applyBorder="1" applyAlignment="1">
      <alignment vertical="center"/>
    </xf>
    <xf numFmtId="188" fontId="164" fillId="7" borderId="1" xfId="1" applyNumberFormat="1" applyFont="1" applyFill="1" applyBorder="1" applyAlignment="1">
      <alignment vertical="center"/>
    </xf>
    <xf numFmtId="188" fontId="164" fillId="7" borderId="1" xfId="0" applyNumberFormat="1" applyFont="1" applyFill="1" applyBorder="1" applyAlignment="1">
      <alignment vertical="center"/>
    </xf>
    <xf numFmtId="200" fontId="164" fillId="7" borderId="1" xfId="0" applyNumberFormat="1" applyFont="1" applyFill="1" applyBorder="1" applyAlignment="1">
      <alignment horizontal="center" vertical="center"/>
    </xf>
    <xf numFmtId="191" fontId="164" fillId="7" borderId="1" xfId="1" applyNumberFormat="1" applyFont="1" applyFill="1" applyBorder="1" applyAlignment="1">
      <alignment horizontal="right" vertic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shrinkToFit="1"/>
    </xf>
    <xf numFmtId="3" fontId="136" fillId="7" borderId="1" xfId="1" applyNumberFormat="1" applyFont="1" applyFill="1" applyBorder="1" applyAlignment="1">
      <alignment vertical="center" shrinkToFit="1"/>
    </xf>
    <xf numFmtId="0" fontId="164" fillId="7" borderId="0" xfId="0" applyFont="1" applyFill="1"/>
    <xf numFmtId="193" fontId="164" fillId="7" borderId="0" xfId="1" applyNumberFormat="1" applyFont="1" applyFill="1"/>
    <xf numFmtId="192" fontId="164" fillId="7" borderId="0" xfId="1" applyNumberFormat="1" applyFont="1" applyFill="1" applyAlignment="1">
      <alignment horizontal="center"/>
    </xf>
    <xf numFmtId="192" fontId="164" fillId="7" borderId="0" xfId="1" applyNumberFormat="1" applyFont="1" applyFill="1"/>
    <xf numFmtId="192" fontId="224" fillId="7" borderId="0" xfId="0" applyNumberFormat="1" applyFont="1" applyFill="1" applyAlignment="1">
      <alignment vertical="center"/>
    </xf>
    <xf numFmtId="0" fontId="136" fillId="7" borderId="0" xfId="0" applyFont="1" applyFill="1" applyAlignment="1">
      <alignment vertical="center"/>
    </xf>
    <xf numFmtId="0" fontId="77" fillId="0" borderId="0" xfId="0" applyFont="1" applyAlignment="1">
      <alignment vertical="center"/>
    </xf>
    <xf numFmtId="192" fontId="164" fillId="7" borderId="0" xfId="0" applyNumberFormat="1" applyFont="1" applyFill="1"/>
    <xf numFmtId="200" fontId="164" fillId="7" borderId="0" xfId="0" applyNumberFormat="1" applyFont="1" applyFill="1"/>
    <xf numFmtId="189" fontId="136" fillId="7" borderId="0" xfId="0" applyNumberFormat="1" applyFont="1" applyFill="1" applyAlignment="1">
      <alignment vertical="center"/>
    </xf>
    <xf numFmtId="194" fontId="164" fillId="7" borderId="0" xfId="0" applyNumberFormat="1" applyFont="1" applyFill="1"/>
    <xf numFmtId="192" fontId="164" fillId="7" borderId="0" xfId="1" applyNumberFormat="1" applyFont="1" applyFill="1" applyAlignment="1">
      <alignment shrinkToFit="1"/>
    </xf>
    <xf numFmtId="0" fontId="101" fillId="12" borderId="1" xfId="28" applyFont="1" applyFill="1" applyBorder="1" applyAlignment="1" applyProtection="1">
      <alignment horizontal="left"/>
    </xf>
    <xf numFmtId="0" fontId="101" fillId="0" borderId="1" xfId="303" applyFont="1" applyBorder="1" applyAlignment="1">
      <alignment horizontal="left"/>
    </xf>
    <xf numFmtId="0" fontId="131" fillId="0" borderId="0" xfId="0" applyFont="1" applyBorder="1" applyAlignment="1">
      <alignment horizontal="center" vertical="center"/>
    </xf>
    <xf numFmtId="0" fontId="221" fillId="0" borderId="14" xfId="0" applyFont="1" applyBorder="1" applyAlignment="1"/>
    <xf numFmtId="0" fontId="77" fillId="0" borderId="14" xfId="0" applyFont="1" applyBorder="1" applyAlignment="1">
      <alignment horizontal="center"/>
    </xf>
    <xf numFmtId="203" fontId="20" fillId="3" borderId="0" xfId="8" applyNumberFormat="1" applyFont="1" applyFill="1" applyAlignment="1"/>
    <xf numFmtId="0" fontId="13" fillId="3" borderId="0" xfId="0" applyFont="1" applyFill="1" applyAlignment="1">
      <alignment horizontal="center"/>
    </xf>
    <xf numFmtId="0" fontId="61" fillId="0" borderId="0" xfId="0" applyFont="1"/>
    <xf numFmtId="203" fontId="11" fillId="3" borderId="0" xfId="8" applyNumberFormat="1" applyFont="1" applyFill="1" applyAlignment="1"/>
    <xf numFmtId="203" fontId="105" fillId="3" borderId="0" xfId="8" applyNumberFormat="1" applyFont="1" applyFill="1" applyAlignment="1"/>
    <xf numFmtId="203" fontId="226" fillId="3" borderId="0" xfId="8" applyNumberFormat="1" applyFont="1" applyFill="1" applyAlignment="1"/>
    <xf numFmtId="203" fontId="8" fillId="3" borderId="0" xfId="8" applyNumberFormat="1" applyFont="1" applyFill="1"/>
    <xf numFmtId="203" fontId="13" fillId="3" borderId="0" xfId="8" applyNumberFormat="1" applyFont="1" applyFill="1"/>
    <xf numFmtId="203" fontId="89" fillId="0" borderId="0" xfId="8" applyNumberFormat="1" applyFont="1" applyFill="1" applyAlignment="1">
      <alignment horizontal="center"/>
    </xf>
    <xf numFmtId="0" fontId="61" fillId="0" borderId="0" xfId="0" applyFont="1" applyFill="1"/>
    <xf numFmtId="0" fontId="14" fillId="0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>
      <alignment horizontal="center"/>
    </xf>
    <xf numFmtId="228" fontId="8" fillId="3" borderId="0" xfId="8" applyNumberFormat="1" applyFont="1" applyFill="1"/>
    <xf numFmtId="227" fontId="226" fillId="3" borderId="0" xfId="8" applyNumberFormat="1" applyFont="1" applyFill="1" applyAlignment="1">
      <alignment horizontal="center"/>
    </xf>
    <xf numFmtId="203" fontId="226" fillId="3" borderId="0" xfId="8" applyNumberFormat="1" applyFont="1" applyFill="1" applyAlignment="1">
      <alignment horizontal="center"/>
    </xf>
    <xf numFmtId="2" fontId="61" fillId="0" borderId="0" xfId="0" applyNumberFormat="1" applyFont="1"/>
    <xf numFmtId="0" fontId="13" fillId="0" borderId="0" xfId="0" applyFont="1" applyFill="1" applyAlignment="1"/>
    <xf numFmtId="0" fontId="16" fillId="3" borderId="0" xfId="0" applyFont="1" applyFill="1" applyBorder="1" applyAlignment="1">
      <alignment wrapText="1"/>
    </xf>
    <xf numFmtId="0" fontId="16" fillId="3" borderId="0" xfId="0" applyFont="1" applyFill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201" fontId="13" fillId="0" borderId="0" xfId="8" applyFont="1" applyFill="1" applyAlignment="1">
      <alignment horizontal="center"/>
    </xf>
    <xf numFmtId="4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4" fontId="13" fillId="0" borderId="1" xfId="0" applyNumberFormat="1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vertical="center" wrapText="1"/>
    </xf>
    <xf numFmtId="0" fontId="61" fillId="0" borderId="0" xfId="0" applyFont="1" applyBorder="1" applyAlignment="1"/>
    <xf numFmtId="0" fontId="227" fillId="0" borderId="0" xfId="0" applyFont="1"/>
    <xf numFmtId="0" fontId="228" fillId="0" borderId="0" xfId="0" applyFont="1" applyAlignment="1">
      <alignment horizontal="center"/>
    </xf>
    <xf numFmtId="0" fontId="228" fillId="0" borderId="0" xfId="0" applyFont="1" applyAlignment="1"/>
    <xf numFmtId="0" fontId="61" fillId="0" borderId="0" xfId="0" applyFont="1" applyAlignment="1">
      <alignment horizontal="center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24" fillId="7" borderId="29" xfId="0" applyFont="1" applyFill="1" applyBorder="1"/>
    <xf numFmtId="0" fontId="39" fillId="0" borderId="1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92" fillId="0" borderId="0" xfId="0" applyFont="1" applyFill="1"/>
    <xf numFmtId="0" fontId="77" fillId="0" borderId="1" xfId="0" applyFont="1" applyFill="1" applyBorder="1" applyAlignment="1">
      <alignment horizontal="center"/>
    </xf>
    <xf numFmtId="0" fontId="101" fillId="0" borderId="1" xfId="0" applyFont="1" applyFill="1" applyBorder="1" applyAlignment="1">
      <alignment horizontal="center" vertical="center"/>
    </xf>
    <xf numFmtId="0" fontId="101" fillId="0" borderId="1" xfId="0" applyFont="1" applyFill="1" applyBorder="1" applyAlignment="1">
      <alignment horizontal="left" vertical="center"/>
    </xf>
    <xf numFmtId="202" fontId="101" fillId="0" borderId="1" xfId="8" applyNumberFormat="1" applyFont="1" applyFill="1" applyBorder="1" applyAlignment="1">
      <alignment vertical="center" wrapText="1"/>
    </xf>
    <xf numFmtId="202" fontId="101" fillId="0" borderId="0" xfId="0" applyNumberFormat="1" applyFont="1" applyFill="1" applyBorder="1"/>
    <xf numFmtId="218" fontId="101" fillId="0" borderId="0" xfId="8" applyNumberFormat="1" applyFont="1" applyFill="1" applyBorder="1"/>
    <xf numFmtId="218" fontId="101" fillId="0" borderId="0" xfId="0" applyNumberFormat="1" applyFont="1" applyFill="1" applyBorder="1"/>
    <xf numFmtId="0" fontId="101" fillId="0" borderId="0" xfId="0" applyFont="1" applyFill="1" applyBorder="1"/>
    <xf numFmtId="0" fontId="77" fillId="0" borderId="1" xfId="0" applyFont="1" applyFill="1" applyBorder="1" applyAlignment="1">
      <alignment horizontal="center" vertical="center" wrapText="1"/>
    </xf>
    <xf numFmtId="202" fontId="77" fillId="0" borderId="1" xfId="0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/>
    </xf>
    <xf numFmtId="0" fontId="210" fillId="0" borderId="0" xfId="255" applyFont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66" fillId="7" borderId="1" xfId="255" applyFont="1" applyFill="1" applyBorder="1" applyAlignment="1">
      <alignment vertical="center"/>
    </xf>
    <xf numFmtId="1" fontId="114" fillId="0" borderId="1" xfId="255" applyNumberFormat="1" applyFont="1" applyBorder="1"/>
    <xf numFmtId="0" fontId="20" fillId="0" borderId="0" xfId="0" applyFont="1" applyFill="1" applyAlignment="1">
      <alignment horizontal="center"/>
    </xf>
    <xf numFmtId="0" fontId="178" fillId="0" borderId="1" xfId="303" applyFont="1" applyBorder="1" applyAlignment="1">
      <alignment horizontal="left"/>
    </xf>
    <xf numFmtId="3" fontId="178" fillId="7" borderId="1" xfId="0" applyNumberFormat="1" applyFont="1" applyFill="1" applyBorder="1" applyAlignment="1">
      <alignment horizontal="center" vertical="center"/>
    </xf>
    <xf numFmtId="0" fontId="178" fillId="7" borderId="1" xfId="0" applyFont="1" applyFill="1" applyBorder="1" applyAlignment="1">
      <alignment horizontal="left" vertical="center"/>
    </xf>
    <xf numFmtId="191" fontId="178" fillId="7" borderId="1" xfId="1" applyNumberFormat="1" applyFont="1" applyFill="1" applyBorder="1" applyAlignment="1">
      <alignment horizontal="right" vertical="center" wrapText="1"/>
    </xf>
    <xf numFmtId="0" fontId="178" fillId="7" borderId="0" xfId="0" applyFont="1" applyFill="1" applyBorder="1" applyAlignment="1">
      <alignment vertical="center"/>
    </xf>
    <xf numFmtId="0" fontId="178" fillId="12" borderId="1" xfId="28" applyFont="1" applyFill="1" applyBorder="1" applyAlignment="1" applyProtection="1">
      <alignment horizontal="left"/>
    </xf>
    <xf numFmtId="0" fontId="178" fillId="7" borderId="0" xfId="0" applyFont="1" applyFill="1" applyBorder="1"/>
    <xf numFmtId="0" fontId="22" fillId="0" borderId="0" xfId="0" applyFont="1" applyFill="1" applyAlignment="1">
      <alignment horizontal="center"/>
    </xf>
    <xf numFmtId="188" fontId="230" fillId="0" borderId="0" xfId="8" applyNumberFormat="1" applyFont="1" applyFill="1" applyAlignment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218" fontId="10" fillId="0" borderId="0" xfId="8" applyNumberFormat="1" applyFont="1" applyFill="1"/>
    <xf numFmtId="0" fontId="8" fillId="0" borderId="0" xfId="0" applyFont="1" applyFill="1"/>
    <xf numFmtId="203" fontId="20" fillId="0" borderId="0" xfId="8" applyNumberFormat="1" applyFont="1" applyFill="1" applyAlignment="1"/>
    <xf numFmtId="0" fontId="22" fillId="0" borderId="0" xfId="0" applyFont="1" applyFill="1"/>
    <xf numFmtId="218" fontId="22" fillId="0" borderId="0" xfId="8" applyNumberFormat="1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218" fontId="8" fillId="0" borderId="0" xfId="8" applyNumberFormat="1" applyFont="1" applyFill="1"/>
    <xf numFmtId="218" fontId="20" fillId="0" borderId="1" xfId="8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vertical="center"/>
    </xf>
    <xf numFmtId="188" fontId="20" fillId="0" borderId="1" xfId="8" applyNumberFormat="1" applyFont="1" applyFill="1" applyBorder="1" applyAlignment="1">
      <alignment horizontal="right" vertical="center" shrinkToFit="1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8" fontId="22" fillId="0" borderId="1" xfId="0" quotePrefix="1" applyNumberFormat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vertical="center"/>
    </xf>
    <xf numFmtId="188" fontId="22" fillId="0" borderId="1" xfId="8" applyNumberFormat="1" applyFont="1" applyFill="1" applyBorder="1" applyAlignment="1">
      <alignment horizontal="right" vertical="center" shrinkToFit="1"/>
    </xf>
    <xf numFmtId="0" fontId="22" fillId="0" borderId="1" xfId="0" applyFont="1" applyFill="1" applyBorder="1" applyAlignment="1">
      <alignment vertical="center"/>
    </xf>
    <xf numFmtId="21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202" fontId="20" fillId="0" borderId="1" xfId="8" applyNumberFormat="1" applyFont="1" applyFill="1" applyBorder="1" applyAlignment="1">
      <alignment horizontal="right" vertical="center" shrinkToFit="1"/>
    </xf>
    <xf numFmtId="202" fontId="2" fillId="0" borderId="0" xfId="0" applyNumberFormat="1" applyFont="1" applyFill="1" applyAlignment="1">
      <alignment vertical="center"/>
    </xf>
    <xf numFmtId="0" fontId="22" fillId="0" borderId="1" xfId="0" quotePrefix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horizontal="left" vertical="center"/>
    </xf>
    <xf numFmtId="38" fontId="2" fillId="0" borderId="0" xfId="0" applyNumberFormat="1" applyFont="1" applyFill="1" applyAlignment="1">
      <alignment vertical="center"/>
    </xf>
    <xf numFmtId="202" fontId="22" fillId="0" borderId="1" xfId="8" applyNumberFormat="1" applyFont="1" applyFill="1" applyBorder="1" applyAlignment="1">
      <alignment vertical="center" shrinkToFit="1"/>
    </xf>
    <xf numFmtId="188" fontId="129" fillId="0" borderId="1" xfId="0" applyNumberFormat="1" applyFont="1" applyFill="1" applyBorder="1" applyAlignment="1">
      <alignment vertical="center"/>
    </xf>
    <xf numFmtId="0" fontId="129" fillId="0" borderId="0" xfId="0" applyFont="1" applyFill="1" applyBorder="1" applyAlignment="1">
      <alignment horizontal="right"/>
    </xf>
    <xf numFmtId="218" fontId="129" fillId="0" borderId="0" xfId="8" applyNumberFormat="1" applyFont="1" applyFill="1" applyBorder="1"/>
    <xf numFmtId="0" fontId="129" fillId="0" borderId="0" xfId="0" applyFont="1" applyFill="1" applyAlignment="1">
      <alignment vertical="center"/>
    </xf>
    <xf numFmtId="0" fontId="20" fillId="0" borderId="1" xfId="0" applyFont="1" applyFill="1" applyBorder="1" applyAlignment="1">
      <alignment horizontal="right"/>
    </xf>
    <xf numFmtId="218" fontId="11" fillId="0" borderId="0" xfId="8" applyNumberFormat="1" applyFont="1" applyFill="1" applyBorder="1"/>
    <xf numFmtId="0" fontId="2" fillId="0" borderId="0" xfId="0" applyFont="1" applyFill="1" applyBorder="1" applyAlignment="1">
      <alignment vertical="center"/>
    </xf>
    <xf numFmtId="218" fontId="20" fillId="0" borderId="1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/>
    </xf>
    <xf numFmtId="3" fontId="10" fillId="0" borderId="0" xfId="0" applyNumberFormat="1" applyFont="1" applyFill="1"/>
    <xf numFmtId="188" fontId="10" fillId="0" borderId="0" xfId="0" applyNumberFormat="1" applyFont="1" applyFill="1"/>
    <xf numFmtId="0" fontId="20" fillId="0" borderId="0" xfId="0" applyFont="1" applyFill="1" applyAlignment="1"/>
    <xf numFmtId="3" fontId="2" fillId="0" borderId="0" xfId="0" applyNumberFormat="1" applyFont="1" applyFill="1"/>
    <xf numFmtId="0" fontId="2" fillId="0" borderId="0" xfId="0" applyFont="1" applyFill="1"/>
    <xf numFmtId="0" fontId="20" fillId="0" borderId="0" xfId="0" applyFont="1" applyFill="1" applyAlignment="1">
      <alignment horizontal="left"/>
    </xf>
    <xf numFmtId="218" fontId="20" fillId="0" borderId="0" xfId="8" applyNumberFormat="1" applyFont="1" applyFill="1" applyAlignment="1">
      <alignment horizontal="center"/>
    </xf>
    <xf numFmtId="0" fontId="20" fillId="0" borderId="0" xfId="0" applyFont="1" applyFill="1" applyAlignment="1">
      <alignment horizontal="right"/>
    </xf>
    <xf numFmtId="202" fontId="20" fillId="0" borderId="0" xfId="0" applyNumberFormat="1" applyFont="1" applyFill="1" applyAlignment="1">
      <alignment horizontal="left"/>
    </xf>
    <xf numFmtId="202" fontId="10" fillId="0" borderId="0" xfId="0" applyNumberFormat="1" applyFont="1" applyFill="1"/>
    <xf numFmtId="202" fontId="22" fillId="0" borderId="0" xfId="0" applyNumberFormat="1" applyFont="1" applyFill="1"/>
    <xf numFmtId="0" fontId="22" fillId="0" borderId="0" xfId="0" applyFont="1" applyFill="1" applyAlignment="1">
      <alignment horizontal="right"/>
    </xf>
    <xf numFmtId="189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 applyAlignment="1"/>
    <xf numFmtId="192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/>
    <xf numFmtId="202" fontId="22" fillId="0" borderId="0" xfId="0" applyNumberFormat="1" applyFont="1" applyFill="1" applyAlignment="1"/>
    <xf numFmtId="188" fontId="22" fillId="0" borderId="0" xfId="0" applyNumberFormat="1" applyFont="1" applyFill="1"/>
    <xf numFmtId="189" fontId="22" fillId="0" borderId="0" xfId="0" applyNumberFormat="1" applyFont="1" applyFill="1" applyAlignment="1"/>
    <xf numFmtId="0" fontId="22" fillId="0" borderId="0" xfId="0" applyFont="1" applyFill="1" applyAlignment="1"/>
    <xf numFmtId="218" fontId="22" fillId="0" borderId="0" xfId="8" applyNumberFormat="1" applyFont="1" applyFill="1" applyAlignment="1">
      <alignment horizontal="center"/>
    </xf>
    <xf numFmtId="218" fontId="22" fillId="0" borderId="0" xfId="8" applyNumberFormat="1" applyFont="1" applyFill="1" applyAlignment="1"/>
    <xf numFmtId="3" fontId="22" fillId="0" borderId="0" xfId="0" applyNumberFormat="1" applyFont="1" applyFill="1"/>
    <xf numFmtId="218" fontId="10" fillId="0" borderId="0" xfId="8" applyNumberFormat="1" applyFont="1" applyFill="1" applyAlignment="1">
      <alignment horizontal="center"/>
    </xf>
    <xf numFmtId="192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9" fontId="10" fillId="0" borderId="0" xfId="0" applyNumberFormat="1" applyFont="1" applyFill="1"/>
    <xf numFmtId="4" fontId="10" fillId="0" borderId="0" xfId="0" applyNumberFormat="1" applyFont="1" applyFill="1"/>
    <xf numFmtId="192" fontId="10" fillId="0" borderId="0" xfId="0" applyNumberFormat="1" applyFont="1" applyFill="1"/>
    <xf numFmtId="0" fontId="22" fillId="3" borderId="1" xfId="0" applyFont="1" applyFill="1" applyBorder="1" applyAlignment="1">
      <alignment horizontal="center" vertical="center" shrinkToFit="1"/>
    </xf>
    <xf numFmtId="0" fontId="127" fillId="3" borderId="1" xfId="0" applyFont="1" applyFill="1" applyBorder="1" applyAlignment="1">
      <alignment horizontal="center" vertical="center" shrinkToFit="1"/>
    </xf>
    <xf numFmtId="192" fontId="23" fillId="0" borderId="0" xfId="0" applyNumberFormat="1" applyFont="1" applyBorder="1" applyAlignment="1"/>
    <xf numFmtId="0" fontId="188" fillId="0" borderId="1" xfId="0" applyFont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 wrapText="1"/>
    </xf>
    <xf numFmtId="192" fontId="173" fillId="7" borderId="1" xfId="1" applyNumberFormat="1" applyFont="1" applyFill="1" applyBorder="1" applyAlignment="1">
      <alignment horizontal="center" vertical="center" wrapText="1"/>
    </xf>
    <xf numFmtId="0" fontId="101" fillId="7" borderId="1" xfId="1" applyNumberFormat="1" applyFont="1" applyFill="1" applyBorder="1" applyAlignment="1">
      <alignment horizontal="center" vertical="center" wrapText="1"/>
    </xf>
    <xf numFmtId="189" fontId="100" fillId="0" borderId="1" xfId="0" applyNumberFormat="1" applyFont="1" applyBorder="1" applyAlignment="1">
      <alignment horizontal="center" vertical="center" shrinkToFit="1"/>
    </xf>
    <xf numFmtId="189" fontId="22" fillId="3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 shrinkToFit="1"/>
    </xf>
    <xf numFmtId="189" fontId="100" fillId="7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/>
    </xf>
    <xf numFmtId="37" fontId="92" fillId="7" borderId="1" xfId="1" applyNumberFormat="1" applyFont="1" applyFill="1" applyBorder="1" applyAlignment="1">
      <alignment horizontal="center" vertical="center" shrinkToFit="1"/>
    </xf>
    <xf numFmtId="43" fontId="92" fillId="7" borderId="1" xfId="1" applyFont="1" applyFill="1" applyBorder="1" applyAlignment="1">
      <alignment horizontal="center" vertical="center" shrinkToFit="1"/>
    </xf>
    <xf numFmtId="191" fontId="22" fillId="7" borderId="1" xfId="1" applyNumberFormat="1" applyFont="1" applyFill="1" applyBorder="1" applyAlignment="1">
      <alignment horizontal="center" vertical="center"/>
    </xf>
    <xf numFmtId="43" fontId="22" fillId="7" borderId="1" xfId="1" applyFont="1" applyFill="1" applyBorder="1" applyAlignment="1">
      <alignment horizontal="center" vertical="center" shrinkToFit="1"/>
    </xf>
    <xf numFmtId="195" fontId="20" fillId="3" borderId="1" xfId="0" applyNumberFormat="1" applyFont="1" applyFill="1" applyBorder="1" applyAlignment="1">
      <alignment horizontal="center" vertical="center" shrinkToFit="1"/>
    </xf>
    <xf numFmtId="189" fontId="127" fillId="0" borderId="1" xfId="0" applyNumberFormat="1" applyFont="1" applyBorder="1" applyAlignment="1">
      <alignment horizontal="center" vertical="center" shrinkToFit="1"/>
    </xf>
    <xf numFmtId="189" fontId="127" fillId="3" borderId="1" xfId="0" applyNumberFormat="1" applyFont="1" applyFill="1" applyBorder="1" applyAlignment="1">
      <alignment horizontal="center" vertical="center" shrinkToFit="1"/>
    </xf>
    <xf numFmtId="189" fontId="127" fillId="7" borderId="1" xfId="0" applyNumberFormat="1" applyFont="1" applyFill="1" applyBorder="1" applyAlignment="1">
      <alignment horizontal="center" vertical="center" shrinkToFit="1"/>
    </xf>
    <xf numFmtId="37" fontId="127" fillId="7" borderId="1" xfId="1" applyNumberFormat="1" applyFont="1" applyFill="1" applyBorder="1" applyAlignment="1">
      <alignment horizontal="center" vertical="center" shrinkToFit="1"/>
    </xf>
    <xf numFmtId="43" fontId="127" fillId="7" borderId="1" xfId="1" applyFont="1" applyFill="1" applyBorder="1" applyAlignment="1">
      <alignment horizontal="center" vertical="center" shrinkToFit="1"/>
    </xf>
    <xf numFmtId="191" fontId="127" fillId="7" borderId="1" xfId="1" applyNumberFormat="1" applyFont="1" applyFill="1" applyBorder="1" applyAlignment="1">
      <alignment horizontal="center" vertical="center"/>
    </xf>
    <xf numFmtId="195" fontId="129" fillId="3" borderId="1" xfId="0" applyNumberFormat="1" applyFont="1" applyFill="1" applyBorder="1" applyAlignment="1">
      <alignment horizontal="center" vertical="center" shrinkToFit="1"/>
    </xf>
    <xf numFmtId="0" fontId="22" fillId="7" borderId="1" xfId="0" applyFont="1" applyFill="1" applyBorder="1" applyAlignment="1">
      <alignment horizontal="center" vertical="center" shrinkToFit="1"/>
    </xf>
    <xf numFmtId="0" fontId="13" fillId="7" borderId="1" xfId="303" applyFont="1" applyFill="1" applyBorder="1" applyAlignment="1">
      <alignment horizontal="left"/>
    </xf>
    <xf numFmtId="195" fontId="20" fillId="7" borderId="1" xfId="0" applyNumberFormat="1" applyFont="1" applyFill="1" applyBorder="1" applyAlignment="1">
      <alignment horizontal="center" vertical="center" shrinkToFit="1"/>
    </xf>
    <xf numFmtId="195" fontId="129" fillId="7" borderId="1" xfId="0" applyNumberFormat="1" applyFont="1" applyFill="1" applyBorder="1" applyAlignment="1">
      <alignment horizontal="center" vertical="center" shrinkToFit="1"/>
    </xf>
    <xf numFmtId="195" fontId="20" fillId="0" borderId="1" xfId="0" applyNumberFormat="1" applyFont="1" applyBorder="1" applyAlignment="1">
      <alignment horizontal="center" vertical="center" shrinkToFit="1"/>
    </xf>
    <xf numFmtId="43" fontId="20" fillId="0" borderId="1" xfId="1" applyFont="1" applyFill="1" applyBorder="1" applyAlignment="1">
      <alignment horizontal="center" vertical="center"/>
    </xf>
    <xf numFmtId="193" fontId="22" fillId="7" borderId="1" xfId="1" applyNumberFormat="1" applyFont="1" applyFill="1" applyBorder="1" applyAlignment="1">
      <alignment horizontal="center" vertical="center"/>
    </xf>
    <xf numFmtId="4" fontId="106" fillId="0" borderId="1" xfId="1" applyNumberFormat="1" applyFont="1" applyFill="1" applyBorder="1" applyAlignment="1">
      <alignment horizontal="center" vertical="center"/>
    </xf>
    <xf numFmtId="0" fontId="164" fillId="7" borderId="1" xfId="25" applyFont="1" applyFill="1" applyBorder="1" applyAlignment="1">
      <alignment horizontal="center" vertical="center"/>
    </xf>
    <xf numFmtId="3" fontId="164" fillId="7" borderId="1" xfId="25" applyNumberFormat="1" applyFont="1" applyFill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92" fillId="3" borderId="1" xfId="0" applyFont="1" applyFill="1" applyBorder="1" applyAlignment="1">
      <alignment horizontal="center"/>
    </xf>
    <xf numFmtId="0" fontId="173" fillId="7" borderId="1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22" fillId="0" borderId="0" xfId="0" applyFont="1" applyFill="1" applyBorder="1" applyAlignment="1">
      <alignment horizontal="right"/>
    </xf>
    <xf numFmtId="218" fontId="22" fillId="0" borderId="0" xfId="8" applyNumberFormat="1" applyFont="1" applyFill="1" applyBorder="1"/>
    <xf numFmtId="0" fontId="22" fillId="0" borderId="0" xfId="0" applyFont="1" applyFill="1" applyAlignment="1">
      <alignment vertical="center"/>
    </xf>
    <xf numFmtId="0" fontId="114" fillId="0" borderId="0" xfId="0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114" fillId="0" borderId="0" xfId="0" applyFont="1" applyAlignment="1">
      <alignment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1" fontId="189" fillId="0" borderId="0" xfId="0" applyNumberFormat="1" applyFont="1"/>
    <xf numFmtId="1" fontId="0" fillId="0" borderId="0" xfId="0" applyNumberFormat="1"/>
    <xf numFmtId="1" fontId="83" fillId="0" borderId="0" xfId="0" applyNumberFormat="1" applyFont="1"/>
    <xf numFmtId="1" fontId="8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center" vertical="center" wrapText="1"/>
    </xf>
    <xf numFmtId="1" fontId="189" fillId="0" borderId="1" xfId="0" applyNumberFormat="1" applyFont="1" applyBorder="1" applyAlignment="1">
      <alignment horizontal="center"/>
    </xf>
    <xf numFmtId="192" fontId="22" fillId="7" borderId="1" xfId="0" applyNumberFormat="1" applyFont="1" applyFill="1" applyBorder="1" applyAlignment="1">
      <alignment horizontal="center" vertical="center" shrinkToFit="1"/>
    </xf>
    <xf numFmtId="192" fontId="77" fillId="3" borderId="1" xfId="0" applyNumberFormat="1" applyFont="1" applyFill="1" applyBorder="1" applyAlignment="1">
      <alignment horizontal="center" vertical="center" shrinkToFit="1"/>
    </xf>
    <xf numFmtId="193" fontId="127" fillId="7" borderId="1" xfId="0" applyNumberFormat="1" applyFont="1" applyFill="1" applyBorder="1" applyAlignment="1">
      <alignment horizontal="center" vertical="center" shrinkToFit="1"/>
    </xf>
    <xf numFmtId="212" fontId="20" fillId="0" borderId="1" xfId="1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0" fontId="202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191" fontId="93" fillId="0" borderId="1" xfId="1" applyNumberFormat="1" applyFont="1" applyBorder="1" applyAlignment="1">
      <alignment horizontal="center" vertical="center"/>
    </xf>
    <xf numFmtId="3" fontId="56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0" fontId="199" fillId="0" borderId="0" xfId="0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applyNumberFormat="1" applyFont="1" applyFill="1" applyBorder="1" applyAlignment="1">
      <alignment horizontal="center" vertical="center" wrapText="1"/>
    </xf>
    <xf numFmtId="195" fontId="201" fillId="0" borderId="0" xfId="0" quotePrefix="1" applyNumberFormat="1" applyFont="1" applyFill="1" applyBorder="1" applyAlignment="1">
      <alignment horizontal="center" vertical="center" wrapText="1"/>
    </xf>
    <xf numFmtId="3" fontId="181" fillId="0" borderId="6" xfId="0" applyNumberFormat="1" applyFont="1" applyFill="1" applyBorder="1" applyAlignment="1">
      <alignment horizontal="center" vertical="center" wrapText="1"/>
    </xf>
    <xf numFmtId="0" fontId="201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quotePrefix="1" applyNumberFormat="1" applyFont="1" applyFill="1" applyBorder="1" applyAlignment="1">
      <alignment horizontal="center" vertical="center"/>
    </xf>
    <xf numFmtId="4" fontId="199" fillId="0" borderId="6" xfId="10" applyNumberFormat="1" applyFont="1" applyFill="1" applyBorder="1" applyAlignment="1">
      <alignment horizontal="center" vertical="center"/>
    </xf>
    <xf numFmtId="4" fontId="199" fillId="0" borderId="0" xfId="10" applyNumberFormat="1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197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201" fillId="0" borderId="0" xfId="10" applyNumberFormat="1" applyFont="1" applyFill="1" applyBorder="1" applyAlignment="1">
      <alignment horizontal="center" vertical="center"/>
    </xf>
    <xf numFmtId="4" fontId="201" fillId="0" borderId="6" xfId="10" applyNumberFormat="1" applyFont="1" applyFill="1" applyBorder="1" applyAlignment="1">
      <alignment horizontal="center" vertical="center"/>
    </xf>
    <xf numFmtId="0" fontId="201" fillId="7" borderId="6" xfId="273" applyFont="1" applyFill="1" applyBorder="1" applyAlignment="1">
      <alignment vertical="center" wrapText="1"/>
    </xf>
    <xf numFmtId="3" fontId="182" fillId="0" borderId="6" xfId="0" quotePrefix="1" applyNumberFormat="1" applyFont="1" applyFill="1" applyBorder="1" applyAlignment="1">
      <alignment horizontal="center" vertical="center"/>
    </xf>
    <xf numFmtId="0" fontId="19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1" fontId="182" fillId="7" borderId="6" xfId="1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/>
    </xf>
    <xf numFmtId="0" fontId="201" fillId="0" borderId="0" xfId="0" quotePrefix="1" applyNumberFormat="1" applyFont="1" applyFill="1" applyBorder="1" applyAlignment="1">
      <alignment horizontal="center" vertical="center"/>
    </xf>
    <xf numFmtId="2" fontId="179" fillId="0" borderId="17" xfId="0" applyNumberFormat="1" applyFont="1" applyFill="1" applyBorder="1" applyAlignment="1">
      <alignment horizontal="center" vertical="center" wrapText="1"/>
    </xf>
    <xf numFmtId="2" fontId="183" fillId="0" borderId="0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2" fontId="11" fillId="0" borderId="0" xfId="0" applyNumberFormat="1" applyFont="1" applyFill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79" fillId="0" borderId="0" xfId="0" applyFont="1" applyFill="1" applyAlignment="1">
      <alignment horizontal="center" vertical="center"/>
    </xf>
    <xf numFmtId="2" fontId="28" fillId="0" borderId="0" xfId="0" applyNumberFormat="1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3" fontId="56" fillId="0" borderId="0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232" fillId="0" borderId="0" xfId="0" applyFont="1"/>
    <xf numFmtId="4" fontId="180" fillId="0" borderId="6" xfId="0" quotePrefix="1" applyNumberFormat="1" applyFont="1" applyFill="1" applyBorder="1" applyAlignment="1">
      <alignment horizontal="center" vertical="center"/>
    </xf>
    <xf numFmtId="4" fontId="199" fillId="0" borderId="23" xfId="1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43" fontId="203" fillId="0" borderId="0" xfId="10" applyFont="1"/>
    <xf numFmtId="3" fontId="204" fillId="0" borderId="6" xfId="0" quotePrefix="1" applyNumberFormat="1" applyFont="1" applyFill="1" applyBorder="1" applyAlignment="1">
      <alignment horizontal="center" vertical="center"/>
    </xf>
    <xf numFmtId="43" fontId="203" fillId="0" borderId="1" xfId="10" applyFont="1" applyBorder="1" applyAlignment="1">
      <alignment horizontal="center" vertical="center"/>
    </xf>
    <xf numFmtId="4" fontId="197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101" fillId="0" borderId="18" xfId="305" applyNumberFormat="1" applyFont="1" applyFill="1" applyBorder="1" applyAlignment="1">
      <alignment horizontal="right" vertical="center" wrapText="1"/>
    </xf>
    <xf numFmtId="197" fontId="201" fillId="0" borderId="22" xfId="0" applyNumberFormat="1" applyFont="1" applyFill="1" applyBorder="1" applyAlignment="1">
      <alignment horizontal="center" vertical="center" wrapText="1"/>
    </xf>
    <xf numFmtId="197" fontId="197" fillId="0" borderId="0" xfId="0" applyNumberFormat="1" applyFont="1"/>
    <xf numFmtId="2" fontId="180" fillId="0" borderId="23" xfId="0" applyNumberFormat="1" applyFont="1" applyFill="1" applyBorder="1" applyAlignment="1">
      <alignment vertical="center"/>
    </xf>
    <xf numFmtId="1" fontId="180" fillId="7" borderId="6" xfId="10" applyNumberFormat="1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horizontal="center" vertical="center" wrapText="1"/>
    </xf>
    <xf numFmtId="2" fontId="180" fillId="0" borderId="23" xfId="0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 wrapText="1"/>
    </xf>
    <xf numFmtId="0" fontId="201" fillId="0" borderId="23" xfId="0" quotePrefix="1" applyNumberFormat="1" applyFont="1" applyFill="1" applyBorder="1" applyAlignment="1">
      <alignment horizontal="center" vertical="center"/>
    </xf>
    <xf numFmtId="0" fontId="80" fillId="0" borderId="0" xfId="0" applyFont="1"/>
    <xf numFmtId="195" fontId="180" fillId="0" borderId="23" xfId="0" applyNumberFormat="1" applyFont="1" applyFill="1" applyBorder="1" applyAlignment="1">
      <alignment horizontal="center" vertical="center"/>
    </xf>
    <xf numFmtId="0" fontId="205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center" vertical="center"/>
    </xf>
    <xf numFmtId="192" fontId="22" fillId="0" borderId="0" xfId="1" applyNumberFormat="1" applyFont="1" applyFill="1" applyBorder="1"/>
    <xf numFmtId="0" fontId="22" fillId="0" borderId="0" xfId="0" applyFont="1" applyBorder="1"/>
    <xf numFmtId="43" fontId="22" fillId="0" borderId="0" xfId="0" applyNumberFormat="1" applyFont="1" applyBorder="1"/>
    <xf numFmtId="191" fontId="22" fillId="0" borderId="0" xfId="0" applyNumberFormat="1" applyFont="1" applyBorder="1"/>
    <xf numFmtId="3" fontId="22" fillId="0" borderId="0" xfId="0" applyNumberFormat="1" applyFont="1" applyBorder="1"/>
    <xf numFmtId="0" fontId="136" fillId="7" borderId="0" xfId="1" applyNumberFormat="1" applyFont="1" applyFill="1" applyBorder="1" applyAlignment="1">
      <alignment horizontal="center" vertical="center" wrapText="1"/>
    </xf>
    <xf numFmtId="191" fontId="22" fillId="0" borderId="0" xfId="1" applyNumberFormat="1" applyFont="1" applyFill="1" applyBorder="1"/>
    <xf numFmtId="3" fontId="22" fillId="11" borderId="0" xfId="0" applyNumberFormat="1" applyFont="1" applyFill="1" applyBorder="1"/>
    <xf numFmtId="215" fontId="22" fillId="0" borderId="0" xfId="0" applyNumberFormat="1" applyFont="1" applyBorder="1"/>
    <xf numFmtId="43" fontId="22" fillId="0" borderId="0" xfId="1" applyFont="1" applyFill="1" applyBorder="1"/>
    <xf numFmtId="216" fontId="22" fillId="0" borderId="0" xfId="0" applyNumberFormat="1" applyFont="1" applyBorder="1"/>
    <xf numFmtId="0" fontId="20" fillId="0" borderId="0" xfId="0" applyFont="1" applyBorder="1" applyAlignment="1">
      <alignment vertical="center"/>
    </xf>
    <xf numFmtId="0" fontId="124" fillId="0" borderId="0" xfId="0" applyFont="1" applyBorder="1"/>
    <xf numFmtId="217" fontId="22" fillId="0" borderId="0" xfId="0" applyNumberFormat="1" applyFont="1" applyBorder="1"/>
    <xf numFmtId="43" fontId="178" fillId="7" borderId="0" xfId="1" applyFont="1" applyFill="1" applyBorder="1" applyAlignment="1"/>
    <xf numFmtId="43" fontId="22" fillId="0" borderId="0" xfId="1" applyFont="1" applyFill="1" applyBorder="1" applyAlignment="1">
      <alignment horizontal="center"/>
    </xf>
    <xf numFmtId="192" fontId="22" fillId="0" borderId="0" xfId="1" applyNumberFormat="1" applyFont="1" applyFill="1" applyBorder="1" applyAlignment="1">
      <alignment horizontal="center"/>
    </xf>
    <xf numFmtId="4" fontId="77" fillId="0" borderId="1" xfId="1" applyNumberFormat="1" applyFont="1" applyFill="1" applyBorder="1" applyAlignment="1">
      <alignment horizontal="center"/>
    </xf>
    <xf numFmtId="212" fontId="77" fillId="0" borderId="1" xfId="1" applyNumberFormat="1" applyFont="1" applyBorder="1" applyAlignment="1">
      <alignment horizontal="center"/>
    </xf>
    <xf numFmtId="191" fontId="77" fillId="0" borderId="1" xfId="1" applyNumberFormat="1" applyFont="1" applyFill="1" applyBorder="1" applyAlignment="1">
      <alignment horizontal="center"/>
    </xf>
    <xf numFmtId="191" fontId="77" fillId="0" borderId="1" xfId="1" applyNumberFormat="1" applyFont="1" applyBorder="1" applyAlignment="1">
      <alignment horizontal="center"/>
    </xf>
    <xf numFmtId="191" fontId="77" fillId="0" borderId="1" xfId="1" applyNumberFormat="1" applyFont="1" applyBorder="1" applyAlignment="1">
      <alignment horizontal="right"/>
    </xf>
    <xf numFmtId="43" fontId="77" fillId="0" borderId="1" xfId="1" applyFont="1" applyBorder="1" applyAlignment="1">
      <alignment horizontal="right"/>
    </xf>
    <xf numFmtId="0" fontId="77" fillId="0" borderId="0" xfId="0" applyFont="1"/>
    <xf numFmtId="43" fontId="77" fillId="0" borderId="0" xfId="0" applyNumberFormat="1" applyFont="1" applyBorder="1"/>
    <xf numFmtId="0" fontId="77" fillId="0" borderId="0" xfId="0" applyFont="1" applyBorder="1"/>
    <xf numFmtId="3" fontId="77" fillId="0" borderId="0" xfId="0" applyNumberFormat="1" applyFont="1" applyBorder="1"/>
    <xf numFmtId="0" fontId="147" fillId="0" borderId="0" xfId="0" applyFont="1" applyAlignment="1">
      <alignment vertical="center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24" fillId="7" borderId="0" xfId="0" applyNumberFormat="1" applyFont="1" applyFill="1" applyAlignment="1">
      <alignment horizontal="center" vertical="center"/>
    </xf>
    <xf numFmtId="191" fontId="129" fillId="7" borderId="0" xfId="1" applyNumberFormat="1" applyFont="1" applyFill="1" applyAlignment="1">
      <alignment horizontal="center" vertical="center"/>
    </xf>
    <xf numFmtId="0" fontId="65" fillId="0" borderId="0" xfId="0" applyFont="1" applyAlignment="1"/>
    <xf numFmtId="0" fontId="124" fillId="7" borderId="0" xfId="0" applyFont="1" applyFill="1" applyAlignment="1"/>
    <xf numFmtId="191" fontId="1" fillId="0" borderId="1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213" fontId="4" fillId="0" borderId="6" xfId="1" applyNumberFormat="1" applyFont="1" applyBorder="1" applyAlignment="1">
      <alignment horizontal="center" vertical="center"/>
    </xf>
    <xf numFmtId="192" fontId="171" fillId="0" borderId="0" xfId="1" applyNumberFormat="1" applyFont="1" applyFill="1"/>
    <xf numFmtId="218" fontId="175" fillId="0" borderId="0" xfId="1" applyNumberFormat="1" applyFont="1" applyFill="1" applyBorder="1" applyAlignment="1"/>
    <xf numFmtId="0" fontId="23" fillId="0" borderId="0" xfId="255" applyFont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218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2" fontId="136" fillId="7" borderId="0" xfId="1" applyNumberFormat="1" applyFont="1" applyFill="1" applyBorder="1" applyAlignment="1">
      <alignment horizontal="center" vertical="center" wrapText="1"/>
    </xf>
    <xf numFmtId="0" fontId="164" fillId="7" borderId="0" xfId="0" applyFont="1" applyFill="1" applyBorder="1" applyAlignment="1">
      <alignment horizontal="center" vertical="center" wrapText="1"/>
    </xf>
    <xf numFmtId="1" fontId="136" fillId="7" borderId="0" xfId="0" applyNumberFormat="1" applyFont="1" applyFill="1" applyBorder="1" applyAlignment="1">
      <alignment horizontal="center" vertical="center" wrapText="1"/>
    </xf>
    <xf numFmtId="191" fontId="136" fillId="7" borderId="0" xfId="1" applyNumberFormat="1" applyFont="1" applyFill="1" applyBorder="1" applyAlignment="1">
      <alignment horizontal="center" wrapText="1"/>
    </xf>
    <xf numFmtId="213" fontId="164" fillId="7" borderId="0" xfId="1" applyNumberFormat="1" applyFont="1" applyFill="1" applyBorder="1" applyAlignment="1">
      <alignment horizontal="right" vertical="center" shrinkToFit="1"/>
    </xf>
    <xf numFmtId="4" fontId="136" fillId="7" borderId="1" xfId="1" applyNumberFormat="1" applyFont="1" applyFill="1" applyBorder="1" applyAlignment="1">
      <alignment vertical="center" shrinkToFit="1"/>
    </xf>
    <xf numFmtId="0" fontId="124" fillId="7" borderId="1" xfId="0" applyFont="1" applyFill="1" applyBorder="1" applyAlignment="1">
      <alignment horizontal="center" wrapText="1"/>
    </xf>
    <xf numFmtId="0" fontId="136" fillId="7" borderId="1" xfId="0" applyFont="1" applyFill="1" applyBorder="1" applyAlignment="1">
      <alignment horizontal="center" wrapText="1"/>
    </xf>
    <xf numFmtId="1" fontId="136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applyNumberFormat="1" applyFont="1" applyFill="1" applyBorder="1" applyAlignment="1">
      <alignment horizontal="center" vertical="center" wrapText="1"/>
    </xf>
    <xf numFmtId="229" fontId="124" fillId="7" borderId="1" xfId="0" quotePrefix="1" applyNumberFormat="1" applyFont="1" applyFill="1" applyBorder="1" applyAlignment="1">
      <alignment horizontal="center" vertical="center" wrapText="1"/>
    </xf>
    <xf numFmtId="191" fontId="101" fillId="0" borderId="1" xfId="1" applyNumberFormat="1" applyFont="1" applyBorder="1" applyAlignment="1">
      <alignment horizontal="right"/>
    </xf>
    <xf numFmtId="0" fontId="23" fillId="0" borderId="0" xfId="255" applyFont="1" applyAlignment="1">
      <alignment vertical="center"/>
    </xf>
    <xf numFmtId="1" fontId="93" fillId="0" borderId="20" xfId="1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74" fillId="0" borderId="0" xfId="0" applyFont="1" applyAlignment="1"/>
    <xf numFmtId="1" fontId="129" fillId="7" borderId="0" xfId="0" applyNumberFormat="1" applyFont="1" applyFill="1" applyAlignment="1">
      <alignment horizontal="center" vertical="center"/>
    </xf>
    <xf numFmtId="0" fontId="127" fillId="7" borderId="0" xfId="0" applyFont="1" applyFill="1" applyBorder="1" applyAlignment="1">
      <alignment vertical="center"/>
    </xf>
    <xf numFmtId="191" fontId="127" fillId="7" borderId="0" xfId="1" applyNumberFormat="1" applyFont="1" applyFill="1" applyBorder="1"/>
    <xf numFmtId="0" fontId="127" fillId="7" borderId="0" xfId="0" applyFont="1" applyFill="1" applyBorder="1"/>
    <xf numFmtId="213" fontId="35" fillId="0" borderId="1" xfId="1" applyNumberFormat="1" applyFont="1" applyBorder="1" applyAlignment="1">
      <alignment horizontal="center" vertical="center"/>
    </xf>
    <xf numFmtId="0" fontId="77" fillId="0" borderId="0" xfId="0" applyFont="1" applyBorder="1" applyAlignment="1"/>
    <xf numFmtId="0" fontId="65" fillId="7" borderId="1" xfId="255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13" fillId="0" borderId="1" xfId="303" applyFont="1" applyBorder="1" applyAlignment="1">
      <alignment horizontal="left"/>
    </xf>
    <xf numFmtId="43" fontId="127" fillId="0" borderId="1" xfId="1" applyFont="1" applyFill="1" applyBorder="1" applyAlignment="1">
      <alignment horizontal="center" vertical="center" shrinkToFit="1"/>
    </xf>
    <xf numFmtId="195" fontId="129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8" fillId="13" borderId="68" xfId="0" applyFont="1" applyFill="1" applyBorder="1" applyAlignment="1">
      <alignment horizontal="left" shrinkToFit="1"/>
    </xf>
    <xf numFmtId="0" fontId="234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233" fillId="0" borderId="1" xfId="0" applyFont="1" applyBorder="1" applyAlignment="1">
      <alignment horizontal="center" wrapText="1"/>
    </xf>
    <xf numFmtId="2" fontId="38" fillId="0" borderId="1" xfId="0" applyNumberFormat="1" applyFont="1" applyBorder="1" applyAlignment="1">
      <alignment horizontal="center" wrapText="1"/>
    </xf>
    <xf numFmtId="1" fontId="38" fillId="0" borderId="1" xfId="0" applyNumberFormat="1" applyFont="1" applyBorder="1" applyAlignment="1">
      <alignment horizontal="center" wrapText="1"/>
    </xf>
    <xf numFmtId="192" fontId="38" fillId="0" borderId="1" xfId="1" applyNumberFormat="1" applyFont="1" applyBorder="1" applyAlignment="1">
      <alignment horizontal="center" wrapText="1"/>
    </xf>
    <xf numFmtId="0" fontId="232" fillId="0" borderId="1" xfId="0" applyFont="1" applyBorder="1"/>
    <xf numFmtId="0" fontId="232" fillId="0" borderId="1" xfId="0" applyFont="1" applyBorder="1" applyAlignment="1">
      <alignment horizontal="center"/>
    </xf>
    <xf numFmtId="1" fontId="232" fillId="0" borderId="1" xfId="0" applyNumberFormat="1" applyFont="1" applyBorder="1" applyAlignment="1">
      <alignment horizontal="center"/>
    </xf>
    <xf numFmtId="192" fontId="232" fillId="0" borderId="1" xfId="1" applyNumberFormat="1" applyFont="1" applyBorder="1" applyAlignment="1">
      <alignment horizontal="center"/>
    </xf>
    <xf numFmtId="0" fontId="235" fillId="0" borderId="0" xfId="0" applyFont="1"/>
    <xf numFmtId="192" fontId="13" fillId="3" borderId="0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192" fontId="13" fillId="3" borderId="83" xfId="0" applyNumberFormat="1" applyFont="1" applyFill="1" applyBorder="1" applyAlignment="1">
      <alignment horizontal="right"/>
    </xf>
    <xf numFmtId="0" fontId="125" fillId="7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189" fillId="0" borderId="0" xfId="0" applyFont="1" applyAlignment="1"/>
    <xf numFmtId="0" fontId="0" fillId="0" borderId="0" xfId="0" applyAlignment="1"/>
    <xf numFmtId="0" fontId="83" fillId="0" borderId="0" xfId="0" applyFont="1" applyAlignment="1"/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192" fontId="38" fillId="0" borderId="1" xfId="1" applyNumberFormat="1" applyFont="1" applyBorder="1" applyAlignment="1">
      <alignment wrapText="1"/>
    </xf>
    <xf numFmtId="192" fontId="189" fillId="0" borderId="1" xfId="1" applyNumberFormat="1" applyFont="1" applyBorder="1" applyAlignment="1"/>
    <xf numFmtId="2" fontId="197" fillId="0" borderId="18" xfId="0" applyNumberFormat="1" applyFont="1" applyFill="1" applyBorder="1" applyAlignment="1">
      <alignment horizontal="center" vertical="center"/>
    </xf>
    <xf numFmtId="192" fontId="12" fillId="0" borderId="20" xfId="1" applyNumberFormat="1" applyFont="1" applyBorder="1" applyAlignment="1">
      <alignment horizontal="center" wrapText="1"/>
    </xf>
    <xf numFmtId="2" fontId="197" fillId="0" borderId="1" xfId="0" applyNumberFormat="1" applyFont="1" applyFill="1" applyBorder="1" applyAlignment="1">
      <alignment horizontal="center" vertical="center"/>
    </xf>
    <xf numFmtId="1" fontId="38" fillId="0" borderId="20" xfId="0" applyNumberFormat="1" applyFont="1" applyBorder="1" applyAlignment="1">
      <alignment horizontal="center" wrapText="1"/>
    </xf>
    <xf numFmtId="192" fontId="38" fillId="0" borderId="20" xfId="1" applyNumberFormat="1" applyFont="1" applyBorder="1" applyAlignment="1">
      <alignment horizontal="center" wrapText="1"/>
    </xf>
    <xf numFmtId="199" fontId="36" fillId="0" borderId="22" xfId="0" applyNumberFormat="1" applyFont="1" applyFill="1" applyBorder="1" applyAlignment="1">
      <alignment horizontal="center" vertical="center"/>
    </xf>
    <xf numFmtId="199" fontId="9" fillId="0" borderId="1" xfId="0" applyNumberFormat="1" applyFont="1" applyFill="1" applyBorder="1" applyAlignment="1">
      <alignment vertical="center"/>
    </xf>
    <xf numFmtId="199" fontId="11" fillId="0" borderId="1" xfId="0" applyNumberFormat="1" applyFont="1" applyFill="1" applyBorder="1" applyAlignment="1">
      <alignment horizontal="center" vertical="center"/>
    </xf>
    <xf numFmtId="199" fontId="9" fillId="0" borderId="16" xfId="0" applyNumberFormat="1" applyFont="1" applyFill="1" applyBorder="1" applyAlignment="1">
      <alignment vertical="center" wrapText="1"/>
    </xf>
    <xf numFmtId="199" fontId="237" fillId="0" borderId="16" xfId="0" applyNumberFormat="1" applyFont="1" applyFill="1" applyBorder="1" applyAlignment="1">
      <alignment horizontal="center" vertical="center"/>
    </xf>
    <xf numFmtId="233" fontId="36" fillId="0" borderId="16" xfId="8" applyNumberFormat="1" applyFont="1" applyFill="1" applyBorder="1" applyAlignment="1">
      <alignment horizontal="center" vertical="center"/>
    </xf>
    <xf numFmtId="199" fontId="36" fillId="0" borderId="16" xfId="0" applyNumberFormat="1" applyFont="1" applyFill="1" applyBorder="1" applyAlignment="1">
      <alignment horizontal="right" vertical="center"/>
    </xf>
    <xf numFmtId="199" fontId="36" fillId="0" borderId="22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vertical="center" wrapText="1"/>
    </xf>
    <xf numFmtId="199" fontId="9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right" vertical="center"/>
    </xf>
    <xf numFmtId="199" fontId="17" fillId="0" borderId="6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horizontal="right" vertical="center"/>
    </xf>
    <xf numFmtId="199" fontId="15" fillId="0" borderId="6" xfId="0" applyNumberFormat="1" applyFont="1" applyFill="1" applyBorder="1" applyAlignment="1">
      <alignment horizontal="left" vertical="center"/>
    </xf>
    <xf numFmtId="199" fontId="15" fillId="0" borderId="6" xfId="0" applyNumberFormat="1" applyFont="1" applyFill="1" applyBorder="1" applyAlignment="1">
      <alignment vertical="center"/>
    </xf>
    <xf numFmtId="199" fontId="10" fillId="0" borderId="6" xfId="0" applyNumberFormat="1" applyFont="1" applyFill="1" applyBorder="1"/>
    <xf numFmtId="199" fontId="36" fillId="0" borderId="17" xfId="0" applyNumberFormat="1" applyFont="1" applyFill="1" applyBorder="1" applyAlignment="1">
      <alignment vertical="center"/>
    </xf>
    <xf numFmtId="199" fontId="238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right" vertical="center"/>
    </xf>
    <xf numFmtId="199" fontId="239" fillId="0" borderId="22" xfId="0" applyNumberFormat="1" applyFont="1" applyFill="1" applyBorder="1" applyAlignment="1">
      <alignment horizontal="right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199" fontId="16" fillId="0" borderId="0" xfId="0" applyNumberFormat="1" applyFont="1" applyFill="1" applyBorder="1" applyAlignment="1">
      <alignment vertical="center"/>
    </xf>
    <xf numFmtId="199" fontId="36" fillId="0" borderId="0" xfId="0" applyNumberFormat="1" applyFont="1" applyFill="1" applyBorder="1" applyAlignment="1">
      <alignment vertical="center"/>
    </xf>
    <xf numFmtId="199" fontId="240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199" fontId="17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9" fillId="0" borderId="0" xfId="0" applyNumberFormat="1" applyFont="1" applyFill="1" applyBorder="1" applyAlignment="1">
      <alignment horizontal="left" vertical="center"/>
    </xf>
    <xf numFmtId="199" fontId="10" fillId="0" borderId="0" xfId="0" applyNumberFormat="1" applyFont="1" applyFill="1" applyBorder="1"/>
    <xf numFmtId="199" fontId="11" fillId="0" borderId="0" xfId="0" applyNumberFormat="1" applyFont="1" applyFill="1" applyBorder="1" applyAlignment="1">
      <alignment vertical="center"/>
    </xf>
    <xf numFmtId="232" fontId="36" fillId="0" borderId="0" xfId="0" applyNumberFormat="1" applyFont="1" applyFill="1" applyBorder="1" applyAlignment="1">
      <alignment horizontal="center" vertical="center"/>
    </xf>
    <xf numFmtId="199" fontId="236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199" fontId="238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center" vertical="center"/>
    </xf>
    <xf numFmtId="199" fontId="237" fillId="0" borderId="0" xfId="0" applyNumberFormat="1" applyFont="1" applyFill="1" applyBorder="1" applyAlignment="1">
      <alignment horizontal="center" vertical="center"/>
    </xf>
    <xf numFmtId="199" fontId="36" fillId="0" borderId="0" xfId="8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192" fontId="101" fillId="7" borderId="1" xfId="0" applyNumberFormat="1" applyFont="1" applyFill="1" applyBorder="1" applyAlignment="1">
      <alignment horizontal="center" vertical="center" shrinkToFit="1"/>
    </xf>
    <xf numFmtId="193" fontId="22" fillId="7" borderId="1" xfId="0" applyNumberFormat="1" applyFont="1" applyFill="1" applyBorder="1" applyAlignment="1">
      <alignment horizontal="center" vertical="center"/>
    </xf>
    <xf numFmtId="188" fontId="22" fillId="0" borderId="21" xfId="0" quotePrefix="1" applyNumberFormat="1" applyFont="1" applyFill="1" applyBorder="1" applyAlignment="1">
      <alignment horizontal="left" vertical="center"/>
    </xf>
    <xf numFmtId="188" fontId="22" fillId="0" borderId="21" xfId="0" applyNumberFormat="1" applyFont="1" applyFill="1" applyBorder="1" applyAlignment="1">
      <alignment horizontal="left" vertical="center"/>
    </xf>
    <xf numFmtId="188" fontId="22" fillId="0" borderId="31" xfId="0" applyNumberFormat="1" applyFont="1" applyFill="1" applyBorder="1" applyAlignment="1">
      <alignment horizontal="left" vertical="center"/>
    </xf>
    <xf numFmtId="191" fontId="125" fillId="7" borderId="0" xfId="1" applyNumberFormat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197" fillId="0" borderId="0" xfId="0" applyNumberFormat="1" applyFont="1" applyAlignment="1">
      <alignment horizontal="center"/>
    </xf>
    <xf numFmtId="3" fontId="179" fillId="0" borderId="16" xfId="0" quotePrefix="1" applyNumberFormat="1" applyFont="1" applyFill="1" applyBorder="1" applyAlignment="1">
      <alignment vertical="center"/>
    </xf>
    <xf numFmtId="2" fontId="179" fillId="0" borderId="16" xfId="0" quotePrefix="1" applyNumberFormat="1" applyFont="1" applyFill="1" applyBorder="1" applyAlignment="1">
      <alignment vertical="center"/>
    </xf>
    <xf numFmtId="0" fontId="199" fillId="0" borderId="16" xfId="0" quotePrefix="1" applyNumberFormat="1" applyFont="1" applyFill="1" applyBorder="1" applyAlignment="1">
      <alignment vertical="center"/>
    </xf>
    <xf numFmtId="0" fontId="179" fillId="0" borderId="6" xfId="0" applyFont="1" applyFill="1" applyBorder="1" applyAlignment="1">
      <alignment vertical="center" wrapText="1"/>
    </xf>
    <xf numFmtId="2" fontId="179" fillId="0" borderId="6" xfId="0" applyNumberFormat="1" applyFont="1" applyFill="1" applyBorder="1" applyAlignment="1">
      <alignment vertical="center" wrapText="1"/>
    </xf>
    <xf numFmtId="0" fontId="199" fillId="0" borderId="6" xfId="0" quotePrefix="1" applyNumberFormat="1" applyFont="1" applyFill="1" applyBorder="1" applyAlignment="1">
      <alignment vertical="center" wrapText="1"/>
    </xf>
    <xf numFmtId="0" fontId="232" fillId="0" borderId="1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 wrapText="1"/>
    </xf>
    <xf numFmtId="0" fontId="203" fillId="0" borderId="1" xfId="0" applyFont="1" applyBorder="1" applyAlignment="1">
      <alignment vertical="center" wrapText="1"/>
    </xf>
    <xf numFmtId="195" fontId="201" fillId="0" borderId="6" xfId="0" quotePrefix="1" applyNumberFormat="1" applyFont="1" applyFill="1" applyBorder="1" applyAlignment="1">
      <alignment vertical="center" wrapText="1"/>
    </xf>
    <xf numFmtId="0" fontId="201" fillId="0" borderId="6" xfId="0" quotePrefix="1" applyNumberFormat="1" applyFont="1" applyFill="1" applyBorder="1" applyAlignment="1">
      <alignment vertical="center" wrapText="1"/>
    </xf>
    <xf numFmtId="197" fontId="20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vertical="center"/>
    </xf>
    <xf numFmtId="4" fontId="199" fillId="0" borderId="6" xfId="10" applyNumberFormat="1" applyFont="1" applyFill="1" applyBorder="1" applyAlignment="1">
      <alignment vertical="center"/>
    </xf>
    <xf numFmtId="0" fontId="80" fillId="0" borderId="0" xfId="0" applyFont="1" applyBorder="1" applyAlignment="1">
      <alignment horizontal="center" vertical="center"/>
    </xf>
    <xf numFmtId="0" fontId="80" fillId="0" borderId="0" xfId="0" applyFont="1" applyBorder="1" applyAlignment="1"/>
    <xf numFmtId="0" fontId="203" fillId="0" borderId="0" xfId="0" applyFont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7" fontId="180" fillId="7" borderId="6" xfId="10" applyNumberFormat="1" applyFont="1" applyFill="1" applyBorder="1" applyAlignment="1">
      <alignment horizontal="center" vertical="center"/>
    </xf>
    <xf numFmtId="0" fontId="197" fillId="0" borderId="0" xfId="0" applyFont="1" applyBorder="1" applyAlignment="1">
      <alignment horizontal="center" vertical="center"/>
    </xf>
    <xf numFmtId="4" fontId="203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97" fillId="0" borderId="0" xfId="0" applyFont="1" applyBorder="1"/>
    <xf numFmtId="0" fontId="203" fillId="0" borderId="0" xfId="0" applyFont="1" applyBorder="1"/>
    <xf numFmtId="4" fontId="0" fillId="0" borderId="0" xfId="0" applyNumberFormat="1" applyBorder="1"/>
    <xf numFmtId="4" fontId="201" fillId="0" borderId="6" xfId="10" applyNumberFormat="1" applyFont="1" applyFill="1" applyBorder="1" applyAlignment="1">
      <alignment vertical="center"/>
    </xf>
    <xf numFmtId="197" fontId="0" fillId="0" borderId="0" xfId="0" applyNumberFormat="1" applyBorder="1"/>
    <xf numFmtId="2" fontId="38" fillId="0" borderId="6" xfId="0" applyNumberFormat="1" applyFont="1" applyBorder="1" applyAlignment="1">
      <alignment horizontal="center" wrapText="1"/>
    </xf>
    <xf numFmtId="4" fontId="241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7" borderId="0" xfId="0" applyNumberFormat="1" applyFill="1" applyBorder="1" applyAlignment="1">
      <alignment horizontal="center"/>
    </xf>
    <xf numFmtId="1" fontId="217" fillId="7" borderId="6" xfId="10" applyNumberFormat="1" applyFont="1" applyFill="1" applyBorder="1" applyAlignment="1">
      <alignment horizontal="center" vertical="center"/>
    </xf>
    <xf numFmtId="0" fontId="202" fillId="0" borderId="23" xfId="0" applyNumberFormat="1" applyFont="1" applyFill="1" applyBorder="1" applyAlignment="1">
      <alignment vertical="center"/>
    </xf>
    <xf numFmtId="0" fontId="197" fillId="0" borderId="0" xfId="0" applyFont="1" applyBorder="1" applyAlignment="1">
      <alignment horizontal="center"/>
    </xf>
    <xf numFmtId="0" fontId="202" fillId="0" borderId="18" xfId="0" applyNumberFormat="1" applyFont="1" applyFill="1" applyBorder="1" applyAlignment="1">
      <alignment vertical="center"/>
    </xf>
    <xf numFmtId="2" fontId="180" fillId="0" borderId="18" xfId="0" applyNumberFormat="1" applyFont="1" applyFill="1" applyBorder="1" applyAlignment="1">
      <alignment vertical="center"/>
    </xf>
    <xf numFmtId="0" fontId="23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79" fillId="0" borderId="6" xfId="0" quotePrefix="1" applyNumberFormat="1" applyFont="1" applyFill="1" applyBorder="1" applyAlignment="1">
      <alignment vertical="center"/>
    </xf>
    <xf numFmtId="0" fontId="199" fillId="0" borderId="6" xfId="0" quotePrefix="1" applyNumberFormat="1" applyFont="1" applyFill="1" applyBorder="1" applyAlignment="1">
      <alignment vertical="center"/>
    </xf>
    <xf numFmtId="0" fontId="202" fillId="0" borderId="6" xfId="0" applyNumberFormat="1" applyFont="1" applyFill="1" applyBorder="1" applyAlignment="1">
      <alignment vertical="center"/>
    </xf>
    <xf numFmtId="2" fontId="180" fillId="0" borderId="6" xfId="0" applyNumberFormat="1" applyFont="1" applyFill="1" applyBorder="1" applyAlignment="1">
      <alignment vertical="center"/>
    </xf>
    <xf numFmtId="4" fontId="179" fillId="0" borderId="6" xfId="0" applyNumberFormat="1" applyFont="1" applyFill="1" applyBorder="1" applyAlignment="1">
      <alignment vertical="center"/>
    </xf>
    <xf numFmtId="197" fontId="179" fillId="0" borderId="6" xfId="0" applyNumberFormat="1" applyFont="1" applyFill="1" applyBorder="1" applyAlignment="1">
      <alignment horizontal="center" vertical="center"/>
    </xf>
    <xf numFmtId="3" fontId="180" fillId="0" borderId="6" xfId="0" applyNumberFormat="1" applyFont="1" applyFill="1" applyBorder="1" applyAlignment="1">
      <alignment vertical="center"/>
    </xf>
    <xf numFmtId="0" fontId="201" fillId="0" borderId="6" xfId="0" quotePrefix="1" applyNumberFormat="1" applyFont="1" applyFill="1" applyBorder="1" applyAlignment="1">
      <alignment vertical="center"/>
    </xf>
    <xf numFmtId="2" fontId="179" fillId="0" borderId="17" xfId="0" applyNumberFormat="1" applyFont="1" applyFill="1" applyBorder="1" applyAlignment="1">
      <alignment vertical="center" wrapText="1"/>
    </xf>
    <xf numFmtId="0" fontId="179" fillId="0" borderId="17" xfId="0" quotePrefix="1" applyNumberFormat="1" applyFont="1" applyFill="1" applyBorder="1" applyAlignment="1">
      <alignment vertical="center" wrapText="1"/>
    </xf>
    <xf numFmtId="2" fontId="179" fillId="0" borderId="17" xfId="0" quotePrefix="1" applyNumberFormat="1" applyFont="1" applyFill="1" applyBorder="1" applyAlignment="1">
      <alignment vertical="center" wrapText="1"/>
    </xf>
    <xf numFmtId="0" fontId="199" fillId="0" borderId="17" xfId="0" quotePrefix="1" applyNumberFormat="1" applyFont="1" applyFill="1" applyBorder="1" applyAlignment="1">
      <alignment vertical="center" wrapText="1"/>
    </xf>
    <xf numFmtId="197" fontId="56" fillId="0" borderId="0" xfId="0" applyNumberFormat="1" applyFont="1" applyFill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/>
    </xf>
    <xf numFmtId="1" fontId="204" fillId="7" borderId="6" xfId="273" applyNumberFormat="1" applyFont="1" applyFill="1" applyBorder="1" applyAlignment="1">
      <alignment horizontal="center" vertical="center" wrapText="1"/>
    </xf>
    <xf numFmtId="1" fontId="204" fillId="7" borderId="6" xfId="10" applyNumberFormat="1" applyFont="1" applyFill="1" applyBorder="1" applyAlignment="1">
      <alignment horizontal="center" vertical="center" wrapText="1"/>
    </xf>
    <xf numFmtId="4" fontId="180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16" fillId="0" borderId="55" xfId="0" applyNumberFormat="1" applyFont="1" applyFill="1" applyBorder="1" applyAlignment="1">
      <alignment vertical="center"/>
    </xf>
    <xf numFmtId="199" fontId="36" fillId="0" borderId="18" xfId="0" applyNumberFormat="1" applyFont="1" applyFill="1" applyBorder="1" applyAlignment="1">
      <alignment horizontal="right" vertical="center"/>
    </xf>
    <xf numFmtId="199" fontId="36" fillId="0" borderId="1" xfId="0" applyNumberFormat="1" applyFont="1" applyFill="1" applyBorder="1" applyAlignment="1">
      <alignment vertical="center"/>
    </xf>
    <xf numFmtId="199" fontId="242" fillId="0" borderId="31" xfId="0" applyNumberFormat="1" applyFont="1" applyFill="1" applyBorder="1" applyAlignment="1">
      <alignment horizontal="center" vertical="center"/>
    </xf>
    <xf numFmtId="199" fontId="243" fillId="0" borderId="31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1" fillId="7" borderId="1" xfId="275" applyFont="1" applyFill="1" applyBorder="1" applyAlignment="1">
      <alignment horizontal="center" vertical="center"/>
    </xf>
    <xf numFmtId="1" fontId="16" fillId="0" borderId="1" xfId="28" applyNumberFormat="1" applyFont="1" applyFill="1" applyBorder="1" applyAlignment="1">
      <alignment horizontal="center"/>
    </xf>
    <xf numFmtId="1" fontId="27" fillId="0" borderId="1" xfId="28" applyNumberFormat="1" applyFont="1" applyFill="1" applyBorder="1" applyAlignment="1">
      <alignment horizontal="center"/>
    </xf>
    <xf numFmtId="1" fontId="134" fillId="0" borderId="0" xfId="0" applyNumberFormat="1" applyFont="1" applyFill="1" applyAlignment="1"/>
    <xf numFmtId="1" fontId="111" fillId="0" borderId="0" xfId="0" applyNumberFormat="1" applyFont="1" applyFill="1"/>
    <xf numFmtId="1" fontId="111" fillId="0" borderId="0" xfId="0" applyNumberFormat="1" applyFont="1" applyFill="1" applyAlignment="1">
      <alignment horizontal="center"/>
    </xf>
    <xf numFmtId="1" fontId="111" fillId="0" borderId="0" xfId="0" applyNumberFormat="1" applyFont="1" applyFill="1" applyAlignment="1"/>
    <xf numFmtId="1" fontId="134" fillId="0" borderId="0" xfId="0" applyNumberFormat="1" applyFont="1" applyFill="1" applyAlignment="1">
      <alignment vertical="center"/>
    </xf>
    <xf numFmtId="1" fontId="1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horizontal="center" shrinkToFit="1"/>
    </xf>
    <xf numFmtId="1" fontId="11" fillId="0" borderId="0" xfId="0" applyNumberFormat="1" applyFont="1" applyFill="1" applyAlignment="1">
      <alignment shrinkToFit="1"/>
    </xf>
    <xf numFmtId="1" fontId="111" fillId="0" borderId="0" xfId="0" applyNumberFormat="1" applyFont="1" applyFill="1" applyAlignment="1">
      <alignment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1" fontId="134" fillId="0" borderId="0" xfId="0" applyNumberFormat="1" applyFont="1" applyFill="1"/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28" applyNumberFormat="1" applyFont="1" applyFill="1" applyBorder="1" applyAlignment="1">
      <alignment horizontal="center"/>
    </xf>
    <xf numFmtId="1" fontId="13" fillId="0" borderId="26" xfId="0" applyNumberFormat="1" applyFont="1" applyFill="1" applyBorder="1" applyAlignment="1">
      <alignment horizontal="right"/>
    </xf>
    <xf numFmtId="230" fontId="117" fillId="0" borderId="1" xfId="0" applyNumberFormat="1" applyFont="1" applyFill="1" applyBorder="1"/>
    <xf numFmtId="231" fontId="117" fillId="0" borderId="1" xfId="0" applyNumberFormat="1" applyFont="1" applyFill="1" applyBorder="1"/>
    <xf numFmtId="1" fontId="134" fillId="0" borderId="1" xfId="0" applyNumberFormat="1" applyFont="1" applyFill="1" applyBorder="1" applyAlignment="1">
      <alignment horizontal="center"/>
    </xf>
    <xf numFmtId="1" fontId="11" fillId="0" borderId="26" xfId="0" applyNumberFormat="1" applyFont="1" applyFill="1" applyBorder="1" applyAlignment="1">
      <alignment horizontal="right"/>
    </xf>
    <xf numFmtId="1" fontId="13" fillId="0" borderId="1" xfId="303" applyNumberFormat="1" applyFont="1" applyFill="1" applyBorder="1" applyAlignment="1">
      <alignment horizontal="left"/>
    </xf>
    <xf numFmtId="1" fontId="111" fillId="0" borderId="35" xfId="0" applyNumberFormat="1" applyFont="1" applyFill="1" applyBorder="1" applyAlignment="1">
      <alignment horizontal="justify" vertical="center" wrapText="1"/>
    </xf>
    <xf numFmtId="1" fontId="111" fillId="0" borderId="36" xfId="0" applyNumberFormat="1" applyFont="1" applyFill="1" applyBorder="1" applyAlignment="1">
      <alignment horizontal="justify" vertical="center" wrapText="1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/>
    <xf numFmtId="1" fontId="13" fillId="0" borderId="0" xfId="0" applyNumberFormat="1" applyFont="1" applyFill="1" applyAlignment="1">
      <alignment shrinkToFit="1"/>
    </xf>
    <xf numFmtId="1" fontId="13" fillId="0" borderId="0" xfId="0" applyNumberFormat="1" applyFont="1" applyFill="1" applyAlignment="1">
      <alignment horizontal="center" shrinkToFit="1"/>
    </xf>
    <xf numFmtId="1" fontId="34" fillId="0" borderId="0" xfId="0" applyNumberFormat="1" applyFont="1" applyFill="1" applyAlignment="1">
      <alignment shrinkToFit="1"/>
    </xf>
    <xf numFmtId="1" fontId="34" fillId="0" borderId="0" xfId="0" applyNumberFormat="1" applyFont="1" applyFill="1" applyAlignment="1">
      <alignment horizontal="center" shrinkToFit="1"/>
    </xf>
    <xf numFmtId="1" fontId="134" fillId="0" borderId="0" xfId="0" applyNumberFormat="1" applyFont="1" applyFill="1" applyAlignment="1">
      <alignment vertical="center" shrinkToFit="1"/>
    </xf>
    <xf numFmtId="1" fontId="134" fillId="0" borderId="0" xfId="0" applyNumberFormat="1" applyFont="1" applyFill="1" applyAlignment="1">
      <alignment shrinkToFit="1"/>
    </xf>
    <xf numFmtId="1" fontId="11" fillId="0" borderId="0" xfId="3" applyNumberFormat="1" applyFont="1" applyFill="1" applyBorder="1" applyAlignment="1">
      <alignment horizontal="center" vertical="center"/>
    </xf>
    <xf numFmtId="1" fontId="11" fillId="0" borderId="0" xfId="28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vertical="center"/>
    </xf>
    <xf numFmtId="1" fontId="11" fillId="0" borderId="0" xfId="0" applyNumberFormat="1" applyFont="1" applyFill="1" applyAlignment="1">
      <alignment vertical="center"/>
    </xf>
    <xf numFmtId="1" fontId="11" fillId="0" borderId="0" xfId="275" applyNumberFormat="1" applyFont="1" applyFill="1" applyAlignment="1"/>
    <xf numFmtId="1" fontId="13" fillId="0" borderId="0" xfId="275" applyNumberFormat="1" applyFont="1" applyFill="1" applyAlignment="1">
      <alignment horizontal="center" shrinkToFit="1"/>
    </xf>
    <xf numFmtId="1" fontId="11" fillId="0" borderId="0" xfId="275" applyNumberFormat="1" applyFont="1" applyFill="1" applyAlignment="1">
      <alignment shrinkToFit="1"/>
    </xf>
    <xf numFmtId="1" fontId="11" fillId="0" borderId="0" xfId="28" applyNumberFormat="1" applyFont="1" applyFill="1" applyAlignment="1">
      <alignment shrinkToFit="1"/>
    </xf>
    <xf numFmtId="0" fontId="134" fillId="7" borderId="0" xfId="0" applyFont="1" applyFill="1" applyAlignment="1">
      <alignment horizontal="center" vertical="center"/>
    </xf>
    <xf numFmtId="0" fontId="111" fillId="7" borderId="0" xfId="0" applyFont="1" applyFill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9" fillId="13" borderId="0" xfId="0" applyFont="1" applyFill="1" applyBorder="1" applyAlignment="1">
      <alignment horizontal="left" shrinkToFit="1"/>
    </xf>
    <xf numFmtId="192" fontId="127" fillId="7" borderId="1" xfId="0" applyNumberFormat="1" applyFont="1" applyFill="1" applyBorder="1" applyAlignment="1">
      <alignment horizontal="center" vertical="center" shrinkToFit="1"/>
    </xf>
    <xf numFmtId="0" fontId="178" fillId="7" borderId="1" xfId="0" applyFont="1" applyFill="1" applyBorder="1" applyAlignment="1">
      <alignment horizontal="center" vertical="center"/>
    </xf>
    <xf numFmtId="200" fontId="178" fillId="7" borderId="1" xfId="0" applyNumberFormat="1" applyFont="1" applyFill="1" applyBorder="1" applyAlignment="1">
      <alignment vertical="center"/>
    </xf>
    <xf numFmtId="188" fontId="178" fillId="7" borderId="1" xfId="1" applyNumberFormat="1" applyFont="1" applyFill="1" applyBorder="1" applyAlignment="1">
      <alignment vertical="center"/>
    </xf>
    <xf numFmtId="188" fontId="178" fillId="7" borderId="1" xfId="0" applyNumberFormat="1" applyFont="1" applyFill="1" applyBorder="1" applyAlignment="1">
      <alignment vertical="center"/>
    </xf>
    <xf numFmtId="199" fontId="10" fillId="0" borderId="0" xfId="0" applyNumberFormat="1" applyFont="1" applyFill="1"/>
    <xf numFmtId="199" fontId="10" fillId="9" borderId="0" xfId="0" applyNumberFormat="1" applyFont="1" applyFill="1"/>
    <xf numFmtId="199" fontId="36" fillId="0" borderId="16" xfId="8" applyNumberFormat="1" applyFont="1" applyFill="1" applyBorder="1" applyAlignment="1">
      <alignment horizontal="center" vertical="center"/>
    </xf>
    <xf numFmtId="199" fontId="36" fillId="0" borderId="16" xfId="8" applyNumberFormat="1" applyFont="1" applyFill="1" applyBorder="1" applyAlignment="1">
      <alignment horizontal="right" vertical="center"/>
    </xf>
    <xf numFmtId="199" fontId="10" fillId="9" borderId="0" xfId="0" applyNumberFormat="1" applyFont="1" applyFill="1" applyAlignment="1">
      <alignment horizontal="center" vertical="center"/>
    </xf>
    <xf numFmtId="199" fontId="36" fillId="0" borderId="16" xfId="0" applyNumberFormat="1" applyFont="1" applyFill="1" applyBorder="1" applyAlignment="1">
      <alignment vertical="center"/>
    </xf>
    <xf numFmtId="199" fontId="36" fillId="0" borderId="6" xfId="0" applyNumberFormat="1" applyFont="1" applyFill="1" applyBorder="1" applyAlignment="1">
      <alignment vertical="center"/>
    </xf>
    <xf numFmtId="199" fontId="36" fillId="0" borderId="6" xfId="8" applyNumberFormat="1" applyFont="1" applyFill="1" applyBorder="1" applyAlignment="1">
      <alignment horizontal="center" vertical="center"/>
    </xf>
    <xf numFmtId="199" fontId="36" fillId="0" borderId="6" xfId="8" applyNumberFormat="1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180" fillId="0" borderId="6" xfId="0" applyFont="1" applyFill="1" applyBorder="1" applyAlignment="1">
      <alignment vertical="center" wrapText="1"/>
    </xf>
    <xf numFmtId="0" fontId="203" fillId="0" borderId="0" xfId="0" applyFont="1" applyBorder="1" applyAlignment="1">
      <alignment horizontal="center" vertical="center"/>
    </xf>
    <xf numFmtId="235" fontId="111" fillId="0" borderId="0" xfId="0" applyNumberFormat="1" applyFont="1" applyFill="1"/>
    <xf numFmtId="234" fontId="117" fillId="0" borderId="1" xfId="0" applyNumberFormat="1" applyFont="1" applyFill="1" applyBorder="1"/>
    <xf numFmtId="234" fontId="134" fillId="0" borderId="1" xfId="0" applyNumberFormat="1" applyFont="1" applyFill="1" applyBorder="1"/>
    <xf numFmtId="234" fontId="111" fillId="0" borderId="1" xfId="0" applyNumberFormat="1" applyFont="1" applyFill="1" applyBorder="1"/>
    <xf numFmtId="189" fontId="136" fillId="7" borderId="0" xfId="0" applyNumberFormat="1" applyFont="1" applyFill="1" applyAlignment="1">
      <alignment horizontal="center" vertical="center"/>
    </xf>
    <xf numFmtId="191" fontId="136" fillId="7" borderId="0" xfId="0" applyNumberFormat="1" applyFont="1" applyFill="1" applyAlignment="1">
      <alignment horizontal="center" vertical="center"/>
    </xf>
    <xf numFmtId="3" fontId="93" fillId="0" borderId="20" xfId="1" applyNumberFormat="1" applyFont="1" applyFill="1" applyBorder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2" fontId="247" fillId="0" borderId="6" xfId="0" applyNumberFormat="1" applyFont="1" applyFill="1" applyBorder="1" applyAlignment="1">
      <alignment horizontal="center" vertical="center"/>
    </xf>
    <xf numFmtId="4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Border="1" applyAlignment="1">
      <alignment horizontal="center"/>
    </xf>
    <xf numFmtId="43" fontId="101" fillId="0" borderId="1" xfId="1" applyFont="1" applyBorder="1" applyAlignment="1">
      <alignment horizontal="right"/>
    </xf>
    <xf numFmtId="43" fontId="101" fillId="0" borderId="0" xfId="0" applyNumberFormat="1" applyFont="1" applyBorder="1"/>
    <xf numFmtId="0" fontId="101" fillId="0" borderId="0" xfId="0" applyFont="1" applyBorder="1"/>
    <xf numFmtId="3" fontId="101" fillId="0" borderId="0" xfId="0" applyNumberFormat="1" applyFont="1" applyBorder="1"/>
    <xf numFmtId="0" fontId="164" fillId="7" borderId="0" xfId="1" applyNumberFormat="1" applyFont="1" applyFill="1" applyBorder="1" applyAlignment="1">
      <alignment horizontal="center" vertical="center" wrapText="1"/>
    </xf>
    <xf numFmtId="0" fontId="117" fillId="7" borderId="0" xfId="0" applyFont="1" applyFill="1" applyAlignment="1">
      <alignment horizontal="center" vertical="center"/>
    </xf>
    <xf numFmtId="0" fontId="121" fillId="7" borderId="1" xfId="275" applyFont="1" applyFill="1" applyBorder="1" applyAlignment="1">
      <alignment horizontal="center" vertical="center"/>
    </xf>
    <xf numFmtId="219" fontId="65" fillId="7" borderId="1" xfId="255" applyNumberFormat="1" applyFont="1" applyFill="1" applyBorder="1" applyAlignment="1">
      <alignment horizontal="right" vertical="center"/>
    </xf>
    <xf numFmtId="43" fontId="20" fillId="0" borderId="1" xfId="1" applyNumberFormat="1" applyFont="1" applyFill="1" applyBorder="1" applyAlignment="1">
      <alignment horizontal="center" vertical="center"/>
    </xf>
    <xf numFmtId="236" fontId="173" fillId="7" borderId="1" xfId="1" applyNumberFormat="1" applyFont="1" applyFill="1" applyBorder="1" applyAlignment="1">
      <alignment horizontal="center" vertical="center" shrinkToFit="1"/>
    </xf>
    <xf numFmtId="0" fontId="164" fillId="12" borderId="1" xfId="28" applyFont="1" applyFill="1" applyBorder="1" applyAlignment="1" applyProtection="1">
      <alignment horizontal="left"/>
    </xf>
    <xf numFmtId="0" fontId="114" fillId="7" borderId="0" xfId="28" applyFont="1" applyFill="1" applyAlignment="1">
      <alignment horizontal="center" vertical="center"/>
    </xf>
    <xf numFmtId="192" fontId="114" fillId="7" borderId="0" xfId="1" applyNumberFormat="1" applyFont="1" applyFill="1" applyAlignment="1">
      <alignment horizontal="center" vertical="center"/>
    </xf>
    <xf numFmtId="0" fontId="210" fillId="7" borderId="0" xfId="28" applyFont="1" applyFill="1" applyAlignment="1">
      <alignment horizontal="center" vertical="center"/>
    </xf>
    <xf numFmtId="193" fontId="210" fillId="7" borderId="0" xfId="1" applyNumberFormat="1" applyFont="1" applyFill="1" applyAlignment="1">
      <alignment horizontal="center" vertical="center"/>
    </xf>
    <xf numFmtId="192" fontId="210" fillId="7" borderId="0" xfId="1" applyNumberFormat="1" applyFont="1" applyFill="1" applyAlignment="1">
      <alignment horizontal="center" vertical="center"/>
    </xf>
    <xf numFmtId="0" fontId="211" fillId="7" borderId="14" xfId="275" applyFont="1" applyFill="1" applyBorder="1" applyAlignment="1">
      <alignment horizontal="center" vertical="center"/>
    </xf>
    <xf numFmtId="192" fontId="114" fillId="7" borderId="29" xfId="1" applyNumberFormat="1" applyFont="1" applyFill="1" applyBorder="1" applyAlignment="1">
      <alignment horizontal="center" vertical="center" wrapText="1"/>
    </xf>
    <xf numFmtId="0" fontId="210" fillId="7" borderId="28" xfId="275" applyFont="1" applyFill="1" applyBorder="1" applyAlignment="1">
      <alignment horizontal="center" vertical="center" shrinkToFit="1"/>
    </xf>
    <xf numFmtId="0" fontId="210" fillId="7" borderId="14" xfId="275" applyFont="1" applyFill="1" applyBorder="1" applyAlignment="1">
      <alignment horizontal="center" vertical="center" shrinkToFit="1"/>
    </xf>
    <xf numFmtId="0" fontId="210" fillId="7" borderId="1" xfId="28" applyFont="1" applyFill="1" applyBorder="1" applyAlignment="1">
      <alignment horizontal="center" vertical="center"/>
    </xf>
    <xf numFmtId="191" fontId="210" fillId="7" borderId="1" xfId="1" applyNumberFormat="1" applyFont="1" applyFill="1" applyBorder="1" applyAlignment="1">
      <alignment horizontal="center" vertical="center" wrapText="1"/>
    </xf>
    <xf numFmtId="2" fontId="114" fillId="7" borderId="0" xfId="28" applyNumberFormat="1" applyFont="1" applyFill="1" applyAlignment="1">
      <alignment horizontal="center" vertical="center"/>
    </xf>
    <xf numFmtId="192" fontId="114" fillId="7" borderId="1" xfId="3" applyNumberFormat="1" applyFont="1" applyFill="1" applyBorder="1" applyAlignment="1">
      <alignment horizontal="center" vertical="center"/>
    </xf>
    <xf numFmtId="191" fontId="114" fillId="7" borderId="1" xfId="13" applyNumberFormat="1" applyFont="1" applyFill="1" applyBorder="1" applyAlignment="1">
      <alignment horizontal="center" vertical="center" wrapText="1"/>
    </xf>
    <xf numFmtId="0" fontId="114" fillId="7" borderId="1" xfId="28" applyFont="1" applyFill="1" applyBorder="1" applyAlignment="1">
      <alignment horizontal="center" vertical="center"/>
    </xf>
    <xf numFmtId="192" fontId="114" fillId="7" borderId="1" xfId="1" applyNumberFormat="1" applyFont="1" applyFill="1" applyBorder="1" applyAlignment="1">
      <alignment horizontal="center" vertical="center"/>
    </xf>
    <xf numFmtId="193" fontId="210" fillId="7" borderId="1" xfId="1" applyNumberFormat="1" applyFont="1" applyFill="1" applyBorder="1" applyAlignment="1">
      <alignment horizontal="center" vertical="center"/>
    </xf>
    <xf numFmtId="192" fontId="210" fillId="7" borderId="1" xfId="1" applyNumberFormat="1" applyFont="1" applyFill="1" applyBorder="1" applyAlignment="1">
      <alignment horizontal="center" vertical="center"/>
    </xf>
    <xf numFmtId="0" fontId="114" fillId="7" borderId="1" xfId="0" applyFont="1" applyFill="1" applyBorder="1" applyAlignment="1">
      <alignment horizontal="center" vertical="center"/>
    </xf>
    <xf numFmtId="0" fontId="114" fillId="7" borderId="1" xfId="28" applyFont="1" applyFill="1" applyBorder="1" applyAlignment="1" applyProtection="1">
      <alignment horizontal="center" vertical="center"/>
    </xf>
    <xf numFmtId="1" fontId="114" fillId="7" borderId="1" xfId="1" applyNumberFormat="1" applyFont="1" applyFill="1" applyBorder="1" applyAlignment="1">
      <alignment horizontal="center" vertical="center" wrapText="1"/>
    </xf>
    <xf numFmtId="1" fontId="114" fillId="7" borderId="1" xfId="1" applyNumberFormat="1" applyFont="1" applyFill="1" applyBorder="1" applyAlignment="1">
      <alignment horizontal="center" vertical="center"/>
    </xf>
    <xf numFmtId="191" fontId="114" fillId="7" borderId="1" xfId="1" applyNumberFormat="1" applyFont="1" applyFill="1" applyBorder="1" applyAlignment="1">
      <alignment horizontal="center" vertical="center" wrapText="1"/>
    </xf>
    <xf numFmtId="191" fontId="114" fillId="7" borderId="1" xfId="1" applyNumberFormat="1" applyFont="1" applyFill="1" applyBorder="1" applyAlignment="1">
      <alignment horizontal="center" vertical="center"/>
    </xf>
    <xf numFmtId="1" fontId="114" fillId="7" borderId="1" xfId="28" applyNumberFormat="1" applyFont="1" applyFill="1" applyBorder="1" applyAlignment="1">
      <alignment horizontal="center" vertical="center"/>
    </xf>
    <xf numFmtId="223" fontId="114" fillId="7" borderId="1" xfId="0" applyNumberFormat="1" applyFont="1" applyFill="1" applyBorder="1" applyAlignment="1">
      <alignment horizontal="center" vertical="center"/>
    </xf>
    <xf numFmtId="3" fontId="114" fillId="7" borderId="1" xfId="0" applyNumberFormat="1" applyFont="1" applyFill="1" applyBorder="1" applyAlignment="1">
      <alignment horizontal="center" vertical="center"/>
    </xf>
    <xf numFmtId="1" fontId="210" fillId="7" borderId="1" xfId="275" applyNumberFormat="1" applyFont="1" applyFill="1" applyBorder="1" applyAlignment="1">
      <alignment horizontal="center" vertical="center"/>
    </xf>
    <xf numFmtId="1" fontId="210" fillId="7" borderId="1" xfId="13" applyNumberFormat="1" applyFont="1" applyFill="1" applyBorder="1" applyAlignment="1">
      <alignment horizontal="center" vertical="center" wrapText="1"/>
    </xf>
    <xf numFmtId="0" fontId="114" fillId="7" borderId="1" xfId="303" applyFont="1" applyFill="1" applyBorder="1" applyAlignment="1" applyProtection="1">
      <alignment horizontal="center" vertical="center"/>
    </xf>
    <xf numFmtId="43" fontId="114" fillId="7" borderId="1" xfId="1" applyFont="1" applyFill="1" applyBorder="1" applyAlignment="1">
      <alignment horizontal="center" vertical="center" wrapText="1"/>
    </xf>
    <xf numFmtId="1" fontId="114" fillId="7" borderId="1" xfId="0" applyNumberFormat="1" applyFont="1" applyFill="1" applyBorder="1" applyAlignment="1">
      <alignment horizontal="center" vertical="center"/>
    </xf>
    <xf numFmtId="1" fontId="210" fillId="7" borderId="1" xfId="1" applyNumberFormat="1" applyFont="1" applyFill="1" applyBorder="1" applyAlignment="1">
      <alignment horizontal="center" vertical="center" wrapText="1"/>
    </xf>
    <xf numFmtId="198" fontId="210" fillId="7" borderId="0" xfId="28" applyNumberFormat="1" applyFont="1" applyFill="1" applyAlignment="1">
      <alignment horizontal="center" vertical="center"/>
    </xf>
    <xf numFmtId="198" fontId="114" fillId="7" borderId="0" xfId="28" applyNumberFormat="1" applyFont="1" applyFill="1" applyAlignment="1">
      <alignment horizontal="center" vertical="center"/>
    </xf>
    <xf numFmtId="0" fontId="114" fillId="7" borderId="1" xfId="303" applyFont="1" applyFill="1" applyBorder="1" applyAlignment="1">
      <alignment horizontal="center" vertical="center"/>
    </xf>
    <xf numFmtId="3" fontId="114" fillId="7" borderId="1" xfId="1" applyNumberFormat="1" applyFont="1" applyFill="1" applyBorder="1" applyAlignment="1">
      <alignment horizontal="center" vertical="center"/>
    </xf>
    <xf numFmtId="205" fontId="114" fillId="7" borderId="0" xfId="28" applyNumberFormat="1" applyFont="1" applyFill="1" applyAlignment="1">
      <alignment horizontal="center" vertical="center"/>
    </xf>
    <xf numFmtId="0" fontId="114" fillId="7" borderId="1" xfId="275" applyFont="1" applyFill="1" applyBorder="1" applyAlignment="1">
      <alignment horizontal="center" vertical="center"/>
    </xf>
    <xf numFmtId="0" fontId="114" fillId="7" borderId="18" xfId="303" applyFont="1" applyFill="1" applyBorder="1" applyAlignment="1">
      <alignment horizontal="center" vertical="center"/>
    </xf>
    <xf numFmtId="191" fontId="210" fillId="7" borderId="1" xfId="275" applyNumberFormat="1" applyFont="1" applyFill="1" applyBorder="1" applyAlignment="1">
      <alignment horizontal="center" vertical="center"/>
    </xf>
    <xf numFmtId="3" fontId="210" fillId="7" borderId="1" xfId="275" applyNumberFormat="1" applyFont="1" applyFill="1" applyBorder="1" applyAlignment="1">
      <alignment horizontal="center" vertical="center" readingOrder="2"/>
    </xf>
    <xf numFmtId="191" fontId="210" fillId="7" borderId="1" xfId="275" applyNumberFormat="1" applyFont="1" applyFill="1" applyBorder="1" applyAlignment="1">
      <alignment horizontal="center" vertical="center" readingOrder="1"/>
    </xf>
    <xf numFmtId="191" fontId="210" fillId="7" borderId="1" xfId="3" applyNumberFormat="1" applyFont="1" applyFill="1" applyBorder="1" applyAlignment="1">
      <alignment horizontal="center" vertical="center" wrapText="1"/>
    </xf>
    <xf numFmtId="0" fontId="244" fillId="7" borderId="0" xfId="275" applyFont="1" applyFill="1" applyBorder="1" applyAlignment="1">
      <alignment vertical="center"/>
    </xf>
    <xf numFmtId="0" fontId="157" fillId="7" borderId="24" xfId="275" applyFont="1" applyFill="1" applyBorder="1" applyAlignment="1">
      <alignment horizontal="center" vertical="center"/>
    </xf>
    <xf numFmtId="0" fontId="157" fillId="7" borderId="24" xfId="28" applyFont="1" applyFill="1" applyBorder="1" applyAlignment="1">
      <alignment horizontal="center" vertical="center"/>
    </xf>
    <xf numFmtId="0" fontId="246" fillId="7" borderId="24" xfId="28" applyFont="1" applyFill="1" applyBorder="1" applyAlignment="1">
      <alignment horizontal="center" vertical="center"/>
    </xf>
    <xf numFmtId="1" fontId="111" fillId="7" borderId="24" xfId="13" applyNumberFormat="1" applyFont="1" applyFill="1" applyBorder="1" applyAlignment="1">
      <alignment horizontal="center" vertical="center" wrapText="1"/>
    </xf>
    <xf numFmtId="1" fontId="117" fillId="7" borderId="24" xfId="13" applyNumberFormat="1" applyFont="1" applyFill="1" applyBorder="1" applyAlignment="1">
      <alignment horizontal="center" vertical="center" wrapText="1"/>
    </xf>
    <xf numFmtId="1" fontId="114" fillId="7" borderId="0" xfId="13" applyNumberFormat="1" applyFont="1" applyFill="1" applyBorder="1" applyAlignment="1">
      <alignment horizontal="center" vertical="center" wrapText="1"/>
    </xf>
    <xf numFmtId="2" fontId="114" fillId="7" borderId="0" xfId="13" applyNumberFormat="1" applyFont="1" applyFill="1" applyBorder="1" applyAlignment="1">
      <alignment horizontal="center" vertical="center" wrapText="1"/>
    </xf>
    <xf numFmtId="192" fontId="114" fillId="7" borderId="24" xfId="3" applyNumberFormat="1" applyFont="1" applyFill="1" applyBorder="1" applyAlignment="1">
      <alignment horizontal="center" vertical="center"/>
    </xf>
    <xf numFmtId="0" fontId="114" fillId="7" borderId="0" xfId="275" applyFont="1" applyFill="1" applyAlignment="1">
      <alignment horizontal="center" vertical="center"/>
    </xf>
    <xf numFmtId="0" fontId="117" fillId="7" borderId="0" xfId="28" applyFont="1" applyFill="1" applyAlignment="1">
      <alignment horizontal="center" vertical="center"/>
    </xf>
    <xf numFmtId="0" fontId="111" fillId="7" borderId="0" xfId="28" applyFont="1" applyFill="1" applyAlignment="1">
      <alignment horizontal="center" vertical="center"/>
    </xf>
    <xf numFmtId="192" fontId="114" fillId="7" borderId="0" xfId="3" applyNumberFormat="1" applyFont="1" applyFill="1" applyBorder="1" applyAlignment="1">
      <alignment horizontal="center" vertical="center"/>
    </xf>
    <xf numFmtId="192" fontId="210" fillId="7" borderId="0" xfId="3" applyNumberFormat="1" applyFont="1" applyFill="1" applyBorder="1" applyAlignment="1">
      <alignment horizontal="center" vertical="center"/>
    </xf>
    <xf numFmtId="0" fontId="134" fillId="7" borderId="0" xfId="28" applyFont="1" applyFill="1" applyAlignment="1">
      <alignment horizontal="center" vertical="center"/>
    </xf>
    <xf numFmtId="0" fontId="121" fillId="7" borderId="0" xfId="275" applyFont="1" applyFill="1" applyAlignment="1">
      <alignment horizontal="center" vertical="center"/>
    </xf>
    <xf numFmtId="191" fontId="111" fillId="7" borderId="0" xfId="0" applyNumberFormat="1" applyFont="1" applyFill="1" applyAlignment="1">
      <alignment horizontal="center" vertical="center" shrinkToFit="1"/>
    </xf>
    <xf numFmtId="0" fontId="111" fillId="7" borderId="0" xfId="0" applyFont="1" applyFill="1" applyAlignment="1">
      <alignment vertical="center"/>
    </xf>
    <xf numFmtId="0" fontId="114" fillId="7" borderId="0" xfId="0" applyFont="1" applyFill="1" applyAlignment="1">
      <alignment vertical="center"/>
    </xf>
    <xf numFmtId="0" fontId="111" fillId="7" borderId="0" xfId="275" applyFont="1" applyFill="1" applyAlignment="1">
      <alignment horizontal="center" vertical="center"/>
    </xf>
    <xf numFmtId="0" fontId="117" fillId="7" borderId="0" xfId="275" applyFont="1" applyFill="1" applyAlignment="1">
      <alignment horizontal="center" vertical="center"/>
    </xf>
    <xf numFmtId="192" fontId="114" fillId="7" borderId="0" xfId="1" applyNumberFormat="1" applyFont="1" applyFill="1" applyBorder="1" applyAlignment="1">
      <alignment horizontal="center" vertical="center"/>
    </xf>
    <xf numFmtId="0" fontId="117" fillId="7" borderId="1" xfId="275" applyFont="1" applyFill="1" applyBorder="1" applyAlignment="1">
      <alignment horizontal="center" vertical="center"/>
    </xf>
    <xf numFmtId="0" fontId="111" fillId="7" borderId="15" xfId="275" applyFont="1" applyFill="1" applyBorder="1" applyAlignment="1">
      <alignment horizontal="center" vertical="center"/>
    </xf>
    <xf numFmtId="0" fontId="246" fillId="7" borderId="0" xfId="275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23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2" fontId="210" fillId="0" borderId="1" xfId="1" applyNumberFormat="1" applyFont="1" applyFill="1" applyBorder="1"/>
    <xf numFmtId="234" fontId="11" fillId="0" borderId="1" xfId="0" applyNumberFormat="1" applyFont="1" applyFill="1" applyBorder="1"/>
    <xf numFmtId="234" fontId="13" fillId="0" borderId="1" xfId="0" applyNumberFormat="1" applyFont="1" applyFill="1" applyBorder="1"/>
    <xf numFmtId="0" fontId="248" fillId="0" borderId="6" xfId="0" quotePrefix="1" applyNumberFormat="1" applyFont="1" applyFill="1" applyBorder="1" applyAlignment="1">
      <alignment horizontal="center" vertical="center" wrapText="1"/>
    </xf>
    <xf numFmtId="2" fontId="248" fillId="0" borderId="6" xfId="0" quotePrefix="1" applyNumberFormat="1" applyFont="1" applyFill="1" applyBorder="1" applyAlignment="1">
      <alignment horizontal="center" vertical="center" wrapText="1"/>
    </xf>
    <xf numFmtId="197" fontId="248" fillId="0" borderId="6" xfId="0" quotePrefix="1" applyNumberFormat="1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0" fontId="248" fillId="0" borderId="6" xfId="0" applyNumberFormat="1" applyFont="1" applyFill="1" applyBorder="1" applyAlignment="1">
      <alignment horizontal="center" vertical="center"/>
    </xf>
    <xf numFmtId="2" fontId="248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center" vertical="center"/>
    </xf>
    <xf numFmtId="2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 wrapText="1"/>
    </xf>
    <xf numFmtId="0" fontId="248" fillId="0" borderId="6" xfId="0" quotePrefix="1" applyNumberFormat="1" applyFont="1" applyFill="1" applyBorder="1" applyAlignment="1">
      <alignment horizontal="center" vertical="center"/>
    </xf>
    <xf numFmtId="0" fontId="248" fillId="0" borderId="6" xfId="0" applyFont="1" applyFill="1" applyBorder="1" applyAlignment="1">
      <alignment horizontal="left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97" fillId="0" borderId="1" xfId="0" applyFont="1" applyBorder="1"/>
    <xf numFmtId="0" fontId="80" fillId="0" borderId="1" xfId="0" applyFont="1" applyBorder="1"/>
    <xf numFmtId="0" fontId="249" fillId="0" borderId="6" xfId="0" applyFont="1" applyFill="1" applyBorder="1" applyAlignment="1">
      <alignment horizontal="center" vertical="center" wrapText="1"/>
    </xf>
    <xf numFmtId="0" fontId="249" fillId="0" borderId="6" xfId="0" applyFont="1" applyFill="1" applyBorder="1" applyAlignment="1">
      <alignment horizontal="left" vertical="center" wrapText="1"/>
    </xf>
    <xf numFmtId="2" fontId="249" fillId="0" borderId="6" xfId="0" applyNumberFormat="1" applyFont="1" applyFill="1" applyBorder="1" applyAlignment="1">
      <alignment horizontal="center" vertical="center" wrapText="1"/>
    </xf>
    <xf numFmtId="195" fontId="249" fillId="0" borderId="6" xfId="0" quotePrefix="1" applyNumberFormat="1" applyFont="1" applyFill="1" applyBorder="1" applyAlignment="1">
      <alignment horizontal="center" vertical="center" wrapText="1"/>
    </xf>
    <xf numFmtId="4" fontId="197" fillId="0" borderId="1" xfId="0" applyNumberFormat="1" applyFont="1" applyBorder="1"/>
    <xf numFmtId="3" fontId="250" fillId="0" borderId="6" xfId="0" applyNumberFormat="1" applyFont="1" applyFill="1" applyBorder="1" applyAlignment="1">
      <alignment horizontal="center" vertical="center" wrapText="1"/>
    </xf>
    <xf numFmtId="0" fontId="249" fillId="0" borderId="6" xfId="0" quotePrefix="1" applyNumberFormat="1" applyFont="1" applyFill="1" applyBorder="1" applyAlignment="1">
      <alignment horizontal="center" vertical="center" wrapText="1"/>
    </xf>
    <xf numFmtId="0" fontId="249" fillId="0" borderId="6" xfId="0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/>
    </xf>
    <xf numFmtId="3" fontId="248" fillId="0" borderId="6" xfId="0" applyNumberFormat="1" applyFont="1" applyFill="1" applyBorder="1" applyAlignment="1">
      <alignment horizontal="center" vertical="center" wrapText="1"/>
    </xf>
    <xf numFmtId="2" fontId="249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center" vertical="center"/>
    </xf>
    <xf numFmtId="2" fontId="249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/>
    </xf>
    <xf numFmtId="4" fontId="248" fillId="0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 wrapText="1"/>
    </xf>
    <xf numFmtId="1" fontId="251" fillId="7" borderId="6" xfId="10" applyNumberFormat="1" applyFont="1" applyFill="1" applyBorder="1" applyAlignment="1">
      <alignment horizontal="center" vertical="center"/>
    </xf>
    <xf numFmtId="4" fontId="249" fillId="7" borderId="6" xfId="273" applyNumberFormat="1" applyFont="1" applyFill="1" applyBorder="1" applyAlignment="1">
      <alignment horizontal="center" vertical="center"/>
    </xf>
    <xf numFmtId="1" fontId="251" fillId="7" borderId="6" xfId="273" applyNumberFormat="1" applyFont="1" applyFill="1" applyBorder="1" applyAlignment="1">
      <alignment horizontal="center" vertical="center"/>
    </xf>
    <xf numFmtId="4" fontId="252" fillId="7" borderId="6" xfId="273" applyNumberFormat="1" applyFont="1" applyFill="1" applyBorder="1" applyAlignment="1">
      <alignment horizontal="center" vertical="center"/>
    </xf>
    <xf numFmtId="0" fontId="249" fillId="7" borderId="6" xfId="273" applyFont="1" applyFill="1" applyBorder="1" applyAlignment="1">
      <alignment vertical="center" wrapText="1"/>
    </xf>
    <xf numFmtId="3" fontId="251" fillId="0" borderId="6" xfId="0" quotePrefix="1" applyNumberFormat="1" applyFont="1" applyFill="1" applyBorder="1" applyAlignment="1">
      <alignment horizontal="center" vertical="center"/>
    </xf>
    <xf numFmtId="2" fontId="252" fillId="0" borderId="6" xfId="0" quotePrefix="1" applyNumberFormat="1" applyFont="1" applyFill="1" applyBorder="1" applyAlignment="1">
      <alignment horizontal="center" vertical="center"/>
    </xf>
    <xf numFmtId="1" fontId="248" fillId="7" borderId="6" xfId="10" applyNumberFormat="1" applyFont="1" applyFill="1" applyBorder="1" applyAlignment="1">
      <alignment horizontal="center" vertical="center"/>
    </xf>
    <xf numFmtId="3" fontId="249" fillId="0" borderId="6" xfId="10" applyNumberFormat="1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vertical="center" wrapText="1"/>
    </xf>
    <xf numFmtId="2" fontId="249" fillId="0" borderId="6" xfId="0" applyNumberFormat="1" applyFont="1" applyFill="1" applyBorder="1" applyAlignment="1">
      <alignment vertical="center"/>
    </xf>
    <xf numFmtId="1" fontId="252" fillId="7" borderId="6" xfId="273" applyNumberFormat="1" applyFont="1" applyFill="1" applyBorder="1" applyAlignment="1">
      <alignment horizontal="center" vertical="center"/>
    </xf>
    <xf numFmtId="197" fontId="249" fillId="7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/>
    </xf>
    <xf numFmtId="197" fontId="249" fillId="0" borderId="6" xfId="0" applyNumberFormat="1" applyFont="1" applyFill="1" applyBorder="1" applyAlignment="1">
      <alignment horizontal="center" vertical="center"/>
    </xf>
    <xf numFmtId="0" fontId="249" fillId="0" borderId="6" xfId="0" quotePrefix="1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 wrapText="1"/>
    </xf>
    <xf numFmtId="2" fontId="248" fillId="0" borderId="17" xfId="0" applyNumberFormat="1" applyFont="1" applyFill="1" applyBorder="1" applyAlignment="1">
      <alignment horizontal="center" vertical="center" wrapText="1"/>
    </xf>
    <xf numFmtId="0" fontId="248" fillId="0" borderId="17" xfId="0" quotePrefix="1" applyNumberFormat="1" applyFont="1" applyFill="1" applyBorder="1" applyAlignment="1">
      <alignment horizontal="center" vertical="center" wrapText="1"/>
    </xf>
    <xf numFmtId="2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10" applyNumberFormat="1" applyFont="1" applyFill="1" applyBorder="1" applyAlignment="1">
      <alignment horizontal="center" vertical="center" wrapText="1"/>
    </xf>
    <xf numFmtId="0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 wrapText="1"/>
    </xf>
    <xf numFmtId="197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/>
    </xf>
    <xf numFmtId="4" fontId="201" fillId="0" borderId="6" xfId="10" applyNumberFormat="1" applyFont="1" applyFill="1" applyBorder="1" applyAlignment="1">
      <alignment horizontal="center" vertical="center" wrapText="1"/>
    </xf>
    <xf numFmtId="4" fontId="182" fillId="7" borderId="6" xfId="273" applyNumberFormat="1" applyFont="1" applyFill="1" applyBorder="1" applyAlignment="1">
      <alignment horizontal="center" vertical="center"/>
    </xf>
    <xf numFmtId="0" fontId="203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2" fontId="182" fillId="0" borderId="6" xfId="0" quotePrefix="1" applyNumberFormat="1" applyFont="1" applyFill="1" applyBorder="1" applyAlignment="1">
      <alignment horizontal="center" vertical="center"/>
    </xf>
    <xf numFmtId="4" fontId="203" fillId="0" borderId="0" xfId="0" applyNumberFormat="1" applyFont="1" applyAlignment="1">
      <alignment horizontal="center"/>
    </xf>
    <xf numFmtId="195" fontId="29" fillId="0" borderId="44" xfId="0" applyNumberFormat="1" applyFont="1" applyFill="1" applyBorder="1"/>
    <xf numFmtId="195" fontId="29" fillId="0" borderId="44" xfId="0" applyNumberFormat="1" applyFont="1" applyFill="1" applyBorder="1" applyAlignment="1">
      <alignment horizontal="center" vertical="center"/>
    </xf>
    <xf numFmtId="3" fontId="204" fillId="7" borderId="6" xfId="273" applyNumberFormat="1" applyFont="1" applyFill="1" applyBorder="1" applyAlignment="1">
      <alignment horizontal="center" vertical="center"/>
    </xf>
    <xf numFmtId="195" fontId="29" fillId="9" borderId="44" xfId="0" applyNumberFormat="1" applyFont="1" applyFill="1" applyBorder="1"/>
    <xf numFmtId="3" fontId="180" fillId="0" borderId="6" xfId="10" applyNumberFormat="1" applyFont="1" applyFill="1" applyBorder="1" applyAlignment="1">
      <alignment horizontal="center" vertical="center"/>
    </xf>
    <xf numFmtId="3" fontId="199" fillId="0" borderId="23" xfId="0" applyNumberFormat="1" applyFont="1" applyFill="1" applyBorder="1" applyAlignment="1">
      <alignment horizontal="center" vertical="center" wrapText="1"/>
    </xf>
    <xf numFmtId="0" fontId="199" fillId="0" borderId="23" xfId="0" applyFont="1" applyFill="1" applyBorder="1" applyAlignment="1">
      <alignment vertical="center" wrapText="1"/>
    </xf>
    <xf numFmtId="0" fontId="200" fillId="0" borderId="23" xfId="0" applyNumberFormat="1" applyFont="1" applyFill="1" applyBorder="1" applyAlignment="1">
      <alignment horizontal="center" vertical="center"/>
    </xf>
    <xf numFmtId="2" fontId="179" fillId="0" borderId="23" xfId="0" applyNumberFormat="1" applyFont="1" applyFill="1" applyBorder="1" applyAlignment="1">
      <alignment horizontal="center" vertical="center"/>
    </xf>
    <xf numFmtId="4" fontId="179" fillId="0" borderId="34" xfId="0" applyNumberFormat="1" applyFont="1" applyFill="1" applyBorder="1" applyAlignment="1">
      <alignment vertical="center"/>
    </xf>
    <xf numFmtId="3" fontId="179" fillId="0" borderId="23" xfId="0" applyNumberFormat="1" applyFont="1" applyFill="1" applyBorder="1" applyAlignment="1">
      <alignment horizontal="center" vertical="center"/>
    </xf>
    <xf numFmtId="197" fontId="179" fillId="0" borderId="23" xfId="0" applyNumberFormat="1" applyFont="1" applyFill="1" applyBorder="1" applyAlignment="1">
      <alignment horizontal="center" vertical="center"/>
    </xf>
    <xf numFmtId="0" fontId="199" fillId="0" borderId="23" xfId="0" quotePrefix="1" applyNumberFormat="1" applyFont="1" applyFill="1" applyBorder="1" applyAlignment="1">
      <alignment horizontal="center" vertical="center"/>
    </xf>
    <xf numFmtId="4" fontId="180" fillId="0" borderId="32" xfId="0" applyNumberFormat="1" applyFont="1" applyFill="1" applyBorder="1" applyAlignment="1">
      <alignment vertical="center"/>
    </xf>
    <xf numFmtId="3" fontId="180" fillId="0" borderId="23" xfId="0" applyNumberFormat="1" applyFont="1" applyFill="1" applyBorder="1" applyAlignment="1">
      <alignment horizontal="center" vertical="center"/>
    </xf>
    <xf numFmtId="197" fontId="180" fillId="0" borderId="23" xfId="0" applyNumberFormat="1" applyFont="1" applyFill="1" applyBorder="1" applyAlignment="1">
      <alignment horizontal="center" vertical="center"/>
    </xf>
    <xf numFmtId="0" fontId="253" fillId="0" borderId="0" xfId="26" applyFont="1" applyAlignment="1">
      <alignment horizontal="center"/>
    </xf>
    <xf numFmtId="0" fontId="65" fillId="0" borderId="0" xfId="26" applyFont="1" applyAlignment="1"/>
    <xf numFmtId="0" fontId="66" fillId="0" borderId="0" xfId="26" applyFont="1" applyAlignment="1"/>
    <xf numFmtId="0" fontId="254" fillId="0" borderId="0" xfId="26" applyFont="1" applyAlignment="1"/>
    <xf numFmtId="0" fontId="141" fillId="0" borderId="14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255" fillId="0" borderId="1" xfId="0" applyFont="1" applyBorder="1" applyAlignment="1">
      <alignment horizontal="center" vertical="center" wrapText="1"/>
    </xf>
    <xf numFmtId="218" fontId="66" fillId="0" borderId="1" xfId="8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/>
    </xf>
    <xf numFmtId="202" fontId="22" fillId="0" borderId="1" xfId="0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vertical="center" wrapText="1"/>
    </xf>
    <xf numFmtId="218" fontId="11" fillId="0" borderId="1" xfId="0" applyNumberFormat="1" applyFont="1" applyFill="1" applyBorder="1" applyAlignment="1">
      <alignment vertical="center" wrapText="1"/>
    </xf>
    <xf numFmtId="0" fontId="66" fillId="0" borderId="1" xfId="0" applyFont="1" applyBorder="1" applyAlignment="1">
      <alignment horizontal="center"/>
    </xf>
    <xf numFmtId="0" fontId="66" fillId="0" borderId="1" xfId="0" applyFont="1" applyBorder="1"/>
    <xf numFmtId="192" fontId="116" fillId="0" borderId="0" xfId="0" applyNumberFormat="1" applyFont="1"/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 wrapText="1"/>
    </xf>
    <xf numFmtId="3" fontId="65" fillId="0" borderId="1" xfId="0" applyNumberFormat="1" applyFont="1" applyBorder="1" applyAlignment="1">
      <alignment horizontal="center" vertical="center" wrapText="1"/>
    </xf>
    <xf numFmtId="199" fontId="234" fillId="0" borderId="6" xfId="0" applyNumberFormat="1" applyFont="1" applyFill="1" applyBorder="1" applyAlignment="1">
      <alignment vertical="center"/>
    </xf>
    <xf numFmtId="213" fontId="93" fillId="0" borderId="1" xfId="1" applyNumberFormat="1" applyFont="1" applyBorder="1" applyAlignment="1">
      <alignment horizontal="center" vertical="center"/>
    </xf>
    <xf numFmtId="218" fontId="114" fillId="0" borderId="0" xfId="0" applyNumberFormat="1" applyFont="1"/>
    <xf numFmtId="0" fontId="29" fillId="0" borderId="0" xfId="0" applyFont="1" applyFill="1" applyAlignment="1"/>
    <xf numFmtId="213" fontId="13" fillId="0" borderId="1" xfId="8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/>
    </xf>
    <xf numFmtId="2" fontId="111" fillId="0" borderId="0" xfId="0" applyNumberFormat="1" applyFont="1" applyFill="1" applyAlignment="1">
      <alignment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205" fontId="111" fillId="0" borderId="0" xfId="0" applyNumberFormat="1" applyFont="1" applyFill="1"/>
    <xf numFmtId="234" fontId="111" fillId="0" borderId="0" xfId="0" applyNumberFormat="1" applyFont="1" applyFill="1"/>
    <xf numFmtId="43" fontId="125" fillId="7" borderId="0" xfId="1" applyFont="1" applyFill="1" applyBorder="1"/>
    <xf numFmtId="189" fontId="125" fillId="7" borderId="0" xfId="0" applyNumberFormat="1" applyFont="1" applyFill="1" applyBorder="1"/>
    <xf numFmtId="198" fontId="111" fillId="0" borderId="0" xfId="0" applyNumberFormat="1" applyFont="1" applyFill="1"/>
    <xf numFmtId="213" fontId="125" fillId="7" borderId="0" xfId="0" applyNumberFormat="1" applyFont="1" applyFill="1" applyBorder="1"/>
    <xf numFmtId="0" fontId="103" fillId="0" borderId="0" xfId="255" applyFont="1" applyAlignment="1"/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97" fontId="197" fillId="0" borderId="0" xfId="0" applyNumberFormat="1" applyFont="1" applyAlignment="1">
      <alignment horizontal="center"/>
    </xf>
    <xf numFmtId="43" fontId="197" fillId="0" borderId="0" xfId="1" applyFont="1" applyAlignment="1">
      <alignment horizontal="center"/>
    </xf>
    <xf numFmtId="43" fontId="197" fillId="0" borderId="1" xfId="1" applyFont="1" applyBorder="1"/>
    <xf numFmtId="1" fontId="117" fillId="0" borderId="1" xfId="0" applyNumberFormat="1" applyFont="1" applyBorder="1" applyAlignment="1">
      <alignment horizontal="center" vertical="center" wrapText="1"/>
    </xf>
    <xf numFmtId="3" fontId="117" fillId="0" borderId="1" xfId="0" applyNumberFormat="1" applyFont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191" fontId="124" fillId="7" borderId="0" xfId="1" applyNumberFormat="1" applyFont="1" applyFill="1" applyBorder="1" applyAlignment="1">
      <alignment horizontal="center"/>
    </xf>
    <xf numFmtId="191" fontId="127" fillId="7" borderId="0" xfId="1" applyNumberFormat="1" applyFont="1" applyFill="1" applyBorder="1" applyAlignment="1">
      <alignment vertical="center"/>
    </xf>
    <xf numFmtId="191" fontId="20" fillId="0" borderId="0" xfId="0" applyNumberFormat="1" applyFont="1" applyBorder="1" applyAlignment="1">
      <alignment vertical="center"/>
    </xf>
    <xf numFmtId="240" fontId="4" fillId="0" borderId="6" xfId="1" applyNumberFormat="1" applyFont="1" applyBorder="1" applyAlignment="1">
      <alignment horizontal="center" vertical="center"/>
    </xf>
    <xf numFmtId="199" fontId="153" fillId="0" borderId="6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7" fillId="0" borderId="0" xfId="0" applyNumberFormat="1" applyFont="1"/>
    <xf numFmtId="0" fontId="125" fillId="0" borderId="27" xfId="0" applyFont="1" applyBorder="1" applyAlignment="1">
      <alignment horizontal="center" vertical="center"/>
    </xf>
    <xf numFmtId="0" fontId="22" fillId="0" borderId="21" xfId="255" applyFont="1" applyBorder="1" applyAlignment="1">
      <alignment horizontal="left" vertical="center"/>
    </xf>
    <xf numFmtId="192" fontId="125" fillId="0" borderId="22" xfId="1" applyNumberFormat="1" applyFont="1" applyFill="1" applyBorder="1" applyAlignment="1">
      <alignment horizontal="center" vertical="center"/>
    </xf>
    <xf numFmtId="2" fontId="164" fillId="0" borderId="15" xfId="1" applyNumberFormat="1" applyFont="1" applyFill="1" applyBorder="1" applyAlignment="1">
      <alignment horizontal="right" vertical="center" indent="1"/>
    </xf>
    <xf numFmtId="0" fontId="136" fillId="0" borderId="27" xfId="0" applyFont="1" applyBorder="1" applyAlignment="1">
      <alignment horizontal="center" vertical="center"/>
    </xf>
    <xf numFmtId="192" fontId="136" fillId="0" borderId="1" xfId="1" applyNumberFormat="1" applyFont="1" applyFill="1" applyBorder="1" applyAlignment="1">
      <alignment horizontal="right" vertical="center" indent="1"/>
    </xf>
    <xf numFmtId="192" fontId="136" fillId="0" borderId="1" xfId="1" applyNumberFormat="1" applyFont="1" applyFill="1" applyBorder="1" applyAlignment="1">
      <alignment horizontal="center" vertical="center"/>
    </xf>
    <xf numFmtId="192" fontId="136" fillId="0" borderId="22" xfId="1" applyNumberFormat="1" applyFont="1" applyFill="1" applyBorder="1" applyAlignment="1">
      <alignment horizontal="center" vertical="center"/>
    </xf>
    <xf numFmtId="43" fontId="136" fillId="0" borderId="22" xfId="1" applyFont="1" applyFill="1" applyBorder="1" applyAlignment="1">
      <alignment horizontal="center" vertical="center"/>
    </xf>
    <xf numFmtId="192" fontId="77" fillId="0" borderId="1" xfId="1" applyNumberFormat="1" applyFont="1" applyFill="1" applyBorder="1" applyAlignment="1">
      <alignment vertical="center"/>
    </xf>
    <xf numFmtId="189" fontId="77" fillId="0" borderId="1" xfId="1" applyNumberFormat="1" applyFont="1" applyFill="1" applyBorder="1" applyAlignment="1">
      <alignment vertical="center"/>
    </xf>
    <xf numFmtId="192" fontId="136" fillId="0" borderId="1" xfId="1" applyNumberFormat="1" applyFont="1" applyFill="1" applyBorder="1" applyAlignment="1">
      <alignment vertical="center"/>
    </xf>
    <xf numFmtId="189" fontId="136" fillId="0" borderId="1" xfId="1" applyNumberFormat="1" applyFont="1" applyFill="1" applyBorder="1" applyAlignment="1">
      <alignment vertical="center"/>
    </xf>
    <xf numFmtId="189" fontId="77" fillId="0" borderId="1" xfId="0" applyNumberFormat="1" applyFont="1" applyBorder="1" applyAlignment="1">
      <alignment vertical="center"/>
    </xf>
    <xf numFmtId="192" fontId="136" fillId="0" borderId="1" xfId="0" applyNumberFormat="1" applyFont="1" applyBorder="1" applyAlignment="1">
      <alignment vertical="center"/>
    </xf>
    <xf numFmtId="189" fontId="136" fillId="0" borderId="1" xfId="0" applyNumberFormat="1" applyFont="1" applyBorder="1" applyAlignment="1">
      <alignment vertical="center"/>
    </xf>
    <xf numFmtId="2" fontId="136" fillId="0" borderId="15" xfId="1" applyNumberFormat="1" applyFont="1" applyFill="1" applyBorder="1" applyAlignment="1">
      <alignment horizontal="right" vertical="center" indent="1"/>
    </xf>
    <xf numFmtId="192" fontId="223" fillId="0" borderId="1" xfId="0" applyNumberFormat="1" applyFont="1" applyBorder="1" applyAlignment="1">
      <alignment vertical="center"/>
    </xf>
    <xf numFmtId="0" fontId="136" fillId="0" borderId="0" xfId="0" applyFont="1" applyAlignment="1">
      <alignment vertical="center"/>
    </xf>
    <xf numFmtId="0" fontId="164" fillId="0" borderId="27" xfId="0" applyFont="1" applyBorder="1" applyAlignment="1">
      <alignment horizontal="center" vertical="center"/>
    </xf>
    <xf numFmtId="0" fontId="101" fillId="0" borderId="21" xfId="255" applyFont="1" applyBorder="1" applyAlignment="1">
      <alignment horizontal="left" vertical="center"/>
    </xf>
    <xf numFmtId="0" fontId="101" fillId="0" borderId="31" xfId="255" applyFont="1" applyBorder="1" applyAlignment="1">
      <alignment horizontal="left" vertical="center"/>
    </xf>
    <xf numFmtId="192" fontId="164" fillId="0" borderId="1" xfId="1" applyNumberFormat="1" applyFont="1" applyFill="1" applyBorder="1" applyAlignment="1">
      <alignment horizontal="right" vertical="center" indent="1"/>
    </xf>
    <xf numFmtId="192" fontId="164" fillId="0" borderId="1" xfId="1" applyNumberFormat="1" applyFont="1" applyFill="1" applyBorder="1" applyAlignment="1">
      <alignment horizontal="center" vertical="center"/>
    </xf>
    <xf numFmtId="192" fontId="164" fillId="0" borderId="22" xfId="1" applyNumberFormat="1" applyFont="1" applyFill="1" applyBorder="1" applyAlignment="1">
      <alignment horizontal="center" vertical="center"/>
    </xf>
    <xf numFmtId="43" fontId="164" fillId="0" borderId="22" xfId="1" applyFont="1" applyFill="1" applyBorder="1" applyAlignment="1">
      <alignment horizontal="center" vertical="center"/>
    </xf>
    <xf numFmtId="192" fontId="101" fillId="0" borderId="1" xfId="1" applyNumberFormat="1" applyFont="1" applyFill="1" applyBorder="1" applyAlignment="1">
      <alignment vertical="center"/>
    </xf>
    <xf numFmtId="189" fontId="101" fillId="0" borderId="1" xfId="1" applyNumberFormat="1" applyFont="1" applyFill="1" applyBorder="1" applyAlignment="1">
      <alignment vertical="center"/>
    </xf>
    <xf numFmtId="192" fontId="164" fillId="0" borderId="1" xfId="1" applyNumberFormat="1" applyFont="1" applyFill="1" applyBorder="1" applyAlignment="1">
      <alignment vertical="center"/>
    </xf>
    <xf numFmtId="189" fontId="164" fillId="0" borderId="1" xfId="1" applyNumberFormat="1" applyFont="1" applyFill="1" applyBorder="1" applyAlignment="1">
      <alignment vertical="center"/>
    </xf>
    <xf numFmtId="189" fontId="101" fillId="0" borderId="1" xfId="0" applyNumberFormat="1" applyFont="1" applyBorder="1" applyAlignment="1">
      <alignment vertical="center"/>
    </xf>
    <xf numFmtId="192" fontId="164" fillId="0" borderId="1" xfId="0" applyNumberFormat="1" applyFont="1" applyBorder="1" applyAlignment="1">
      <alignment vertical="center"/>
    </xf>
    <xf numFmtId="189" fontId="164" fillId="0" borderId="1" xfId="0" applyNumberFormat="1" applyFont="1" applyBorder="1" applyAlignment="1">
      <alignment vertical="center"/>
    </xf>
    <xf numFmtId="192" fontId="178" fillId="0" borderId="1" xfId="0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3" fontId="125" fillId="0" borderId="1" xfId="1" applyNumberFormat="1" applyFont="1" applyFill="1" applyBorder="1" applyAlignment="1">
      <alignment horizontal="center" vertical="center"/>
    </xf>
    <xf numFmtId="43" fontId="164" fillId="0" borderId="30" xfId="1" applyNumberFormat="1" applyFont="1" applyFill="1" applyBorder="1" applyAlignment="1">
      <alignment vertical="center" shrinkToFit="1"/>
    </xf>
    <xf numFmtId="43" fontId="124" fillId="0" borderId="1" xfId="1" applyNumberFormat="1" applyFont="1" applyFill="1" applyBorder="1" applyAlignment="1">
      <alignment vertical="center" shrinkToFit="1"/>
    </xf>
    <xf numFmtId="3" fontId="164" fillId="0" borderId="1" xfId="1" applyNumberFormat="1" applyFont="1" applyFill="1" applyBorder="1" applyAlignment="1">
      <alignment horizontal="center" vertical="center"/>
    </xf>
    <xf numFmtId="191" fontId="164" fillId="0" borderId="30" xfId="1" applyNumberFormat="1" applyFont="1" applyFill="1" applyBorder="1" applyAlignment="1">
      <alignment horizontal="center" vertical="center" shrinkToFit="1"/>
    </xf>
    <xf numFmtId="191" fontId="164" fillId="0" borderId="25" xfId="1" applyNumberFormat="1" applyFont="1" applyFill="1" applyBorder="1" applyAlignment="1">
      <alignment vertical="center"/>
    </xf>
    <xf numFmtId="199" fontId="236" fillId="0" borderId="1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vertical="center" wrapText="1"/>
    </xf>
    <xf numFmtId="199" fontId="261" fillId="0" borderId="16" xfId="0" applyNumberFormat="1" applyFont="1" applyFill="1" applyBorder="1" applyAlignment="1">
      <alignment horizontal="right" vertical="center"/>
    </xf>
    <xf numFmtId="199" fontId="261" fillId="0" borderId="6" xfId="0" applyNumberFormat="1" applyFont="1" applyFill="1" applyBorder="1" applyAlignment="1">
      <alignment horizontal="right" vertical="center"/>
    </xf>
    <xf numFmtId="199" fontId="262" fillId="0" borderId="6" xfId="0" applyNumberFormat="1" applyFont="1" applyFill="1" applyBorder="1" applyAlignment="1">
      <alignment horizontal="right" vertical="center"/>
    </xf>
    <xf numFmtId="199" fontId="9" fillId="0" borderId="18" xfId="0" applyNumberFormat="1" applyFont="1" applyFill="1" applyBorder="1" applyAlignment="1">
      <alignment vertical="center" wrapText="1"/>
    </xf>
    <xf numFmtId="199" fontId="236" fillId="0" borderId="1" xfId="0" applyNumberFormat="1" applyFont="1" applyFill="1" applyBorder="1" applyAlignment="1">
      <alignment horizontal="center" vertical="center"/>
    </xf>
    <xf numFmtId="191" fontId="0" fillId="0" borderId="0" xfId="1" applyNumberFormat="1" applyFont="1"/>
    <xf numFmtId="0" fontId="263" fillId="0" borderId="0" xfId="0" applyFont="1"/>
    <xf numFmtId="0" fontId="0" fillId="0" borderId="0" xfId="0" applyFont="1"/>
    <xf numFmtId="242" fontId="0" fillId="0" borderId="0" xfId="0" applyNumberFormat="1"/>
    <xf numFmtId="233" fontId="262" fillId="0" borderId="6" xfId="0" applyNumberFormat="1" applyFont="1" applyFill="1" applyBorder="1" applyAlignment="1">
      <alignment horizontal="right" vertical="center"/>
    </xf>
    <xf numFmtId="233" fontId="239" fillId="0" borderId="17" xfId="0" applyNumberFormat="1" applyFont="1" applyFill="1" applyBorder="1" applyAlignment="1">
      <alignment horizontal="right" vertical="center"/>
    </xf>
    <xf numFmtId="199" fontId="0" fillId="0" borderId="1" xfId="0" applyNumberFormat="1" applyBorder="1"/>
    <xf numFmtId="241" fontId="0" fillId="0" borderId="1" xfId="0" applyNumberFormat="1" applyBorder="1"/>
    <xf numFmtId="242" fontId="0" fillId="0" borderId="1" xfId="0" applyNumberFormat="1" applyBorder="1"/>
    <xf numFmtId="233" fontId="0" fillId="0" borderId="1" xfId="0" applyNumberFormat="1" applyBorder="1"/>
    <xf numFmtId="191" fontId="0" fillId="0" borderId="1" xfId="0" applyNumberFormat="1" applyBorder="1"/>
    <xf numFmtId="43" fontId="0" fillId="0" borderId="1" xfId="1" applyFont="1" applyBorder="1"/>
    <xf numFmtId="0" fontId="0" fillId="0" borderId="0" xfId="0" applyAlignment="1">
      <alignment horizontal="right"/>
    </xf>
    <xf numFmtId="199" fontId="236" fillId="0" borderId="16" xfId="0" applyNumberFormat="1" applyFont="1" applyFill="1" applyBorder="1" applyAlignment="1">
      <alignment horizontal="right" vertical="center"/>
    </xf>
    <xf numFmtId="199" fontId="261" fillId="0" borderId="16" xfId="8" applyNumberFormat="1" applyFont="1" applyFill="1" applyBorder="1" applyAlignment="1">
      <alignment horizontal="right" vertical="center"/>
    </xf>
    <xf numFmtId="233" fontId="9" fillId="0" borderId="6" xfId="0" applyNumberFormat="1" applyFont="1" applyFill="1" applyBorder="1" applyAlignment="1">
      <alignment horizontal="right" vertical="center"/>
    </xf>
    <xf numFmtId="233" fontId="261" fillId="0" borderId="6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0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203" fillId="0" borderId="1" xfId="0" applyFont="1" applyBorder="1" applyAlignment="1">
      <alignment horizontal="center" vertical="center"/>
    </xf>
    <xf numFmtId="240" fontId="92" fillId="0" borderId="23" xfId="1" applyNumberFormat="1" applyFont="1" applyBorder="1" applyAlignment="1">
      <alignment horizontal="center" vertical="center"/>
    </xf>
    <xf numFmtId="213" fontId="173" fillId="0" borderId="1" xfId="1" applyNumberFormat="1" applyFont="1" applyBorder="1" applyAlignment="1">
      <alignment horizontal="center" vertical="center"/>
    </xf>
    <xf numFmtId="9" fontId="197" fillId="0" borderId="1" xfId="0" applyNumberFormat="1" applyFont="1" applyBorder="1" applyAlignment="1">
      <alignment horizontal="center" vertical="center"/>
    </xf>
    <xf numFmtId="197" fontId="197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9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87" applyFont="1" applyBorder="1" applyAlignment="1">
      <alignment horizontal="center"/>
    </xf>
    <xf numFmtId="1" fontId="0" fillId="0" borderId="1" xfId="287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37" fontId="0" fillId="0" borderId="1" xfId="0" applyNumberFormat="1" applyBorder="1" applyAlignment="1">
      <alignment horizontal="center" vertical="center"/>
    </xf>
    <xf numFmtId="197" fontId="0" fillId="0" borderId="1" xfId="0" applyNumberFormat="1" applyFill="1" applyBorder="1" applyAlignment="1">
      <alignment horizontal="center"/>
    </xf>
    <xf numFmtId="4" fontId="197" fillId="0" borderId="0" xfId="0" applyNumberFormat="1" applyFont="1" applyBorder="1"/>
    <xf numFmtId="2" fontId="0" fillId="0" borderId="0" xfId="0" applyNumberFormat="1" applyBorder="1"/>
    <xf numFmtId="191" fontId="0" fillId="0" borderId="0" xfId="0" applyNumberFormat="1"/>
    <xf numFmtId="0" fontId="39" fillId="13" borderId="68" xfId="0" applyNumberFormat="1" applyFont="1" applyFill="1" applyBorder="1" applyAlignment="1">
      <alignment horizontal="left" shrinkToFit="1"/>
    </xf>
    <xf numFmtId="195" fontId="189" fillId="0" borderId="1" xfId="0" applyNumberFormat="1" applyFont="1" applyBorder="1" applyAlignment="1">
      <alignment horizontal="center"/>
    </xf>
    <xf numFmtId="239" fontId="22" fillId="0" borderId="20" xfId="1" applyNumberFormat="1" applyFont="1" applyFill="1" applyBorder="1" applyAlignment="1">
      <alignment horizontal="center" vertical="center" wrapText="1" readingOrder="1"/>
    </xf>
    <xf numFmtId="1" fontId="11" fillId="0" borderId="0" xfId="0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shrinkToFit="1"/>
    </xf>
    <xf numFmtId="0" fontId="77" fillId="0" borderId="14" xfId="0" applyFont="1" applyBorder="1" applyAlignment="1">
      <alignment horizontal="center"/>
    </xf>
    <xf numFmtId="191" fontId="136" fillId="7" borderId="1" xfId="1" applyNumberFormat="1" applyFont="1" applyFill="1" applyBorder="1" applyAlignment="1">
      <alignment horizontal="center" wrapText="1"/>
    </xf>
    <xf numFmtId="3" fontId="125" fillId="7" borderId="0" xfId="0" applyNumberFormat="1" applyFont="1" applyFill="1" applyBorder="1"/>
    <xf numFmtId="3" fontId="124" fillId="7" borderId="0" xfId="0" applyNumberFormat="1" applyFont="1" applyFill="1" applyAlignment="1">
      <alignment horizontal="center" vertical="center"/>
    </xf>
    <xf numFmtId="2" fontId="22" fillId="0" borderId="0" xfId="0" applyNumberFormat="1" applyFont="1"/>
    <xf numFmtId="194" fontId="127" fillId="0" borderId="0" xfId="0" applyNumberFormat="1" applyFont="1"/>
    <xf numFmtId="240" fontId="35" fillId="0" borderId="1" xfId="1" applyNumberFormat="1" applyFont="1" applyBorder="1" applyAlignment="1">
      <alignment horizontal="center" vertical="center"/>
    </xf>
    <xf numFmtId="2" fontId="93" fillId="0" borderId="20" xfId="1" applyNumberFormat="1" applyFont="1" applyFill="1" applyBorder="1" applyAlignment="1">
      <alignment horizontal="center" vertical="center"/>
    </xf>
    <xf numFmtId="2" fontId="93" fillId="0" borderId="20" xfId="1" applyNumberFormat="1" applyFont="1" applyFill="1" applyBorder="1" applyAlignment="1">
      <alignment horizontal="center" vertical="center" wrapText="1"/>
    </xf>
    <xf numFmtId="0" fontId="22" fillId="7" borderId="0" xfId="0" applyFont="1" applyFill="1"/>
    <xf numFmtId="0" fontId="20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0" fillId="7" borderId="0" xfId="0" applyFont="1" applyFill="1"/>
    <xf numFmtId="0" fontId="16" fillId="7" borderId="0" xfId="0" applyFont="1" applyFill="1" applyAlignment="1">
      <alignment horizontal="center"/>
    </xf>
    <xf numFmtId="0" fontId="150" fillId="7" borderId="0" xfId="0" applyFont="1" applyFill="1" applyAlignment="1">
      <alignment horizontal="center"/>
    </xf>
    <xf numFmtId="224" fontId="150" fillId="7" borderId="0" xfId="1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01" fillId="7" borderId="0" xfId="0" applyFont="1" applyFill="1" applyAlignment="1">
      <alignment horizontal="center" shrinkToFit="1"/>
    </xf>
    <xf numFmtId="0" fontId="101" fillId="7" borderId="0" xfId="0" applyFont="1" applyFill="1" applyAlignment="1">
      <alignment shrinkToFit="1"/>
    </xf>
    <xf numFmtId="43" fontId="22" fillId="7" borderId="0" xfId="1" applyFont="1" applyFill="1" applyBorder="1" applyAlignment="1"/>
    <xf numFmtId="193" fontId="22" fillId="7" borderId="0" xfId="1" applyNumberFormat="1" applyFont="1" applyFill="1" applyBorder="1" applyAlignment="1"/>
    <xf numFmtId="192" fontId="22" fillId="7" borderId="0" xfId="1" applyNumberFormat="1" applyFont="1" applyFill="1" applyBorder="1" applyAlignment="1">
      <alignment horizontal="center"/>
    </xf>
    <xf numFmtId="192" fontId="22" fillId="7" borderId="0" xfId="1" applyNumberFormat="1" applyFont="1" applyFill="1" applyBorder="1" applyAlignment="1"/>
    <xf numFmtId="192" fontId="22" fillId="7" borderId="0" xfId="1" applyNumberFormat="1" applyFont="1" applyFill="1" applyBorder="1"/>
    <xf numFmtId="0" fontId="20" fillId="7" borderId="1" xfId="0" applyFont="1" applyFill="1" applyBorder="1" applyAlignment="1">
      <alignment vertical="center" shrinkToFit="1"/>
    </xf>
    <xf numFmtId="193" fontId="20" fillId="7" borderId="1" xfId="1" applyNumberFormat="1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04" fillId="7" borderId="1" xfId="25" applyFont="1" applyFill="1" applyBorder="1" applyAlignment="1">
      <alignment horizontal="left" vertical="center"/>
    </xf>
    <xf numFmtId="3" fontId="22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200" fontId="22" fillId="7" borderId="1" xfId="0" applyNumberFormat="1" applyFont="1" applyFill="1" applyBorder="1" applyAlignment="1">
      <alignment vertical="center"/>
    </xf>
    <xf numFmtId="188" fontId="22" fillId="7" borderId="1" xfId="1" applyNumberFormat="1" applyFont="1" applyFill="1" applyBorder="1" applyAlignment="1">
      <alignment vertical="center"/>
    </xf>
    <xf numFmtId="213" fontId="22" fillId="7" borderId="1" xfId="1" applyNumberFormat="1" applyFont="1" applyFill="1" applyBorder="1" applyAlignment="1">
      <alignment horizontal="center" vertical="center"/>
    </xf>
    <xf numFmtId="213" fontId="22" fillId="7" borderId="1" xfId="1" applyNumberFormat="1" applyFont="1" applyFill="1" applyBorder="1" applyAlignment="1">
      <alignment horizontal="center" vertical="center" wrapText="1"/>
    </xf>
    <xf numFmtId="188" fontId="22" fillId="7" borderId="1" xfId="0" applyNumberFormat="1" applyFont="1" applyFill="1" applyBorder="1" applyAlignment="1">
      <alignment vertical="center"/>
    </xf>
    <xf numFmtId="191" fontId="22" fillId="7" borderId="1" xfId="1" applyNumberFormat="1" applyFont="1" applyFill="1" applyBorder="1" applyAlignment="1">
      <alignment horizontal="right" vertical="center" wrapText="1"/>
    </xf>
    <xf numFmtId="213" fontId="22" fillId="7" borderId="0" xfId="0" applyNumberFormat="1" applyFont="1" applyFill="1" applyBorder="1"/>
    <xf numFmtId="191" fontId="22" fillId="7" borderId="0" xfId="1" applyNumberFormat="1" applyFont="1" applyFill="1" applyBorder="1"/>
    <xf numFmtId="191" fontId="22" fillId="7" borderId="0" xfId="0" applyNumberFormat="1" applyFont="1" applyFill="1" applyBorder="1"/>
    <xf numFmtId="0" fontId="20" fillId="7" borderId="1" xfId="0" applyFont="1" applyFill="1" applyBorder="1" applyAlignment="1">
      <alignment horizontal="center" vertical="center" shrinkToFit="1"/>
    </xf>
    <xf numFmtId="3" fontId="20" fillId="7" borderId="1" xfId="1" applyNumberFormat="1" applyFont="1" applyFill="1" applyBorder="1" applyAlignment="1">
      <alignment vertical="center" shrinkToFit="1"/>
    </xf>
    <xf numFmtId="213" fontId="20" fillId="7" borderId="1" xfId="1" applyNumberFormat="1" applyFont="1" applyFill="1" applyBorder="1" applyAlignment="1">
      <alignment horizontal="center" vertical="center" shrinkToFit="1"/>
    </xf>
    <xf numFmtId="4" fontId="20" fillId="7" borderId="0" xfId="1" applyNumberFormat="1" applyFont="1" applyFill="1" applyBorder="1" applyAlignment="1">
      <alignment vertical="center" shrinkToFit="1"/>
    </xf>
    <xf numFmtId="0" fontId="20" fillId="7" borderId="0" xfId="0" applyFont="1" applyFill="1" applyBorder="1" applyAlignment="1">
      <alignment vertical="center"/>
    </xf>
    <xf numFmtId="0" fontId="22" fillId="7" borderId="0" xfId="0" applyFont="1" applyFill="1" applyAlignment="1">
      <alignment shrinkToFit="1"/>
    </xf>
    <xf numFmtId="193" fontId="22" fillId="7" borderId="0" xfId="1" applyNumberFormat="1" applyFont="1" applyFill="1"/>
    <xf numFmtId="192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/>
    <xf numFmtId="0" fontId="77" fillId="7" borderId="0" xfId="0" applyFont="1" applyFill="1" applyAlignment="1">
      <alignment vertical="center"/>
    </xf>
    <xf numFmtId="0" fontId="77" fillId="7" borderId="0" xfId="0" applyFont="1" applyFill="1" applyAlignment="1">
      <alignment horizontal="center" vertical="center"/>
    </xf>
    <xf numFmtId="192" fontId="22" fillId="7" borderId="0" xfId="0" applyNumberFormat="1" applyFont="1" applyFill="1"/>
    <xf numFmtId="200" fontId="22" fillId="7" borderId="0" xfId="0" applyNumberFormat="1" applyFont="1" applyFill="1"/>
    <xf numFmtId="189" fontId="20" fillId="7" borderId="0" xfId="0" applyNumberFormat="1" applyFont="1" applyFill="1" applyAlignment="1">
      <alignment vertical="center"/>
    </xf>
    <xf numFmtId="192" fontId="22" fillId="7" borderId="0" xfId="1" applyNumberFormat="1" applyFont="1" applyFill="1"/>
    <xf numFmtId="194" fontId="22" fillId="7" borderId="0" xfId="0" applyNumberFormat="1" applyFont="1" applyFill="1"/>
    <xf numFmtId="192" fontId="22" fillId="7" borderId="0" xfId="1" applyNumberFormat="1" applyFont="1" applyFill="1" applyAlignment="1">
      <alignment shrinkToFit="1"/>
    </xf>
    <xf numFmtId="197" fontId="22" fillId="7" borderId="0" xfId="0" applyNumberFormat="1" applyFont="1" applyFill="1"/>
    <xf numFmtId="191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 applyAlignment="1">
      <alignment horizontal="center"/>
    </xf>
    <xf numFmtId="43" fontId="22" fillId="7" borderId="0" xfId="0" applyNumberFormat="1" applyFont="1" applyFill="1" applyAlignment="1">
      <alignment horizontal="center"/>
    </xf>
    <xf numFmtId="2" fontId="22" fillId="7" borderId="0" xfId="0" applyNumberFormat="1" applyFont="1" applyFill="1"/>
    <xf numFmtId="189" fontId="22" fillId="7" borderId="0" xfId="0" applyNumberFormat="1" applyFont="1" applyFill="1"/>
    <xf numFmtId="4" fontId="22" fillId="7" borderId="0" xfId="0" applyNumberFormat="1" applyFont="1" applyFill="1" applyAlignment="1">
      <alignment horizontal="center"/>
    </xf>
    <xf numFmtId="0" fontId="23" fillId="7" borderId="0" xfId="0" applyFont="1" applyFill="1"/>
    <xf numFmtId="43" fontId="23" fillId="7" borderId="0" xfId="0" applyNumberFormat="1" applyFont="1" applyFill="1" applyAlignment="1">
      <alignment horizontal="center"/>
    </xf>
    <xf numFmtId="191" fontId="23" fillId="7" borderId="0" xfId="1" applyNumberFormat="1" applyFont="1" applyFill="1"/>
    <xf numFmtId="193" fontId="23" fillId="7" borderId="0" xfId="1" applyNumberFormat="1" applyFont="1" applyFill="1"/>
    <xf numFmtId="0" fontId="23" fillId="7" borderId="0" xfId="0" applyFont="1" applyFill="1" applyAlignment="1">
      <alignment horizontal="center"/>
    </xf>
    <xf numFmtId="3" fontId="23" fillId="7" borderId="0" xfId="0" applyNumberFormat="1" applyFont="1" applyFill="1"/>
    <xf numFmtId="191" fontId="24" fillId="7" borderId="0" xfId="1" applyNumberFormat="1" applyFont="1" applyFill="1" applyAlignment="1"/>
    <xf numFmtId="191" fontId="22" fillId="7" borderId="0" xfId="0" applyNumberFormat="1" applyFont="1" applyFill="1"/>
    <xf numFmtId="0" fontId="22" fillId="7" borderId="0" xfId="0" applyFont="1" applyFill="1" applyAlignment="1">
      <alignment horizontal="left"/>
    </xf>
    <xf numFmtId="0" fontId="22" fillId="7" borderId="0" xfId="0" applyFont="1" applyFill="1" applyAlignment="1">
      <alignment horizontal="right"/>
    </xf>
    <xf numFmtId="189" fontId="22" fillId="7" borderId="0" xfId="1" applyNumberFormat="1" applyFont="1" applyFill="1"/>
    <xf numFmtId="0" fontId="22" fillId="7" borderId="0" xfId="0" applyFont="1" applyFill="1" applyBorder="1" applyAlignment="1">
      <alignment horizontal="right"/>
    </xf>
    <xf numFmtId="37" fontId="20" fillId="7" borderId="1" xfId="1" applyNumberFormat="1" applyFont="1" applyFill="1" applyBorder="1" applyAlignment="1">
      <alignment horizontal="center" vertical="center" wrapText="1"/>
    </xf>
    <xf numFmtId="1" fontId="111" fillId="0" borderId="0" xfId="3" applyNumberFormat="1" applyFont="1" applyFill="1"/>
    <xf numFmtId="1" fontId="111" fillId="0" borderId="0" xfId="3" applyNumberFormat="1" applyFont="1" applyFill="1" applyAlignment="1">
      <alignment vertical="center"/>
    </xf>
    <xf numFmtId="1" fontId="11" fillId="0" borderId="0" xfId="3" applyNumberFormat="1" applyFont="1" applyFill="1" applyAlignment="1">
      <alignment horizontal="center" shrinkToFit="1"/>
    </xf>
    <xf numFmtId="1" fontId="13" fillId="0" borderId="0" xfId="3" applyNumberFormat="1" applyFont="1" applyFill="1" applyAlignment="1">
      <alignment horizontal="center" shrinkToFit="1"/>
    </xf>
    <xf numFmtId="1" fontId="11" fillId="0" borderId="0" xfId="3" applyNumberFormat="1" applyFont="1" applyFill="1" applyAlignment="1">
      <alignment horizontal="center"/>
    </xf>
    <xf numFmtId="1" fontId="13" fillId="0" borderId="0" xfId="3" applyNumberFormat="1" applyFont="1" applyFill="1" applyAlignment="1">
      <alignment horizontal="center"/>
    </xf>
    <xf numFmtId="213" fontId="27" fillId="0" borderId="1" xfId="3" applyNumberFormat="1" applyFont="1" applyFill="1" applyBorder="1" applyAlignment="1">
      <alignment horizontal="center" vertical="center" shrinkToFit="1"/>
    </xf>
    <xf numFmtId="213" fontId="13" fillId="0" borderId="1" xfId="3" applyNumberFormat="1" applyFont="1" applyFill="1" applyBorder="1" applyAlignment="1">
      <alignment horizontal="center" vertical="center" shrinkToFit="1"/>
    </xf>
    <xf numFmtId="192" fontId="141" fillId="0" borderId="1" xfId="3" applyNumberFormat="1" applyFont="1" applyFill="1" applyBorder="1" applyAlignment="1">
      <alignment horizontal="center" vertical="center"/>
    </xf>
    <xf numFmtId="192" fontId="141" fillId="0" borderId="1" xfId="3" applyNumberFormat="1" applyFont="1" applyFill="1" applyBorder="1" applyAlignment="1">
      <alignment vertical="center"/>
    </xf>
    <xf numFmtId="213" fontId="141" fillId="0" borderId="1" xfId="3" applyNumberFormat="1" applyFont="1" applyFill="1" applyBorder="1" applyAlignment="1">
      <alignment horizontal="center" vertical="center" shrinkToFit="1"/>
    </xf>
    <xf numFmtId="213" fontId="137" fillId="0" borderId="1" xfId="3" applyNumberFormat="1" applyFont="1" applyFill="1" applyBorder="1" applyAlignment="1">
      <alignment horizontal="center" vertical="center" shrinkToFit="1"/>
    </xf>
    <xf numFmtId="213" fontId="65" fillId="0" borderId="1" xfId="3" applyNumberFormat="1" applyFont="1" applyFill="1" applyBorder="1" applyAlignment="1">
      <alignment horizontal="center" vertical="center" shrinkToFit="1"/>
    </xf>
    <xf numFmtId="213" fontId="111" fillId="0" borderId="1" xfId="3" applyNumberFormat="1" applyFont="1" applyFill="1" applyBorder="1" applyAlignment="1">
      <alignment horizontal="center" vertical="center" shrinkToFit="1"/>
    </xf>
    <xf numFmtId="192" fontId="65" fillId="0" borderId="1" xfId="3" applyNumberFormat="1" applyFont="1" applyFill="1" applyBorder="1" applyAlignment="1">
      <alignment vertical="center"/>
    </xf>
    <xf numFmtId="213" fontId="11" fillId="0" borderId="1" xfId="3" applyNumberFormat="1" applyFont="1" applyFill="1" applyBorder="1" applyAlignment="1">
      <alignment horizontal="center" vertical="center"/>
    </xf>
    <xf numFmtId="1" fontId="13" fillId="0" borderId="1" xfId="3" applyNumberFormat="1" applyFont="1" applyFill="1" applyBorder="1" applyAlignment="1">
      <alignment horizontal="center"/>
    </xf>
    <xf numFmtId="1" fontId="111" fillId="0" borderId="0" xfId="3" applyNumberFormat="1" applyFont="1" applyFill="1" applyAlignment="1"/>
    <xf numFmtId="1" fontId="134" fillId="0" borderId="0" xfId="3" applyNumberFormat="1" applyFont="1" applyFill="1" applyAlignment="1">
      <alignment vertical="center"/>
    </xf>
    <xf numFmtId="191" fontId="111" fillId="0" borderId="0" xfId="3" applyNumberFormat="1" applyFont="1" applyFill="1"/>
    <xf numFmtId="1" fontId="134" fillId="0" borderId="0" xfId="3" applyNumberFormat="1" applyFont="1" applyFill="1"/>
    <xf numFmtId="1" fontId="11" fillId="0" borderId="0" xfId="3" applyNumberFormat="1" applyFont="1" applyFill="1" applyAlignment="1">
      <alignment horizontal="center" vertical="center"/>
    </xf>
    <xf numFmtId="1" fontId="13" fillId="0" borderId="0" xfId="3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/>
    </xf>
    <xf numFmtId="1" fontId="11" fillId="0" borderId="0" xfId="275" applyNumberFormat="1" applyFont="1" applyFill="1" applyAlignment="1">
      <alignment horizontal="center" shrinkToFit="1"/>
    </xf>
    <xf numFmtId="1" fontId="13" fillId="0" borderId="1" xfId="28" applyNumberFormat="1" applyFont="1" applyFill="1" applyBorder="1" applyAlignment="1">
      <alignment horizontal="center" vertical="center"/>
    </xf>
    <xf numFmtId="1" fontId="180" fillId="0" borderId="1" xfId="303" applyNumberFormat="1" applyFont="1" applyBorder="1" applyAlignment="1">
      <alignment horizontal="left"/>
    </xf>
    <xf numFmtId="191" fontId="13" fillId="0" borderId="1" xfId="1" applyNumberFormat="1" applyFont="1" applyFill="1" applyBorder="1"/>
    <xf numFmtId="212" fontId="77" fillId="0" borderId="1" xfId="1" applyNumberFormat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3" fillId="0" borderId="0" xfId="0" applyFont="1" applyFill="1"/>
    <xf numFmtId="218" fontId="13" fillId="0" borderId="0" xfId="1" applyNumberFormat="1" applyFont="1" applyFill="1" applyAlignment="1">
      <alignment horizontal="center"/>
    </xf>
    <xf numFmtId="218" fontId="13" fillId="0" borderId="0" xfId="1" applyNumberFormat="1" applyFont="1" applyFill="1" applyAlignment="1">
      <alignment horizontal="right"/>
    </xf>
    <xf numFmtId="218" fontId="13" fillId="0" borderId="0" xfId="1" applyNumberFormat="1" applyFont="1" applyFill="1"/>
    <xf numFmtId="201" fontId="13" fillId="0" borderId="0" xfId="1" applyNumberFormat="1" applyFont="1" applyFill="1" applyAlignment="1">
      <alignment horizontal="center"/>
    </xf>
    <xf numFmtId="0" fontId="13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1" xfId="0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  <xf numFmtId="218" fontId="11" fillId="0" borderId="1" xfId="1" applyNumberFormat="1" applyFont="1" applyFill="1" applyBorder="1" applyAlignment="1">
      <alignment horizontal="center" vertical="center" wrapText="1"/>
    </xf>
    <xf numFmtId="201" fontId="11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1" xfId="273" applyFont="1" applyFill="1" applyBorder="1" applyAlignment="1">
      <alignment horizontal="center" vertical="center"/>
    </xf>
    <xf numFmtId="0" fontId="29" fillId="0" borderId="1" xfId="273" applyFont="1" applyFill="1" applyBorder="1" applyAlignment="1">
      <alignment horizontal="left" vertical="center"/>
    </xf>
    <xf numFmtId="4" fontId="13" fillId="0" borderId="1" xfId="1" applyNumberFormat="1" applyFont="1" applyFill="1" applyBorder="1" applyAlignment="1">
      <alignment horizontal="center" vertical="center"/>
    </xf>
    <xf numFmtId="218" fontId="13" fillId="0" borderId="1" xfId="1" applyNumberFormat="1" applyFont="1" applyFill="1" applyBorder="1" applyAlignment="1">
      <alignment horizontal="right"/>
    </xf>
    <xf numFmtId="201" fontId="13" fillId="0" borderId="1" xfId="1" applyNumberFormat="1" applyFont="1" applyFill="1" applyBorder="1" applyAlignment="1">
      <alignment horizontal="right"/>
    </xf>
    <xf numFmtId="0" fontId="11" fillId="0" borderId="0" xfId="0" applyFont="1" applyFill="1"/>
    <xf numFmtId="218" fontId="11" fillId="0" borderId="0" xfId="1" applyNumberFormat="1" applyFont="1" applyFill="1"/>
    <xf numFmtId="218" fontId="111" fillId="0" borderId="1" xfId="1" applyNumberFormat="1" applyFont="1" applyFill="1" applyBorder="1" applyAlignment="1">
      <alignment horizontal="right"/>
    </xf>
    <xf numFmtId="218" fontId="13" fillId="0" borderId="0" xfId="0" applyNumberFormat="1" applyFont="1" applyFill="1"/>
    <xf numFmtId="4" fontId="13" fillId="0" borderId="1" xfId="0" applyNumberFormat="1" applyFont="1" applyFill="1" applyBorder="1" applyAlignment="1">
      <alignment horizontal="center"/>
    </xf>
    <xf numFmtId="218" fontId="11" fillId="0" borderId="1" xfId="1" applyNumberFormat="1" applyFont="1" applyFill="1" applyBorder="1" applyAlignment="1">
      <alignment horizontal="right"/>
    </xf>
    <xf numFmtId="201" fontId="11" fillId="0" borderId="1" xfId="1" applyNumberFormat="1" applyFont="1" applyFill="1" applyBorder="1" applyAlignment="1">
      <alignment horizontal="right"/>
    </xf>
    <xf numFmtId="3" fontId="13" fillId="0" borderId="0" xfId="0" applyNumberFormat="1" applyFont="1" applyFill="1"/>
    <xf numFmtId="0" fontId="266" fillId="0" borderId="0" xfId="311" applyFont="1" applyFill="1"/>
    <xf numFmtId="0" fontId="266" fillId="0" borderId="0" xfId="311" applyFont="1" applyFill="1" applyAlignment="1">
      <alignment horizontal="center"/>
    </xf>
    <xf numFmtId="218" fontId="27" fillId="0" borderId="0" xfId="1" applyNumberFormat="1" applyFont="1" applyFill="1" applyAlignment="1">
      <alignment horizontal="center"/>
    </xf>
    <xf numFmtId="218" fontId="27" fillId="0" borderId="0" xfId="1" applyNumberFormat="1" applyFont="1" applyFill="1" applyAlignment="1">
      <alignment horizontal="right"/>
    </xf>
    <xf numFmtId="0" fontId="264" fillId="0" borderId="0" xfId="311" applyFont="1" applyFill="1" applyAlignment="1"/>
    <xf numFmtId="201" fontId="264" fillId="0" borderId="0" xfId="311" applyNumberFormat="1" applyFont="1" applyFill="1" applyAlignment="1"/>
    <xf numFmtId="0" fontId="27" fillId="0" borderId="0" xfId="0" applyFont="1" applyFill="1"/>
    <xf numFmtId="192" fontId="27" fillId="0" borderId="0" xfId="0" applyNumberFormat="1" applyFont="1" applyFill="1"/>
    <xf numFmtId="189" fontId="27" fillId="0" borderId="0" xfId="1" applyNumberFormat="1" applyFont="1" applyFill="1"/>
    <xf numFmtId="243" fontId="27" fillId="0" borderId="0" xfId="1" applyNumberFormat="1" applyFont="1" applyFill="1"/>
    <xf numFmtId="0" fontId="267" fillId="0" borderId="0" xfId="311" applyFont="1" applyFill="1"/>
    <xf numFmtId="192" fontId="27" fillId="0" borderId="0" xfId="1" applyNumberFormat="1" applyFont="1" applyFill="1"/>
    <xf numFmtId="216" fontId="27" fillId="0" borderId="0" xfId="0" applyNumberFormat="1" applyFont="1" applyFill="1"/>
    <xf numFmtId="0" fontId="267" fillId="0" borderId="0" xfId="311" applyFont="1" applyFill="1" applyAlignment="1">
      <alignment horizontal="center"/>
    </xf>
    <xf numFmtId="218" fontId="267" fillId="0" borderId="0" xfId="1" applyNumberFormat="1" applyFont="1" applyFill="1"/>
    <xf numFmtId="0" fontId="16" fillId="0" borderId="0" xfId="0" applyFont="1" applyFill="1"/>
    <xf numFmtId="3" fontId="16" fillId="0" borderId="0" xfId="0" applyNumberFormat="1" applyFont="1" applyFill="1"/>
    <xf numFmtId="189" fontId="16" fillId="0" borderId="0" xfId="0" applyNumberFormat="1" applyFont="1" applyFill="1"/>
    <xf numFmtId="218" fontId="27" fillId="0" borderId="0" xfId="1" applyNumberFormat="1" applyFont="1" applyFill="1"/>
    <xf numFmtId="201" fontId="267" fillId="0" borderId="0" xfId="1" applyNumberFormat="1" applyFont="1" applyFill="1"/>
    <xf numFmtId="3" fontId="27" fillId="0" borderId="0" xfId="0" applyNumberFormat="1" applyFont="1" applyFill="1"/>
    <xf numFmtId="0" fontId="61" fillId="0" borderId="0" xfId="311" applyFont="1" applyFill="1"/>
    <xf numFmtId="0" fontId="61" fillId="0" borderId="0" xfId="311" applyFont="1" applyFill="1" applyAlignment="1">
      <alignment horizontal="center"/>
    </xf>
    <xf numFmtId="218" fontId="61" fillId="0" borderId="0" xfId="1" applyNumberFormat="1" applyFont="1" applyFill="1"/>
    <xf numFmtId="201" fontId="61" fillId="0" borderId="0" xfId="1" applyNumberFormat="1" applyFont="1" applyFill="1"/>
    <xf numFmtId="0" fontId="72" fillId="0" borderId="0" xfId="311" applyFont="1" applyFill="1"/>
    <xf numFmtId="218" fontId="72" fillId="0" borderId="0" xfId="1" applyNumberFormat="1" applyFont="1" applyFill="1" applyAlignment="1"/>
    <xf numFmtId="201" fontId="72" fillId="0" borderId="0" xfId="1" applyNumberFormat="1" applyFont="1" applyFill="1" applyAlignment="1"/>
    <xf numFmtId="201" fontId="13" fillId="0" borderId="0" xfId="1" applyNumberFormat="1" applyFont="1" applyFill="1"/>
    <xf numFmtId="0" fontId="10" fillId="0" borderId="0" xfId="0" applyFont="1" applyFill="1" applyAlignment="1">
      <alignment horizontal="center"/>
    </xf>
    <xf numFmtId="3" fontId="6" fillId="0" borderId="0" xfId="0" applyNumberFormat="1" applyFont="1" applyFill="1"/>
    <xf numFmtId="3" fontId="10" fillId="9" borderId="0" xfId="0" applyNumberFormat="1" applyFont="1" applyFill="1"/>
    <xf numFmtId="199" fontId="116" fillId="0" borderId="0" xfId="0" applyNumberFormat="1" applyFont="1" applyFill="1"/>
    <xf numFmtId="199" fontId="268" fillId="0" borderId="6" xfId="0" applyNumberFormat="1" applyFont="1" applyFill="1" applyBorder="1" applyAlignment="1">
      <alignment horizontal="right" vertical="center"/>
    </xf>
    <xf numFmtId="3" fontId="124" fillId="7" borderId="0" xfId="0" applyNumberFormat="1" applyFont="1" applyFill="1" applyBorder="1" applyAlignment="1">
      <alignment vertical="center"/>
    </xf>
    <xf numFmtId="1" fontId="11" fillId="0" borderId="0" xfId="275" applyNumberFormat="1" applyFont="1" applyFill="1" applyAlignment="1">
      <alignment horizontal="center" vertical="center"/>
    </xf>
    <xf numFmtId="192" fontId="13" fillId="0" borderId="15" xfId="1" applyNumberFormat="1" applyFont="1" applyFill="1" applyBorder="1" applyAlignment="1">
      <alignment horizontal="center"/>
    </xf>
    <xf numFmtId="192" fontId="13" fillId="0" borderId="18" xfId="1" applyNumberFormat="1" applyFont="1" applyFill="1" applyBorder="1" applyAlignment="1">
      <alignment horizontal="center"/>
    </xf>
    <xf numFmtId="192" fontId="13" fillId="0" borderId="23" xfId="1" applyNumberFormat="1" applyFont="1" applyFill="1" applyBorder="1" applyAlignment="1">
      <alignment horizontal="center"/>
    </xf>
    <xf numFmtId="213" fontId="11" fillId="0" borderId="1" xfId="3" applyNumberFormat="1" applyFont="1" applyFill="1" applyBorder="1" applyAlignment="1">
      <alignment horizontal="center" vertical="center" shrinkToFit="1"/>
    </xf>
    <xf numFmtId="0" fontId="29" fillId="12" borderId="1" xfId="28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vertical="center"/>
    </xf>
    <xf numFmtId="230" fontId="121" fillId="0" borderId="1" xfId="0" applyNumberFormat="1" applyFont="1" applyBorder="1"/>
    <xf numFmtId="213" fontId="16" fillId="0" borderId="1" xfId="3" applyNumberFormat="1" applyFont="1" applyFill="1" applyBorder="1" applyAlignment="1">
      <alignment horizontal="center" vertical="center" shrinkToFit="1"/>
    </xf>
    <xf numFmtId="234" fontId="121" fillId="0" borderId="1" xfId="0" applyNumberFormat="1" applyFont="1" applyFill="1" applyBorder="1"/>
    <xf numFmtId="1" fontId="13" fillId="0" borderId="1" xfId="303" applyNumberFormat="1" applyFont="1" applyFill="1" applyBorder="1" applyAlignment="1">
      <alignment horizont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9" fontId="124" fillId="7" borderId="0" xfId="287" applyFont="1" applyFill="1" applyAlignment="1">
      <alignment vertical="center"/>
    </xf>
    <xf numFmtId="188" fontId="2" fillId="0" borderId="0" xfId="0" applyNumberFormat="1" applyFont="1" applyFill="1" applyAlignment="1">
      <alignment vertic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91" fontId="124" fillId="7" borderId="0" xfId="1" applyNumberFormat="1" applyFont="1" applyFill="1"/>
    <xf numFmtId="0" fontId="124" fillId="0" borderId="0" xfId="255" applyFont="1" applyAlignment="1"/>
    <xf numFmtId="191" fontId="77" fillId="0" borderId="0" xfId="0" applyNumberFormat="1" applyFont="1" applyBorder="1"/>
    <xf numFmtId="191" fontId="22" fillId="0" borderId="0" xfId="1" applyNumberFormat="1" applyFont="1" applyBorder="1"/>
    <xf numFmtId="188" fontId="10" fillId="0" borderId="0" xfId="0" applyNumberFormat="1" applyFont="1" applyFill="1" applyAlignment="1">
      <alignment vertical="center"/>
    </xf>
    <xf numFmtId="0" fontId="124" fillId="0" borderId="0" xfId="255" applyFont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218" fontId="11" fillId="0" borderId="1" xfId="8" applyNumberFormat="1" applyFont="1" applyFill="1" applyBorder="1" applyAlignment="1">
      <alignment horizontal="center" vertical="center" wrapText="1"/>
    </xf>
    <xf numFmtId="0" fontId="134" fillId="7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88" fontId="11" fillId="0" borderId="1" xfId="8" applyNumberFormat="1" applyFont="1" applyFill="1" applyBorder="1" applyAlignment="1">
      <alignment horizontal="right" vertical="center" shrinkToFit="1"/>
    </xf>
    <xf numFmtId="188" fontId="13" fillId="0" borderId="1" xfId="0" quotePrefix="1" applyNumberFormat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vertical="center"/>
    </xf>
    <xf numFmtId="188" fontId="13" fillId="0" borderId="1" xfId="8" applyNumberFormat="1" applyFont="1" applyFill="1" applyBorder="1" applyAlignment="1">
      <alignment horizontal="right" vertical="center" shrinkToFit="1"/>
    </xf>
    <xf numFmtId="0" fontId="13" fillId="0" borderId="1" xfId="0" applyFont="1" applyFill="1" applyBorder="1" applyAlignment="1">
      <alignment vertical="center"/>
    </xf>
    <xf numFmtId="202" fontId="11" fillId="0" borderId="1" xfId="8" applyNumberFormat="1" applyFont="1" applyFill="1" applyBorder="1" applyAlignment="1">
      <alignment horizontal="right" vertical="center" shrinkToFit="1"/>
    </xf>
    <xf numFmtId="0" fontId="13" fillId="0" borderId="1" xfId="0" quotePrefix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horizontal="left" vertical="center"/>
    </xf>
    <xf numFmtId="202" fontId="13" fillId="0" borderId="1" xfId="8" applyNumberFormat="1" applyFont="1" applyFill="1" applyBorder="1" applyAlignment="1">
      <alignment vertical="center" shrinkToFit="1"/>
    </xf>
    <xf numFmtId="188" fontId="13" fillId="0" borderId="21" xfId="0" quotePrefix="1" applyNumberFormat="1" applyFont="1" applyFill="1" applyBorder="1" applyAlignment="1">
      <alignment horizontal="left" vertical="center"/>
    </xf>
    <xf numFmtId="188" fontId="13" fillId="0" borderId="1" xfId="8" applyNumberFormat="1" applyFont="1" applyFill="1" applyBorder="1" applyAlignment="1">
      <alignment horizontal="left" vertical="center"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01" fillId="0" borderId="0" xfId="255" applyFont="1" applyAlignment="1">
      <alignment vertical="center"/>
    </xf>
    <xf numFmtId="0" fontId="22" fillId="3" borderId="0" xfId="0" applyFont="1" applyFill="1" applyAlignment="1">
      <alignment horizontal="center"/>
    </xf>
    <xf numFmtId="0" fontId="102" fillId="0" borderId="0" xfId="0" applyFont="1"/>
    <xf numFmtId="203" fontId="22" fillId="3" borderId="0" xfId="8" applyNumberFormat="1" applyFont="1" applyFill="1"/>
    <xf numFmtId="0" fontId="102" fillId="0" borderId="0" xfId="0" applyFont="1" applyFill="1"/>
    <xf numFmtId="0" fontId="105" fillId="0" borderId="0" xfId="0" applyFont="1" applyFill="1" applyAlignment="1"/>
    <xf numFmtId="0" fontId="105" fillId="3" borderId="0" xfId="0" applyFont="1" applyFill="1" applyAlignment="1"/>
    <xf numFmtId="0" fontId="105" fillId="3" borderId="0" xfId="0" applyFont="1" applyFill="1" applyAlignment="1">
      <alignment horizontal="center"/>
    </xf>
    <xf numFmtId="228" fontId="22" fillId="3" borderId="0" xfId="8" applyNumberFormat="1" applyFont="1" applyFill="1"/>
    <xf numFmtId="227" fontId="105" fillId="3" borderId="0" xfId="8" applyNumberFormat="1" applyFont="1" applyFill="1" applyAlignment="1">
      <alignment horizontal="center"/>
    </xf>
    <xf numFmtId="203" fontId="105" fillId="3" borderId="0" xfId="8" applyNumberFormat="1" applyFont="1" applyFill="1" applyAlignment="1">
      <alignment horizontal="center"/>
    </xf>
    <xf numFmtId="2" fontId="102" fillId="0" borderId="0" xfId="0" applyNumberFormat="1" applyFont="1"/>
    <xf numFmtId="0" fontId="105" fillId="0" borderId="0" xfId="0" applyFont="1" applyFill="1" applyAlignment="1">
      <alignment horizontal="center"/>
    </xf>
    <xf numFmtId="0" fontId="20" fillId="3" borderId="0" xfId="0" applyFont="1" applyFill="1" applyBorder="1" applyAlignment="1">
      <alignment wrapText="1"/>
    </xf>
    <xf numFmtId="0" fontId="20" fillId="3" borderId="0" xfId="0" applyFont="1" applyFill="1" applyBorder="1" applyAlignment="1"/>
    <xf numFmtId="4" fontId="22" fillId="0" borderId="0" xfId="0" applyNumberFormat="1" applyFont="1" applyFill="1" applyAlignment="1">
      <alignment horizontal="center"/>
    </xf>
    <xf numFmtId="4" fontId="22" fillId="0" borderId="0" xfId="0" applyNumberFormat="1" applyFont="1" applyFill="1" applyAlignment="1">
      <alignment horizontal="right"/>
    </xf>
    <xf numFmtId="201" fontId="22" fillId="0" borderId="0" xfId="8" applyFont="1" applyFill="1" applyAlignment="1">
      <alignment horizontal="center"/>
    </xf>
    <xf numFmtId="4" fontId="20" fillId="0" borderId="0" xfId="0" applyNumberFormat="1" applyFont="1" applyFill="1" applyBorder="1" applyAlignment="1">
      <alignment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4" fontId="22" fillId="0" borderId="0" xfId="0" applyNumberFormat="1" applyFont="1" applyFill="1" applyBorder="1" applyAlignment="1">
      <alignment vertical="center"/>
    </xf>
    <xf numFmtId="0" fontId="22" fillId="0" borderId="25" xfId="0" applyFont="1" applyFill="1" applyBorder="1" applyAlignment="1">
      <alignment horizontal="center" vertical="center"/>
    </xf>
    <xf numFmtId="192" fontId="22" fillId="0" borderId="25" xfId="11" applyNumberFormat="1" applyFont="1" applyFill="1" applyBorder="1" applyAlignment="1">
      <alignment horizontal="center" vertical="center" wrapText="1"/>
    </xf>
    <xf numFmtId="3" fontId="92" fillId="0" borderId="25" xfId="3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192" fontId="22" fillId="0" borderId="26" xfId="11" applyNumberFormat="1" applyFont="1" applyFill="1" applyBorder="1" applyAlignment="1">
      <alignment horizontal="center" vertical="center" wrapText="1"/>
    </xf>
    <xf numFmtId="3" fontId="92" fillId="0" borderId="26" xfId="3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192" fontId="20" fillId="0" borderId="1" xfId="11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vertical="center" wrapText="1"/>
    </xf>
    <xf numFmtId="3" fontId="22" fillId="0" borderId="0" xfId="0" applyNumberFormat="1" applyFont="1" applyFill="1" applyBorder="1" applyAlignment="1">
      <alignment vertical="center"/>
    </xf>
    <xf numFmtId="0" fontId="102" fillId="0" borderId="0" xfId="0" applyFont="1" applyBorder="1" applyAlignment="1"/>
    <xf numFmtId="0" fontId="101" fillId="7" borderId="25" xfId="0" applyFont="1" applyFill="1" applyBorder="1" applyAlignment="1">
      <alignment horizontal="left"/>
    </xf>
    <xf numFmtId="0" fontId="22" fillId="0" borderId="26" xfId="0" applyNumberFormat="1" applyFont="1" applyFill="1" applyBorder="1" applyAlignment="1">
      <alignment horizontal="left" shrinkToFit="1"/>
    </xf>
    <xf numFmtId="0" fontId="22" fillId="0" borderId="26" xfId="0" applyNumberFormat="1" applyFont="1" applyFill="1" applyBorder="1" applyAlignment="1">
      <alignment horizontal="left" vertical="center" shrinkToFit="1"/>
    </xf>
    <xf numFmtId="0" fontId="121" fillId="7" borderId="1" xfId="275" applyFont="1" applyFill="1" applyBorder="1" applyAlignment="1">
      <alignment horizontal="center" vertical="center" shrinkToFit="1"/>
    </xf>
    <xf numFmtId="0" fontId="11" fillId="7" borderId="1" xfId="275" applyFont="1" applyFill="1" applyBorder="1" applyAlignment="1">
      <alignment horizontal="center" vertical="center"/>
    </xf>
    <xf numFmtId="0" fontId="202" fillId="7" borderId="1" xfId="275" applyNumberFormat="1" applyFont="1" applyFill="1" applyBorder="1" applyAlignment="1" applyProtection="1">
      <alignment horizontal="center" vertical="center"/>
    </xf>
    <xf numFmtId="0" fontId="202" fillId="14" borderId="1" xfId="0" applyNumberFormat="1" applyFont="1" applyFill="1" applyBorder="1" applyAlignment="1">
      <alignment horizontal="center" vertical="center"/>
    </xf>
    <xf numFmtId="0" fontId="202" fillId="15" borderId="1" xfId="0" applyNumberFormat="1" applyFont="1" applyFill="1" applyBorder="1" applyAlignment="1">
      <alignment horizontal="center" vertical="center"/>
    </xf>
    <xf numFmtId="3" fontId="93" fillId="0" borderId="0" xfId="0" applyNumberFormat="1" applyFont="1"/>
    <xf numFmtId="3" fontId="20" fillId="0" borderId="0" xfId="0" applyNumberFormat="1" applyFont="1" applyAlignment="1">
      <alignment vertical="center"/>
    </xf>
    <xf numFmtId="3" fontId="127" fillId="0" borderId="0" xfId="0" applyNumberFormat="1" applyFont="1" applyAlignment="1">
      <alignment vertical="center"/>
    </xf>
    <xf numFmtId="3" fontId="95" fillId="0" borderId="0" xfId="0" applyNumberFormat="1" applyFont="1"/>
    <xf numFmtId="3" fontId="101" fillId="0" borderId="0" xfId="0" applyNumberFormat="1" applyFont="1" applyAlignment="1">
      <alignment vertical="center"/>
    </xf>
    <xf numFmtId="3" fontId="173" fillId="0" borderId="0" xfId="0" applyNumberFormat="1" applyFont="1"/>
    <xf numFmtId="189" fontId="77" fillId="7" borderId="1" xfId="0" applyNumberFormat="1" applyFont="1" applyFill="1" applyBorder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3" fontId="92" fillId="0" borderId="84" xfId="3" applyNumberFormat="1" applyFont="1" applyFill="1" applyBorder="1" applyAlignment="1">
      <alignment horizontal="center" vertical="center"/>
    </xf>
    <xf numFmtId="3" fontId="93" fillId="0" borderId="1" xfId="3" applyNumberFormat="1" applyFont="1" applyFill="1" applyBorder="1" applyAlignment="1">
      <alignment horizontal="center" vertical="center"/>
    </xf>
    <xf numFmtId="3" fontId="22" fillId="0" borderId="22" xfId="0" applyNumberFormat="1" applyFont="1" applyFill="1" applyBorder="1" applyAlignment="1">
      <alignment horizontal="center" vertical="center" wrapText="1"/>
    </xf>
    <xf numFmtId="0" fontId="77" fillId="0" borderId="14" xfId="0" applyFont="1" applyBorder="1" applyAlignment="1"/>
    <xf numFmtId="0" fontId="164" fillId="7" borderId="15" xfId="25" applyFont="1" applyFill="1" applyBorder="1" applyAlignment="1">
      <alignment horizontal="center" vertical="center"/>
    </xf>
    <xf numFmtId="200" fontId="164" fillId="7" borderId="15" xfId="0" applyNumberFormat="1" applyFont="1" applyFill="1" applyBorder="1" applyAlignment="1">
      <alignment vertical="center"/>
    </xf>
    <xf numFmtId="188" fontId="164" fillId="7" borderId="15" xfId="1" applyNumberFormat="1" applyFont="1" applyFill="1" applyBorder="1" applyAlignment="1">
      <alignment vertical="center"/>
    </xf>
    <xf numFmtId="3" fontId="178" fillId="7" borderId="1" xfId="25" applyNumberFormat="1" applyFont="1" applyFill="1" applyBorder="1" applyAlignment="1">
      <alignment horizontal="center" vertical="center"/>
    </xf>
    <xf numFmtId="0" fontId="178" fillId="7" borderId="15" xfId="25" applyFont="1" applyFill="1" applyBorder="1" applyAlignment="1">
      <alignment horizontal="center" vertical="center"/>
    </xf>
    <xf numFmtId="200" fontId="127" fillId="7" borderId="1" xfId="0" applyNumberFormat="1" applyFont="1" applyFill="1" applyBorder="1" applyAlignment="1">
      <alignment vertical="center"/>
    </xf>
    <xf numFmtId="0" fontId="127" fillId="7" borderId="1" xfId="0" applyFont="1" applyFill="1" applyBorder="1" applyAlignment="1">
      <alignment horizontal="left" vertical="center"/>
    </xf>
    <xf numFmtId="0" fontId="127" fillId="0" borderId="1" xfId="303" applyFont="1" applyBorder="1" applyAlignment="1">
      <alignment horizontal="left"/>
    </xf>
    <xf numFmtId="188" fontId="125" fillId="7" borderId="20" xfId="1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vertical="center"/>
    </xf>
    <xf numFmtId="1" fontId="124" fillId="7" borderId="20" xfId="0" applyNumberFormat="1" applyFont="1" applyFill="1" applyBorder="1" applyAlignment="1">
      <alignment vertical="center" wrapText="1"/>
    </xf>
    <xf numFmtId="0" fontId="125" fillId="7" borderId="15" xfId="0" applyFont="1" applyFill="1" applyBorder="1" applyAlignment="1">
      <alignment vertical="center"/>
    </xf>
    <xf numFmtId="0" fontId="125" fillId="7" borderId="20" xfId="0" applyFont="1" applyFill="1" applyBorder="1" applyAlignment="1">
      <alignment vertical="center"/>
    </xf>
    <xf numFmtId="3" fontId="124" fillId="7" borderId="0" xfId="0" applyNumberFormat="1" applyFont="1" applyFill="1" applyAlignment="1">
      <alignment vertical="center"/>
    </xf>
    <xf numFmtId="191" fontId="101" fillId="0" borderId="0" xfId="0" applyNumberFormat="1" applyFont="1" applyBorder="1"/>
    <xf numFmtId="191" fontId="22" fillId="9" borderId="0" xfId="1" applyNumberFormat="1" applyFont="1" applyFill="1" applyBorder="1"/>
    <xf numFmtId="3" fontId="164" fillId="7" borderId="0" xfId="0" applyNumberFormat="1" applyFont="1" applyFill="1"/>
    <xf numFmtId="3" fontId="22" fillId="0" borderId="60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124" fillId="7" borderId="0" xfId="0" applyNumberFormat="1" applyFont="1" applyFill="1"/>
    <xf numFmtId="0" fontId="265" fillId="0" borderId="3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211" fillId="7" borderId="0" xfId="275" applyFont="1" applyFill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 vertical="center"/>
    </xf>
    <xf numFmtId="191" fontId="136" fillId="7" borderId="1" xfId="1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13" fillId="7" borderId="1" xfId="275" applyFont="1" applyFill="1" applyBorder="1" applyAlignment="1">
      <alignment horizontal="center" vertical="center"/>
    </xf>
    <xf numFmtId="4" fontId="173" fillId="7" borderId="0" xfId="0" applyNumberFormat="1" applyFont="1" applyFill="1"/>
    <xf numFmtId="191" fontId="125" fillId="7" borderId="0" xfId="1" applyNumberFormat="1" applyFont="1" applyFill="1"/>
    <xf numFmtId="191" fontId="20" fillId="0" borderId="0" xfId="1" applyNumberFormat="1" applyFont="1" applyAlignment="1">
      <alignment horizontal="right" vertical="center"/>
    </xf>
    <xf numFmtId="191" fontId="22" fillId="7" borderId="1" xfId="1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3" fontId="20" fillId="7" borderId="0" xfId="0" applyNumberFormat="1" applyFont="1" applyFill="1" applyAlignment="1">
      <alignment horizontal="right" vertical="center"/>
    </xf>
    <xf numFmtId="0" fontId="10" fillId="7" borderId="60" xfId="0" applyFont="1" applyFill="1" applyBorder="1" applyAlignment="1">
      <alignment horizontal="center" vertical="center"/>
    </xf>
    <xf numFmtId="0" fontId="10" fillId="7" borderId="0" xfId="0" applyFont="1" applyFill="1"/>
    <xf numFmtId="0" fontId="15" fillId="7" borderId="0" xfId="0" applyFont="1" applyFill="1"/>
    <xf numFmtId="0" fontId="2" fillId="7" borderId="0" xfId="0" applyFont="1" applyFill="1"/>
    <xf numFmtId="191" fontId="15" fillId="7" borderId="0" xfId="3" applyNumberFormat="1" applyFont="1" applyFill="1"/>
    <xf numFmtId="43" fontId="17" fillId="7" borderId="0" xfId="0" applyNumberFormat="1" applyFont="1" applyFill="1"/>
    <xf numFmtId="0" fontId="12" fillId="7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91" fontId="10" fillId="7" borderId="0" xfId="3" applyNumberFormat="1" applyFont="1" applyFill="1"/>
    <xf numFmtId="2" fontId="8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229" fontId="8" fillId="7" borderId="1" xfId="0" applyNumberFormat="1" applyFont="1" applyFill="1" applyBorder="1" applyAlignment="1">
      <alignment horizontal="center" vertical="center"/>
    </xf>
    <xf numFmtId="3" fontId="8" fillId="7" borderId="1" xfId="3" applyNumberFormat="1" applyFont="1" applyFill="1" applyBorder="1" applyAlignment="1">
      <alignment horizontal="center" vertical="center"/>
    </xf>
    <xf numFmtId="188" fontId="8" fillId="7" borderId="1" xfId="3" applyNumberFormat="1" applyFont="1" applyFill="1" applyBorder="1" applyAlignment="1">
      <alignment horizontal="right" vertical="center"/>
    </xf>
    <xf numFmtId="205" fontId="8" fillId="7" borderId="1" xfId="0" applyNumberFormat="1" applyFont="1" applyFill="1" applyBorder="1" applyAlignment="1">
      <alignment horizontal="center" vertical="center"/>
    </xf>
    <xf numFmtId="205" fontId="15" fillId="7" borderId="1" xfId="0" applyNumberFormat="1" applyFont="1" applyFill="1" applyBorder="1" applyAlignment="1">
      <alignment horizontal="left" vertical="center"/>
    </xf>
    <xf numFmtId="205" fontId="15" fillId="7" borderId="0" xfId="0" applyNumberFormat="1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229" fontId="12" fillId="7" borderId="1" xfId="0" applyNumberFormat="1" applyFont="1" applyFill="1" applyBorder="1" applyAlignment="1">
      <alignment horizontal="center" vertical="center"/>
    </xf>
    <xf numFmtId="188" fontId="12" fillId="7" borderId="1" xfId="0" applyNumberFormat="1" applyFont="1" applyFill="1" applyBorder="1" applyAlignment="1">
      <alignment horizontal="right" vertical="center"/>
    </xf>
    <xf numFmtId="2" fontId="12" fillId="7" borderId="0" xfId="0" applyNumberFormat="1" applyFont="1" applyFill="1" applyAlignment="1">
      <alignment horizontal="center" vertical="center"/>
    </xf>
    <xf numFmtId="199" fontId="2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199" fontId="2" fillId="7" borderId="0" xfId="0" applyNumberFormat="1" applyFont="1" applyFill="1"/>
    <xf numFmtId="4" fontId="2" fillId="7" borderId="0" xfId="0" applyNumberFormat="1" applyFont="1" applyFill="1"/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shrinkToFit="1"/>
    </xf>
    <xf numFmtId="193" fontId="10" fillId="7" borderId="0" xfId="3" applyNumberFormat="1" applyFont="1" applyFill="1"/>
    <xf numFmtId="192" fontId="34" fillId="7" borderId="0" xfId="0" applyNumberFormat="1" applyFont="1" applyFill="1" applyAlignment="1">
      <alignment horizontal="center"/>
    </xf>
    <xf numFmtId="192" fontId="10" fillId="7" borderId="0" xfId="0" applyNumberFormat="1" applyFont="1" applyFill="1"/>
    <xf numFmtId="2" fontId="10" fillId="7" borderId="0" xfId="0" applyNumberFormat="1" applyFont="1" applyFill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191" fontId="2" fillId="7" borderId="0" xfId="3" applyNumberFormat="1" applyFont="1" applyFill="1"/>
    <xf numFmtId="0" fontId="2" fillId="7" borderId="0" xfId="0" applyFont="1" applyFill="1" applyAlignment="1">
      <alignment horizontal="center"/>
    </xf>
    <xf numFmtId="1" fontId="25" fillId="0" borderId="0" xfId="275" applyNumberFormat="1" applyFont="1" applyFill="1" applyAlignment="1">
      <alignment vertical="center"/>
    </xf>
    <xf numFmtId="1" fontId="25" fillId="0" borderId="0" xfId="275" applyNumberFormat="1" applyFont="1" applyFill="1" applyAlignment="1">
      <alignment horizontal="center"/>
    </xf>
    <xf numFmtId="1" fontId="271" fillId="0" borderId="0" xfId="0" applyNumberFormat="1" applyFont="1" applyFill="1" applyAlignment="1">
      <alignment shrinkToFit="1"/>
    </xf>
    <xf numFmtId="0" fontId="133" fillId="7" borderId="0" xfId="28" applyFont="1" applyFill="1" applyAlignment="1">
      <alignment horizontal="center" vertical="center"/>
    </xf>
    <xf numFmtId="0" fontId="133" fillId="7" borderId="0" xfId="275" applyFont="1" applyFill="1" applyAlignment="1">
      <alignment horizontal="center" vertical="center"/>
    </xf>
    <xf numFmtId="0" fontId="137" fillId="7" borderId="0" xfId="0" applyFont="1" applyFill="1" applyAlignment="1">
      <alignment horizontal="center" vertical="center"/>
    </xf>
    <xf numFmtId="0" fontId="184" fillId="0" borderId="0" xfId="0" applyFont="1" applyAlignment="1">
      <alignment vertical="center"/>
    </xf>
    <xf numFmtId="0" fontId="145" fillId="0" borderId="1" xfId="0" applyFont="1" applyBorder="1" applyAlignment="1">
      <alignment horizontal="center" vertical="center"/>
    </xf>
    <xf numFmtId="191" fontId="19" fillId="0" borderId="0" xfId="1" applyNumberFormat="1" applyFont="1"/>
    <xf numFmtId="0" fontId="13" fillId="0" borderId="23" xfId="0" applyFont="1" applyBorder="1" applyAlignment="1">
      <alignment horizontal="center"/>
    </xf>
    <xf numFmtId="0" fontId="11" fillId="7" borderId="1" xfId="275" applyFont="1" applyFill="1" applyBorder="1" applyAlignment="1">
      <alignment horizontal="center" vertical="center" shrinkToFit="1"/>
    </xf>
    <xf numFmtId="0" fontId="13" fillId="7" borderId="1" xfId="315" applyFont="1" applyFill="1" applyBorder="1" applyAlignment="1" applyProtection="1">
      <alignment horizontal="center" vertical="center"/>
    </xf>
    <xf numFmtId="0" fontId="13" fillId="7" borderId="1" xfId="275" applyNumberFormat="1" applyFont="1" applyFill="1" applyBorder="1" applyAlignment="1" applyProtection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9" fillId="12" borderId="1" xfId="275" applyFont="1" applyFill="1" applyBorder="1" applyAlignment="1" applyProtection="1">
      <alignment horizontal="center" vertical="center"/>
    </xf>
    <xf numFmtId="0" fontId="101" fillId="0" borderId="27" xfId="0" applyFont="1" applyFill="1" applyBorder="1" applyAlignment="1">
      <alignment horizontal="center" vertical="center"/>
    </xf>
    <xf numFmtId="197" fontId="199" fillId="0" borderId="18" xfId="10" applyNumberFormat="1" applyFont="1" applyFill="1" applyBorder="1" applyAlignment="1">
      <alignment horizontal="center" vertical="center" wrapText="1"/>
    </xf>
    <xf numFmtId="213" fontId="173" fillId="0" borderId="1" xfId="1" applyNumberFormat="1" applyFont="1" applyBorder="1" applyAlignment="1">
      <alignment horizontal="left" indent="8"/>
    </xf>
    <xf numFmtId="0" fontId="11" fillId="0" borderId="0" xfId="0" applyFont="1" applyFill="1" applyBorder="1" applyAlignment="1">
      <alignment horizontal="left" vertical="center"/>
    </xf>
    <xf numFmtId="0" fontId="20" fillId="0" borderId="23" xfId="0" quotePrefix="1" applyNumberFormat="1" applyFont="1" applyFill="1" applyBorder="1" applyAlignment="1">
      <alignment horizontal="center" vertical="center" wrapText="1"/>
    </xf>
    <xf numFmtId="2" fontId="20" fillId="0" borderId="23" xfId="0" quotePrefix="1" applyNumberFormat="1" applyFont="1" applyFill="1" applyBorder="1" applyAlignment="1">
      <alignment horizontal="center" vertical="center" wrapText="1"/>
    </xf>
    <xf numFmtId="197" fontId="20" fillId="0" borderId="23" xfId="0" quotePrefix="1" applyNumberFormat="1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vertical="center" wrapText="1"/>
    </xf>
    <xf numFmtId="0" fontId="20" fillId="0" borderId="25" xfId="0" applyNumberFormat="1" applyFont="1" applyFill="1" applyBorder="1" applyAlignment="1">
      <alignment horizontal="center" vertical="center"/>
    </xf>
    <xf numFmtId="2" fontId="20" fillId="0" borderId="25" xfId="0" applyNumberFormat="1" applyFont="1" applyFill="1" applyBorder="1" applyAlignment="1">
      <alignment horizontal="center" vertical="center"/>
    </xf>
    <xf numFmtId="3" fontId="20" fillId="0" borderId="25" xfId="0" quotePrefix="1" applyNumberFormat="1" applyFont="1" applyFill="1" applyBorder="1" applyAlignment="1">
      <alignment horizontal="center" vertical="center"/>
    </xf>
    <xf numFmtId="2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10" applyNumberFormat="1" applyFont="1" applyFill="1" applyBorder="1" applyAlignment="1">
      <alignment horizontal="center" vertical="center" wrapText="1"/>
    </xf>
    <xf numFmtId="0" fontId="20" fillId="0" borderId="25" xfId="0" quotePrefix="1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22" fillId="0" borderId="26" xfId="0" applyFont="1" applyFill="1" applyBorder="1" applyAlignment="1">
      <alignment horizontal="center" vertical="center" wrapText="1"/>
    </xf>
    <xf numFmtId="2" fontId="22" fillId="0" borderId="26" xfId="0" applyNumberFormat="1" applyFont="1" applyFill="1" applyBorder="1" applyAlignment="1">
      <alignment horizontal="center" vertical="center" wrapText="1"/>
    </xf>
    <xf numFmtId="197" fontId="20" fillId="0" borderId="26" xfId="0" applyNumberFormat="1" applyFont="1" applyFill="1" applyBorder="1" applyAlignment="1">
      <alignment horizontal="center" vertical="center" wrapText="1"/>
    </xf>
    <xf numFmtId="197" fontId="20" fillId="0" borderId="26" xfId="1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 wrapText="1"/>
    </xf>
    <xf numFmtId="0" fontId="8" fillId="0" borderId="0" xfId="0" applyFont="1" applyBorder="1"/>
    <xf numFmtId="0" fontId="22" fillId="0" borderId="26" xfId="0" applyFont="1" applyFill="1" applyBorder="1" applyAlignment="1">
      <alignment horizontal="left" vertical="center" wrapText="1"/>
    </xf>
    <xf numFmtId="0" fontId="101" fillId="0" borderId="26" xfId="0" applyFont="1" applyFill="1" applyBorder="1" applyAlignment="1">
      <alignment horizontal="center" vertical="center" wrapText="1"/>
    </xf>
    <xf numFmtId="4" fontId="22" fillId="0" borderId="26" xfId="0" applyNumberFormat="1" applyFont="1" applyFill="1" applyBorder="1" applyAlignment="1">
      <alignment horizontal="center" vertical="center" wrapText="1"/>
    </xf>
    <xf numFmtId="4" fontId="101" fillId="0" borderId="26" xfId="0" applyNumberFormat="1" applyFont="1" applyFill="1" applyBorder="1" applyAlignment="1">
      <alignment horizontal="center" vertical="center" wrapText="1"/>
    </xf>
    <xf numFmtId="197" fontId="101" fillId="0" borderId="26" xfId="0" applyNumberFormat="1" applyFont="1" applyFill="1" applyBorder="1" applyAlignment="1">
      <alignment horizontal="center" vertical="center" wrapText="1"/>
    </xf>
    <xf numFmtId="0" fontId="8" fillId="0" borderId="14" xfId="0" applyFont="1" applyBorder="1"/>
    <xf numFmtId="4" fontId="101" fillId="0" borderId="26" xfId="10" applyNumberFormat="1" applyFont="1" applyFill="1" applyBorder="1" applyAlignment="1">
      <alignment horizontal="center" vertical="center"/>
    </xf>
    <xf numFmtId="3" fontId="101" fillId="0" borderId="26" xfId="0" applyNumberFormat="1" applyFont="1" applyFill="1" applyBorder="1" applyAlignment="1">
      <alignment horizontal="center" vertical="center" wrapText="1"/>
    </xf>
    <xf numFmtId="0" fontId="22" fillId="0" borderId="30" xfId="0" applyFont="1" applyFill="1" applyBorder="1" applyAlignment="1">
      <alignment horizontal="center" vertical="center" wrapText="1"/>
    </xf>
    <xf numFmtId="2" fontId="22" fillId="0" borderId="30" xfId="0" applyNumberFormat="1" applyFont="1" applyFill="1" applyBorder="1" applyAlignment="1">
      <alignment horizontal="center" vertical="center" wrapText="1"/>
    </xf>
    <xf numFmtId="4" fontId="101" fillId="0" borderId="30" xfId="0" applyNumberFormat="1" applyFont="1" applyFill="1" applyBorder="1" applyAlignment="1">
      <alignment horizontal="center" vertical="center" wrapText="1"/>
    </xf>
    <xf numFmtId="0" fontId="22" fillId="0" borderId="30" xfId="0" quotePrefix="1" applyNumberFormat="1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left" vertical="center" wrapText="1"/>
    </xf>
    <xf numFmtId="2" fontId="22" fillId="0" borderId="60" xfId="0" applyNumberFormat="1" applyFont="1" applyFill="1" applyBorder="1" applyAlignment="1">
      <alignment horizontal="center" vertical="center" wrapText="1"/>
    </xf>
    <xf numFmtId="4" fontId="101" fillId="0" borderId="60" xfId="0" applyNumberFormat="1" applyFont="1" applyFill="1" applyBorder="1" applyAlignment="1">
      <alignment horizontal="center" vertical="center" wrapText="1"/>
    </xf>
    <xf numFmtId="4" fontId="101" fillId="0" borderId="60" xfId="10" applyNumberFormat="1" applyFont="1" applyFill="1" applyBorder="1" applyAlignment="1">
      <alignment horizontal="center" vertical="center"/>
    </xf>
    <xf numFmtId="0" fontId="22" fillId="0" borderId="60" xfId="0" quotePrefix="1" applyNumberFormat="1" applyFont="1" applyFill="1" applyBorder="1" applyAlignment="1">
      <alignment horizontal="center" vertical="center" wrapText="1"/>
    </xf>
    <xf numFmtId="0" fontId="8" fillId="0" borderId="85" xfId="0" applyFont="1" applyBorder="1"/>
    <xf numFmtId="0" fontId="22" fillId="0" borderId="30" xfId="0" applyFont="1" applyFill="1" applyBorder="1" applyAlignment="1">
      <alignment horizontal="left" vertical="center" wrapText="1"/>
    </xf>
    <xf numFmtId="4" fontId="101" fillId="0" borderId="30" xfId="10" applyNumberFormat="1" applyFont="1" applyFill="1" applyBorder="1" applyAlignment="1">
      <alignment horizontal="center" vertical="center"/>
    </xf>
    <xf numFmtId="0" fontId="13" fillId="0" borderId="26" xfId="0" applyNumberFormat="1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vertical="center" wrapText="1"/>
    </xf>
    <xf numFmtId="0" fontId="20" fillId="0" borderId="60" xfId="0" applyNumberFormat="1" applyFont="1" applyFill="1" applyBorder="1" applyAlignment="1">
      <alignment horizontal="center" vertical="center"/>
    </xf>
    <xf numFmtId="2" fontId="20" fillId="0" borderId="60" xfId="0" applyNumberFormat="1" applyFont="1" applyFill="1" applyBorder="1" applyAlignment="1">
      <alignment horizontal="center" vertical="center"/>
    </xf>
    <xf numFmtId="197" fontId="20" fillId="0" borderId="60" xfId="0" quotePrefix="1" applyNumberFormat="1" applyFont="1" applyFill="1" applyBorder="1" applyAlignment="1">
      <alignment horizontal="center" vertical="center"/>
    </xf>
    <xf numFmtId="3" fontId="20" fillId="0" borderId="60" xfId="0" quotePrefix="1" applyNumberFormat="1" applyFont="1" applyFill="1" applyBorder="1" applyAlignment="1">
      <alignment horizontal="center" vertical="center"/>
    </xf>
    <xf numFmtId="197" fontId="20" fillId="0" borderId="60" xfId="10" applyNumberFormat="1" applyFont="1" applyFill="1" applyBorder="1" applyAlignment="1">
      <alignment horizontal="center" vertical="center" wrapText="1"/>
    </xf>
    <xf numFmtId="0" fontId="20" fillId="0" borderId="60" xfId="0" quotePrefix="1" applyNumberFormat="1" applyFont="1" applyFill="1" applyBorder="1" applyAlignment="1">
      <alignment horizontal="center" vertical="center"/>
    </xf>
    <xf numFmtId="3" fontId="22" fillId="0" borderId="26" xfId="0" applyNumberFormat="1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vertical="center" wrapText="1"/>
    </xf>
    <xf numFmtId="0" fontId="22" fillId="0" borderId="26" xfId="0" applyNumberFormat="1" applyFont="1" applyFill="1" applyBorder="1" applyAlignment="1">
      <alignment horizontal="center" vertical="center"/>
    </xf>
    <xf numFmtId="2" fontId="22" fillId="0" borderId="26" xfId="0" applyNumberFormat="1" applyFont="1" applyFill="1" applyBorder="1" applyAlignment="1">
      <alignment horizontal="center" vertical="center"/>
    </xf>
    <xf numFmtId="197" fontId="20" fillId="0" borderId="26" xfId="0" applyNumberFormat="1" applyFont="1" applyFill="1" applyBorder="1" applyAlignment="1">
      <alignment vertical="center"/>
    </xf>
    <xf numFmtId="3" fontId="22" fillId="0" borderId="26" xfId="0" applyNumberFormat="1" applyFont="1" applyFill="1" applyBorder="1" applyAlignment="1">
      <alignment horizontal="center" vertical="center"/>
    </xf>
    <xf numFmtId="197" fontId="22" fillId="0" borderId="26" xfId="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/>
    </xf>
    <xf numFmtId="2" fontId="20" fillId="0" borderId="1" xfId="0" applyNumberFormat="1" applyFont="1" applyFill="1" applyBorder="1" applyAlignment="1">
      <alignment horizontal="center" vertical="center" wrapText="1"/>
    </xf>
    <xf numFmtId="197" fontId="20" fillId="0" borderId="1" xfId="0" quotePrefix="1" applyNumberFormat="1" applyFont="1" applyFill="1" applyBorder="1" applyAlignment="1">
      <alignment horizontal="center" vertical="center" wrapText="1"/>
    </xf>
    <xf numFmtId="0" fontId="20" fillId="0" borderId="1" xfId="0" quotePrefix="1" applyNumberFormat="1" applyFont="1" applyFill="1" applyBorder="1" applyAlignment="1">
      <alignment horizontal="center" vertical="center" wrapText="1"/>
    </xf>
    <xf numFmtId="197" fontId="20" fillId="0" borderId="1" xfId="1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2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4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3" fontId="11" fillId="0" borderId="0" xfId="0" applyNumberFormat="1" applyFont="1" applyFill="1" applyBorder="1"/>
    <xf numFmtId="3" fontId="11" fillId="0" borderId="0" xfId="0" applyNumberFormat="1" applyFont="1" applyFill="1" applyBorder="1" applyAlignment="1">
      <alignment horizontal="center"/>
    </xf>
    <xf numFmtId="197" fontId="11" fillId="0" borderId="0" xfId="0" applyNumberFormat="1" applyFont="1" applyFill="1" applyBorder="1"/>
    <xf numFmtId="189" fontId="92" fillId="7" borderId="0" xfId="0" applyNumberFormat="1" applyFont="1" applyFill="1"/>
    <xf numFmtId="3" fontId="95" fillId="7" borderId="0" xfId="0" applyNumberFormat="1" applyFont="1" applyFill="1"/>
    <xf numFmtId="197" fontId="95" fillId="7" borderId="0" xfId="0" applyNumberFormat="1" applyFont="1" applyFill="1"/>
    <xf numFmtId="191" fontId="127" fillId="0" borderId="0" xfId="1" applyNumberFormat="1" applyFont="1"/>
    <xf numFmtId="191" fontId="127" fillId="0" borderId="0" xfId="1" applyNumberFormat="1" applyFont="1" applyAlignment="1">
      <alignment vertical="center"/>
    </xf>
    <xf numFmtId="191" fontId="22" fillId="0" borderId="0" xfId="1" applyNumberFormat="1" applyFont="1"/>
    <xf numFmtId="191" fontId="22" fillId="0" borderId="0" xfId="1" applyNumberFormat="1" applyFont="1" applyAlignment="1">
      <alignment vertical="center"/>
    </xf>
    <xf numFmtId="191" fontId="223" fillId="0" borderId="0" xfId="1" applyNumberFormat="1" applyFont="1"/>
    <xf numFmtId="4" fontId="173" fillId="0" borderId="0" xfId="0" applyNumberFormat="1" applyFont="1"/>
    <xf numFmtId="2" fontId="127" fillId="7" borderId="1" xfId="0" applyNumberFormat="1" applyFont="1" applyFill="1" applyBorder="1" applyAlignment="1">
      <alignment horizontal="center" vertical="center" shrinkToFit="1"/>
    </xf>
    <xf numFmtId="189" fontId="127" fillId="0" borderId="1" xfId="1" applyNumberFormat="1" applyFont="1" applyFill="1" applyBorder="1" applyAlignment="1">
      <alignment horizontal="center" vertical="center" shrinkToFit="1"/>
    </xf>
    <xf numFmtId="189" fontId="129" fillId="7" borderId="0" xfId="0" applyNumberFormat="1" applyFont="1" applyFill="1"/>
    <xf numFmtId="4" fontId="127" fillId="0" borderId="0" xfId="0" applyNumberFormat="1" applyFont="1"/>
    <xf numFmtId="4" fontId="22" fillId="9" borderId="0" xfId="0" applyNumberFormat="1" applyFont="1" applyFill="1"/>
    <xf numFmtId="193" fontId="77" fillId="7" borderId="1" xfId="0" applyNumberFormat="1" applyFont="1" applyFill="1" applyBorder="1" applyAlignment="1">
      <alignment horizontal="center" vertical="center"/>
    </xf>
    <xf numFmtId="3" fontId="22" fillId="9" borderId="0" xfId="0" applyNumberFormat="1" applyFont="1" applyFill="1"/>
    <xf numFmtId="3" fontId="124" fillId="9" borderId="0" xfId="0" applyNumberFormat="1" applyFont="1" applyFill="1"/>
    <xf numFmtId="1" fontId="134" fillId="0" borderId="0" xfId="0" applyNumberFormat="1" applyFont="1" applyFill="1" applyBorder="1" applyAlignment="1">
      <alignment horizontal="center" vertical="center" shrinkToFit="1"/>
    </xf>
    <xf numFmtId="3" fontId="21" fillId="9" borderId="0" xfId="0" applyNumberFormat="1" applyFont="1" applyFill="1" applyAlignment="1">
      <alignment vertical="center"/>
    </xf>
    <xf numFmtId="194" fontId="92" fillId="9" borderId="0" xfId="0" applyNumberFormat="1" applyFont="1" applyFill="1"/>
    <xf numFmtId="191" fontId="22" fillId="0" borderId="0" xfId="1" applyNumberFormat="1" applyFont="1" applyFill="1" applyBorder="1" applyAlignment="1">
      <alignment horizontal="center"/>
    </xf>
    <xf numFmtId="0" fontId="101" fillId="0" borderId="20" xfId="273" applyFont="1" applyBorder="1" applyAlignment="1">
      <alignment horizontal="center" vertical="center"/>
    </xf>
    <xf numFmtId="0" fontId="101" fillId="0" borderId="20" xfId="273" applyFont="1" applyBorder="1" applyAlignment="1">
      <alignment horizontal="left" vertical="center"/>
    </xf>
    <xf numFmtId="4" fontId="22" fillId="0" borderId="20" xfId="1" applyNumberFormat="1" applyFont="1" applyFill="1" applyBorder="1" applyAlignment="1">
      <alignment horizontal="center"/>
    </xf>
    <xf numFmtId="191" fontId="22" fillId="0" borderId="20" xfId="1" applyNumberFormat="1" applyFont="1" applyFill="1" applyBorder="1" applyAlignment="1">
      <alignment horizontal="center"/>
    </xf>
    <xf numFmtId="191" fontId="22" fillId="0" borderId="20" xfId="1" applyNumberFormat="1" applyFont="1" applyBorder="1" applyAlignment="1">
      <alignment horizontal="center"/>
    </xf>
    <xf numFmtId="191" fontId="22" fillId="0" borderId="20" xfId="1" applyNumberFormat="1" applyFont="1" applyBorder="1" applyAlignment="1">
      <alignment horizontal="right"/>
    </xf>
    <xf numFmtId="43" fontId="22" fillId="0" borderId="20" xfId="1" applyFont="1" applyBorder="1" applyAlignment="1">
      <alignment horizontal="right"/>
    </xf>
    <xf numFmtId="0" fontId="22" fillId="0" borderId="14" xfId="0" applyFont="1" applyBorder="1"/>
    <xf numFmtId="192" fontId="22" fillId="9" borderId="14" xfId="1" applyNumberFormat="1" applyFont="1" applyFill="1" applyBorder="1"/>
    <xf numFmtId="191" fontId="22" fillId="0" borderId="14" xfId="0" applyNumberFormat="1" applyFont="1" applyBorder="1"/>
    <xf numFmtId="0" fontId="2" fillId="7" borderId="0" xfId="0" applyFont="1" applyFill="1" applyAlignment="1"/>
    <xf numFmtId="0" fontId="2" fillId="7" borderId="0" xfId="0" quotePrefix="1" applyFont="1" applyFill="1" applyAlignment="1"/>
    <xf numFmtId="0" fontId="16" fillId="7" borderId="0" xfId="0" applyFont="1" applyFill="1" applyAlignment="1"/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4" fillId="0" borderId="0" xfId="28" applyFont="1" applyAlignment="1">
      <alignment horizontal="center"/>
    </xf>
    <xf numFmtId="0" fontId="125" fillId="0" borderId="0" xfId="28" applyFont="1" applyAlignment="1"/>
    <xf numFmtId="0" fontId="124" fillId="0" borderId="0" xfId="28" applyFont="1" applyAlignment="1"/>
    <xf numFmtId="0" fontId="137" fillId="0" borderId="0" xfId="0" applyFont="1"/>
    <xf numFmtId="0" fontId="133" fillId="0" borderId="1" xfId="0" applyFont="1" applyBorder="1" applyAlignment="1">
      <alignment horizontal="center"/>
    </xf>
    <xf numFmtId="0" fontId="137" fillId="0" borderId="1" xfId="0" applyFont="1" applyBorder="1" applyAlignment="1">
      <alignment horizontal="center"/>
    </xf>
    <xf numFmtId="0" fontId="137" fillId="0" borderId="1" xfId="0" applyFont="1" applyBorder="1"/>
    <xf numFmtId="0" fontId="164" fillId="7" borderId="20" xfId="0" applyFont="1" applyFill="1" applyBorder="1" applyAlignment="1">
      <alignment horizontal="center" vertical="center"/>
    </xf>
    <xf numFmtId="0" fontId="164" fillId="7" borderId="22" xfId="25" applyFont="1" applyFill="1" applyBorder="1" applyAlignment="1">
      <alignment horizontal="center" vertical="center"/>
    </xf>
    <xf numFmtId="3" fontId="164" fillId="7" borderId="20" xfId="0" applyNumberFormat="1" applyFont="1" applyFill="1" applyBorder="1" applyAlignment="1">
      <alignment horizontal="center" vertical="center"/>
    </xf>
    <xf numFmtId="0" fontId="164" fillId="7" borderId="20" xfId="0" applyFont="1" applyFill="1" applyBorder="1" applyAlignment="1">
      <alignment horizontal="left" vertical="center"/>
    </xf>
    <xf numFmtId="200" fontId="164" fillId="7" borderId="22" xfId="0" applyNumberFormat="1" applyFont="1" applyFill="1" applyBorder="1" applyAlignment="1">
      <alignment vertical="center"/>
    </xf>
    <xf numFmtId="188" fontId="164" fillId="7" borderId="22" xfId="1" applyNumberFormat="1" applyFont="1" applyFill="1" applyBorder="1" applyAlignment="1">
      <alignment vertical="center"/>
    </xf>
    <xf numFmtId="188" fontId="164" fillId="7" borderId="20" xfId="1" applyNumberFormat="1" applyFont="1" applyFill="1" applyBorder="1" applyAlignment="1">
      <alignment vertical="center"/>
    </xf>
    <xf numFmtId="200" fontId="164" fillId="7" borderId="20" xfId="0" applyNumberFormat="1" applyFont="1" applyFill="1" applyBorder="1" applyAlignment="1">
      <alignment vertical="center"/>
    </xf>
    <xf numFmtId="200" fontId="164" fillId="7" borderId="20" xfId="0" applyNumberFormat="1" applyFont="1" applyFill="1" applyBorder="1" applyAlignment="1">
      <alignment horizontal="center" vertical="center"/>
    </xf>
    <xf numFmtId="191" fontId="164" fillId="7" borderId="20" xfId="1" applyNumberFormat="1" applyFont="1" applyFill="1" applyBorder="1" applyAlignment="1">
      <alignment horizontal="right" vertical="center" wrapText="1"/>
    </xf>
    <xf numFmtId="188" fontId="164" fillId="7" borderId="20" xfId="0" applyNumberFormat="1" applyFont="1" applyFill="1" applyBorder="1" applyAlignment="1">
      <alignment vertical="center"/>
    </xf>
    <xf numFmtId="0" fontId="101" fillId="0" borderId="1" xfId="303" applyFont="1" applyBorder="1" applyAlignment="1">
      <alignment vertical="center"/>
    </xf>
    <xf numFmtId="213" fontId="164" fillId="7" borderId="14" xfId="1" applyNumberFormat="1" applyFont="1" applyFill="1" applyBorder="1" applyAlignment="1">
      <alignment horizontal="right" vertical="center" shrinkToFit="1"/>
    </xf>
    <xf numFmtId="191" fontId="125" fillId="7" borderId="14" xfId="1" applyNumberFormat="1" applyFont="1" applyFill="1" applyBorder="1"/>
    <xf numFmtId="213" fontId="125" fillId="7" borderId="14" xfId="0" applyNumberFormat="1" applyFont="1" applyFill="1" applyBorder="1"/>
    <xf numFmtId="0" fontId="125" fillId="7" borderId="14" xfId="0" applyFont="1" applyFill="1" applyBorder="1"/>
    <xf numFmtId="191" fontId="125" fillId="7" borderId="14" xfId="0" applyNumberFormat="1" applyFont="1" applyFill="1" applyBorder="1"/>
    <xf numFmtId="0" fontId="125" fillId="7" borderId="20" xfId="0" applyFont="1" applyFill="1" applyBorder="1" applyAlignment="1">
      <alignment horizontal="center" vertical="center"/>
    </xf>
    <xf numFmtId="3" fontId="128" fillId="7" borderId="20" xfId="25" applyNumberFormat="1" applyFont="1" applyFill="1" applyBorder="1" applyAlignment="1">
      <alignment vertical="center"/>
    </xf>
    <xf numFmtId="3" fontId="125" fillId="7" borderId="20" xfId="0" applyNumberFormat="1" applyFont="1" applyFill="1" applyBorder="1" applyAlignment="1">
      <alignment horizontal="center" vertical="center"/>
    </xf>
    <xf numFmtId="0" fontId="125" fillId="7" borderId="20" xfId="0" applyFont="1" applyFill="1" applyBorder="1" applyAlignment="1">
      <alignment horizontal="left" vertical="center"/>
    </xf>
    <xf numFmtId="188" fontId="125" fillId="7" borderId="20" xfId="0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horizontal="center" vertical="center"/>
    </xf>
    <xf numFmtId="191" fontId="125" fillId="7" borderId="20" xfId="1" applyNumberFormat="1" applyFont="1" applyFill="1" applyBorder="1" applyAlignment="1">
      <alignment horizontal="right" vertical="center" wrapText="1"/>
    </xf>
    <xf numFmtId="213" fontId="125" fillId="7" borderId="20" xfId="1" applyNumberFormat="1" applyFont="1" applyFill="1" applyBorder="1" applyAlignment="1">
      <alignment horizontal="right" vertical="center" shrinkToFit="1"/>
    </xf>
    <xf numFmtId="0" fontId="125" fillId="7" borderId="14" xfId="0" applyFont="1" applyFill="1" applyBorder="1" applyAlignment="1">
      <alignment vertical="center"/>
    </xf>
    <xf numFmtId="43" fontId="12" fillId="7" borderId="0" xfId="0" applyNumberFormat="1" applyFont="1" applyFill="1"/>
    <xf numFmtId="191" fontId="12" fillId="7" borderId="1" xfId="3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left"/>
    </xf>
    <xf numFmtId="0" fontId="93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4" fontId="164" fillId="7" borderId="0" xfId="0" applyNumberFormat="1" applyFont="1" applyFill="1"/>
    <xf numFmtId="4" fontId="22" fillId="0" borderId="0" xfId="0" applyNumberFormat="1" applyFont="1" applyBorder="1"/>
    <xf numFmtId="218" fontId="93" fillId="0" borderId="1" xfId="1" quotePrefix="1" applyNumberFormat="1" applyFont="1" applyFill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1" fontId="125" fillId="7" borderId="0" xfId="0" applyNumberFormat="1" applyFont="1" applyFill="1" applyBorder="1" applyAlignment="1">
      <alignment vertical="center"/>
    </xf>
    <xf numFmtId="2" fontId="124" fillId="7" borderId="0" xfId="0" applyNumberFormat="1" applyFont="1" applyFill="1" applyAlignment="1">
      <alignment horizontal="center" vertical="center"/>
    </xf>
    <xf numFmtId="3" fontId="124" fillId="7" borderId="0" xfId="1" applyNumberFormat="1" applyFont="1" applyFill="1" applyBorder="1" applyAlignment="1">
      <alignment vertical="center" shrinkToFit="1"/>
    </xf>
    <xf numFmtId="244" fontId="125" fillId="7" borderId="0" xfId="0" applyNumberFormat="1" applyFont="1" applyFill="1" applyBorder="1" applyAlignment="1">
      <alignment vertical="center"/>
    </xf>
    <xf numFmtId="191" fontId="124" fillId="7" borderId="0" xfId="1" applyNumberFormat="1" applyFont="1" applyFill="1" applyAlignment="1">
      <alignment horizontal="center" vertical="center"/>
    </xf>
    <xf numFmtId="43" fontId="125" fillId="7" borderId="0" xfId="0" applyNumberFormat="1" applyFont="1" applyFill="1" applyBorder="1" applyAlignment="1">
      <alignment vertical="center"/>
    </xf>
    <xf numFmtId="245" fontId="125" fillId="7" borderId="0" xfId="0" applyNumberFormat="1" applyFont="1" applyFill="1" applyBorder="1" applyAlignment="1">
      <alignment vertical="center"/>
    </xf>
    <xf numFmtId="224" fontId="125" fillId="7" borderId="0" xfId="0" applyNumberFormat="1" applyFont="1" applyFill="1" applyBorder="1" applyAlignment="1">
      <alignment vertical="center"/>
    </xf>
    <xf numFmtId="224" fontId="125" fillId="9" borderId="0" xfId="0" applyNumberFormat="1" applyFont="1" applyFill="1" applyBorder="1" applyAlignment="1">
      <alignment vertical="center"/>
    </xf>
    <xf numFmtId="224" fontId="127" fillId="7" borderId="0" xfId="0" applyNumberFormat="1" applyFont="1" applyFill="1" applyBorder="1" applyAlignment="1">
      <alignment vertical="center"/>
    </xf>
    <xf numFmtId="191" fontId="124" fillId="7" borderId="0" xfId="0" applyNumberFormat="1" applyFont="1" applyFill="1" applyAlignment="1">
      <alignment horizontal="center" vertical="center"/>
    </xf>
    <xf numFmtId="245" fontId="127" fillId="7" borderId="0" xfId="1" applyNumberFormat="1" applyFont="1" applyFill="1" applyBorder="1"/>
    <xf numFmtId="4" fontId="212" fillId="7" borderId="0" xfId="0" applyNumberFormat="1" applyFont="1" applyFill="1" applyBorder="1" applyAlignment="1">
      <alignment horizontal="center" vertical="center" shrinkToFit="1"/>
    </xf>
    <xf numFmtId="216" fontId="224" fillId="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91" fontId="124" fillId="7" borderId="0" xfId="0" applyNumberFormat="1" applyFont="1" applyFill="1" applyAlignment="1"/>
    <xf numFmtId="3" fontId="164" fillId="7" borderId="1" xfId="1" applyNumberFormat="1" applyFont="1" applyFill="1" applyBorder="1" applyAlignment="1">
      <alignment horizontal="right" vertical="center" wrapText="1"/>
    </xf>
    <xf numFmtId="3" fontId="164" fillId="7" borderId="1" xfId="1" applyNumberFormat="1" applyFont="1" applyFill="1" applyBorder="1" applyAlignment="1">
      <alignment horizontal="right" vertical="center" shrinkToFit="1"/>
    </xf>
    <xf numFmtId="3" fontId="178" fillId="7" borderId="1" xfId="1" applyNumberFormat="1" applyFont="1" applyFill="1" applyBorder="1" applyAlignment="1">
      <alignment horizontal="right" vertical="center" wrapText="1"/>
    </xf>
    <xf numFmtId="3" fontId="178" fillId="7" borderId="1" xfId="1" applyNumberFormat="1" applyFont="1" applyFill="1" applyBorder="1" applyAlignment="1">
      <alignment horizontal="right" vertical="center" shrinkToFit="1"/>
    </xf>
    <xf numFmtId="3" fontId="164" fillId="7" borderId="20" xfId="1" applyNumberFormat="1" applyFont="1" applyFill="1" applyBorder="1" applyAlignment="1">
      <alignment horizontal="right" vertical="center" wrapText="1"/>
    </xf>
    <xf numFmtId="3" fontId="164" fillId="7" borderId="20" xfId="1" applyNumberFormat="1" applyFont="1" applyFill="1" applyBorder="1" applyAlignment="1">
      <alignment horizontal="right" vertical="center" shrinkToFit="1"/>
    </xf>
    <xf numFmtId="191" fontId="10" fillId="0" borderId="0" xfId="1" applyNumberFormat="1" applyFont="1" applyFill="1"/>
    <xf numFmtId="199" fontId="10" fillId="0" borderId="0" xfId="0" applyNumberFormat="1" applyFont="1" applyFill="1" applyAlignment="1">
      <alignment horizontal="center"/>
    </xf>
    <xf numFmtId="188" fontId="11" fillId="7" borderId="1" xfId="8" applyNumberFormat="1" applyFont="1" applyFill="1" applyBorder="1" applyAlignment="1">
      <alignment horizontal="right" vertical="center" shrinkToFit="1"/>
    </xf>
    <xf numFmtId="0" fontId="13" fillId="0" borderId="31" xfId="0" applyFont="1" applyFill="1" applyBorder="1" applyAlignment="1">
      <alignment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1" fontId="0" fillId="0" borderId="1" xfId="1" applyNumberFormat="1" applyFont="1" applyBorder="1"/>
    <xf numFmtId="2" fontId="0" fillId="0" borderId="1" xfId="0" applyNumberFormat="1" applyBorder="1"/>
    <xf numFmtId="189" fontId="0" fillId="9" borderId="0" xfId="0" applyNumberFormat="1" applyFill="1"/>
    <xf numFmtId="199" fontId="9" fillId="0" borderId="1" xfId="0" applyNumberFormat="1" applyFont="1" applyFill="1" applyBorder="1" applyAlignment="1">
      <alignment vertical="top" wrapText="1"/>
    </xf>
    <xf numFmtId="199" fontId="9" fillId="0" borderId="16" xfId="0" applyNumberFormat="1" applyFont="1" applyFill="1" applyBorder="1" applyAlignment="1">
      <alignment vertical="top" wrapText="1"/>
    </xf>
    <xf numFmtId="199" fontId="9" fillId="0" borderId="6" xfId="0" applyNumberFormat="1" applyFont="1" applyFill="1" applyBorder="1" applyAlignment="1">
      <alignment vertical="top" wrapText="1"/>
    </xf>
    <xf numFmtId="199" fontId="36" fillId="0" borderId="17" xfId="0" applyNumberFormat="1" applyFont="1" applyFill="1" applyBorder="1" applyAlignment="1">
      <alignment vertical="top" wrapText="1"/>
    </xf>
    <xf numFmtId="199" fontId="9" fillId="0" borderId="6" xfId="0" applyNumberFormat="1" applyFont="1" applyFill="1" applyBorder="1" applyAlignment="1">
      <alignment horizontal="left" vertical="top" wrapText="1"/>
    </xf>
    <xf numFmtId="199" fontId="36" fillId="0" borderId="0" xfId="0" applyNumberFormat="1" applyFont="1" applyFill="1" applyBorder="1" applyAlignment="1">
      <alignment vertical="top" wrapTex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34" fillId="0" borderId="0" xfId="0" applyNumberFormat="1" applyFont="1" applyFill="1" applyAlignment="1">
      <alignment horizontal="center"/>
    </xf>
    <xf numFmtId="1" fontId="11" fillId="0" borderId="1" xfId="28" applyNumberFormat="1" applyFont="1" applyFill="1" applyBorder="1" applyAlignment="1">
      <alignment horizontal="center"/>
    </xf>
    <xf numFmtId="0" fontId="264" fillId="0" borderId="0" xfId="311" applyFont="1" applyFill="1" applyAlignment="1">
      <alignment horizontal="center"/>
    </xf>
    <xf numFmtId="1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65" fillId="7" borderId="1" xfId="255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1" fillId="7" borderId="1" xfId="315" applyFont="1" applyFill="1" applyBorder="1" applyAlignment="1" applyProtection="1">
      <alignment horizontal="center" vertical="center"/>
    </xf>
    <xf numFmtId="0" fontId="273" fillId="16" borderId="68" xfId="0" applyNumberFormat="1" applyFont="1" applyFill="1" applyBorder="1" applyAlignment="1">
      <alignment horizontal="center" vertical="center"/>
    </xf>
    <xf numFmtId="0" fontId="273" fillId="7" borderId="68" xfId="0" applyNumberFormat="1" applyFont="1" applyFill="1" applyBorder="1" applyAlignment="1">
      <alignment horizontal="center" vertical="center"/>
    </xf>
    <xf numFmtId="0" fontId="21" fillId="7" borderId="68" xfId="0" applyNumberFormat="1" applyFont="1" applyFill="1" applyBorder="1" applyAlignment="1">
      <alignment horizontal="center" vertical="center"/>
    </xf>
    <xf numFmtId="0" fontId="21" fillId="16" borderId="68" xfId="0" applyNumberFormat="1" applyFont="1" applyFill="1" applyBorder="1" applyAlignment="1">
      <alignment horizontal="center" vertical="center"/>
    </xf>
    <xf numFmtId="0" fontId="21" fillId="7" borderId="89" xfId="0" applyNumberFormat="1" applyFont="1" applyFill="1" applyBorder="1" applyAlignment="1">
      <alignment horizontal="center" vertical="center"/>
    </xf>
    <xf numFmtId="0" fontId="21" fillId="7" borderId="87" xfId="0" applyNumberFormat="1" applyFont="1" applyFill="1" applyBorder="1" applyAlignment="1">
      <alignment horizontal="center" vertical="center"/>
    </xf>
    <xf numFmtId="0" fontId="273" fillId="7" borderId="1" xfId="0" applyNumberFormat="1" applyFont="1" applyFill="1" applyBorder="1" applyAlignment="1">
      <alignment horizontal="center" vertical="center"/>
    </xf>
    <xf numFmtId="0" fontId="273" fillId="16" borderId="88" xfId="0" applyNumberFormat="1" applyFont="1" applyFill="1" applyBorder="1" applyAlignment="1">
      <alignment horizontal="center" vertical="center"/>
    </xf>
    <xf numFmtId="0" fontId="273" fillId="7" borderId="90" xfId="0" applyNumberFormat="1" applyFont="1" applyFill="1" applyBorder="1" applyAlignment="1">
      <alignment horizontal="center" vertical="center"/>
    </xf>
    <xf numFmtId="0" fontId="114" fillId="7" borderId="31" xfId="0" applyFont="1" applyFill="1" applyBorder="1" applyAlignment="1">
      <alignment horizontal="center" vertical="center"/>
    </xf>
    <xf numFmtId="0" fontId="21" fillId="7" borderId="0" xfId="0" applyNumberFormat="1" applyFont="1" applyFill="1" applyBorder="1" applyAlignment="1">
      <alignment horizontal="center" vertical="center"/>
    </xf>
    <xf numFmtId="0" fontId="274" fillId="7" borderId="1" xfId="275" applyNumberFormat="1" applyFont="1" applyFill="1" applyBorder="1" applyAlignment="1" applyProtection="1">
      <alignment horizontal="center" vertical="center"/>
    </xf>
    <xf numFmtId="0" fontId="275" fillId="0" borderId="1" xfId="275" applyNumberFormat="1" applyFont="1" applyFill="1" applyBorder="1" applyAlignment="1" applyProtection="1">
      <alignment horizontal="center" vertical="center"/>
    </xf>
    <xf numFmtId="0" fontId="274" fillId="0" borderId="1" xfId="275" applyNumberFormat="1" applyFont="1" applyFill="1" applyBorder="1" applyAlignment="1" applyProtection="1">
      <alignment horizontal="center" vertical="center"/>
    </xf>
    <xf numFmtId="0" fontId="234" fillId="0" borderId="1" xfId="275" applyNumberFormat="1" applyFont="1" applyFill="1" applyBorder="1" applyAlignment="1" applyProtection="1">
      <alignment horizontal="center" vertical="center"/>
    </xf>
    <xf numFmtId="0" fontId="21" fillId="0" borderId="1" xfId="275" applyNumberFormat="1" applyFont="1" applyFill="1" applyBorder="1" applyAlignment="1" applyProtection="1">
      <alignment horizontal="center" vertical="center"/>
    </xf>
    <xf numFmtId="0" fontId="114" fillId="7" borderId="31" xfId="303" applyFont="1" applyFill="1" applyBorder="1" applyAlignment="1" applyProtection="1">
      <alignment horizontal="center" vertical="center"/>
    </xf>
    <xf numFmtId="0" fontId="276" fillId="7" borderId="1" xfId="275" applyNumberFormat="1" applyFont="1" applyFill="1" applyBorder="1" applyAlignment="1" applyProtection="1">
      <alignment horizontal="center" vertical="center"/>
    </xf>
    <xf numFmtId="0" fontId="277" fillId="7" borderId="1" xfId="275" applyNumberFormat="1" applyFont="1" applyFill="1" applyBorder="1" applyAlignment="1" applyProtection="1">
      <alignment horizontal="center" vertical="center"/>
    </xf>
    <xf numFmtId="0" fontId="10" fillId="7" borderId="68" xfId="0" applyNumberFormat="1" applyFont="1" applyFill="1" applyBorder="1" applyAlignment="1">
      <alignment horizontal="center" vertical="center"/>
    </xf>
    <xf numFmtId="0" fontId="278" fillId="7" borderId="1" xfId="275" applyNumberFormat="1" applyFont="1" applyFill="1" applyBorder="1" applyAlignment="1" applyProtection="1">
      <alignment horizontal="center" vertical="center"/>
    </xf>
    <xf numFmtId="191" fontId="114" fillId="7" borderId="0" xfId="28" applyNumberFormat="1" applyFont="1" applyFill="1" applyAlignment="1">
      <alignment horizontal="center" vertical="center"/>
    </xf>
    <xf numFmtId="246" fontId="111" fillId="0" borderId="0" xfId="3" applyNumberFormat="1" applyFont="1" applyFill="1" applyAlignment="1"/>
    <xf numFmtId="0" fontId="201" fillId="0" borderId="15" xfId="303" applyFont="1" applyBorder="1" applyAlignment="1">
      <alignment vertical="center"/>
    </xf>
    <xf numFmtId="0" fontId="127" fillId="7" borderId="15" xfId="0" applyFont="1" applyFill="1" applyBorder="1" applyAlignment="1">
      <alignment vertical="center"/>
    </xf>
    <xf numFmtId="0" fontId="216" fillId="7" borderId="1" xfId="25" applyFont="1" applyFill="1" applyBorder="1" applyAlignment="1">
      <alignment horizontal="left" vertical="center"/>
    </xf>
    <xf numFmtId="0" fontId="279" fillId="0" borderId="15" xfId="303" applyFont="1" applyBorder="1" applyAlignment="1">
      <alignment vertical="center"/>
    </xf>
    <xf numFmtId="0" fontId="127" fillId="7" borderId="1" xfId="0" applyFont="1" applyFill="1" applyBorder="1" applyAlignment="1">
      <alignment horizontal="center" vertical="center"/>
    </xf>
    <xf numFmtId="3" fontId="216" fillId="7" borderId="1" xfId="25" applyNumberFormat="1" applyFont="1" applyFill="1" applyBorder="1" applyAlignment="1">
      <alignment vertical="center"/>
    </xf>
    <xf numFmtId="0" fontId="279" fillId="12" borderId="1" xfId="28" applyFont="1" applyFill="1" applyBorder="1" applyAlignment="1" applyProtection="1">
      <alignment horizontal="left"/>
    </xf>
    <xf numFmtId="2" fontId="20" fillId="0" borderId="60" xfId="0" quotePrefix="1" applyNumberFormat="1" applyFont="1" applyFill="1" applyBorder="1" applyAlignment="1">
      <alignment horizontal="center" vertical="center"/>
    </xf>
    <xf numFmtId="0" fontId="101" fillId="0" borderId="60" xfId="0" applyFont="1" applyFill="1" applyBorder="1" applyAlignment="1">
      <alignment horizontal="center" vertical="center" wrapText="1"/>
    </xf>
    <xf numFmtId="0" fontId="101" fillId="0" borderId="60" xfId="0" applyFont="1" applyFill="1" applyBorder="1" applyAlignment="1">
      <alignment vertical="center" wrapText="1"/>
    </xf>
    <xf numFmtId="0" fontId="101" fillId="0" borderId="60" xfId="0" applyNumberFormat="1" applyFont="1" applyFill="1" applyBorder="1" applyAlignment="1">
      <alignment horizontal="center" vertical="center"/>
    </xf>
    <xf numFmtId="3" fontId="129" fillId="0" borderId="60" xfId="0" quotePrefix="1" applyNumberFormat="1" applyFont="1" applyFill="1" applyBorder="1" applyAlignment="1">
      <alignment horizontal="center" vertical="center"/>
    </xf>
    <xf numFmtId="0" fontId="77" fillId="0" borderId="22" xfId="0" applyFont="1" applyFill="1" applyBorder="1" applyAlignment="1">
      <alignment horizontal="center" vertical="center" wrapText="1"/>
    </xf>
    <xf numFmtId="0" fontId="77" fillId="0" borderId="22" xfId="0" applyFont="1" applyFill="1" applyBorder="1" applyAlignment="1">
      <alignment vertical="center" wrapText="1"/>
    </xf>
    <xf numFmtId="0" fontId="101" fillId="0" borderId="22" xfId="0" applyNumberFormat="1" applyFont="1" applyFill="1" applyBorder="1" applyAlignment="1">
      <alignment horizontal="center" vertical="center"/>
    </xf>
    <xf numFmtId="2" fontId="20" fillId="0" borderId="22" xfId="0" applyNumberFormat="1" applyFont="1" applyFill="1" applyBorder="1" applyAlignment="1">
      <alignment horizontal="center" vertical="center"/>
    </xf>
    <xf numFmtId="3" fontId="20" fillId="0" borderId="22" xfId="0" quotePrefix="1" applyNumberFormat="1" applyFont="1" applyFill="1" applyBorder="1" applyAlignment="1">
      <alignment horizontal="center" vertical="center"/>
    </xf>
    <xf numFmtId="2" fontId="20" fillId="0" borderId="22" xfId="0" quotePrefix="1" applyNumberFormat="1" applyFont="1" applyFill="1" applyBorder="1" applyAlignment="1">
      <alignment horizontal="center" vertical="center"/>
    </xf>
    <xf numFmtId="3" fontId="129" fillId="0" borderId="22" xfId="0" quotePrefix="1" applyNumberFormat="1" applyFont="1" applyFill="1" applyBorder="1" applyAlignment="1">
      <alignment horizontal="center" vertical="center"/>
    </xf>
    <xf numFmtId="197" fontId="20" fillId="0" borderId="22" xfId="10" applyNumberFormat="1" applyFont="1" applyFill="1" applyBorder="1" applyAlignment="1">
      <alignment horizontal="center" vertical="center" wrapText="1"/>
    </xf>
    <xf numFmtId="0" fontId="20" fillId="0" borderId="22" xfId="0" quotePrefix="1" applyNumberFormat="1" applyFont="1" applyFill="1" applyBorder="1" applyAlignment="1">
      <alignment horizontal="center" vertical="center"/>
    </xf>
    <xf numFmtId="0" fontId="201" fillId="0" borderId="26" xfId="0" applyFont="1" applyFill="1" applyBorder="1" applyAlignment="1">
      <alignment horizontal="center" vertical="center" wrapText="1"/>
    </xf>
    <xf numFmtId="0" fontId="201" fillId="0" borderId="26" xfId="0" applyFont="1" applyFill="1" applyBorder="1" applyAlignment="1">
      <alignment horizontal="left" vertical="center" wrapText="1"/>
    </xf>
    <xf numFmtId="0" fontId="201" fillId="0" borderId="26" xfId="0" applyNumberFormat="1" applyFont="1" applyFill="1" applyBorder="1" applyAlignment="1">
      <alignment horizontal="center" vertical="center"/>
    </xf>
    <xf numFmtId="2" fontId="201" fillId="0" borderId="26" xfId="0" applyNumberFormat="1" applyFont="1" applyFill="1" applyBorder="1" applyAlignment="1">
      <alignment horizontal="center" vertical="center" wrapText="1"/>
    </xf>
    <xf numFmtId="197" fontId="199" fillId="0" borderId="26" xfId="0" applyNumberFormat="1" applyFont="1" applyFill="1" applyBorder="1" applyAlignment="1">
      <alignment horizontal="center" vertical="center" wrapText="1"/>
    </xf>
    <xf numFmtId="197" fontId="201" fillId="0" borderId="26" xfId="10" applyNumberFormat="1" applyFont="1" applyFill="1" applyBorder="1" applyAlignment="1">
      <alignment horizontal="center" vertical="center"/>
    </xf>
    <xf numFmtId="0" fontId="201" fillId="0" borderId="26" xfId="0" quotePrefix="1" applyNumberFormat="1" applyFont="1" applyFill="1" applyBorder="1" applyAlignment="1">
      <alignment horizontal="center" vertical="center" wrapText="1"/>
    </xf>
    <xf numFmtId="0" fontId="201" fillId="0" borderId="91" xfId="0" quotePrefix="1" applyNumberFormat="1" applyFont="1" applyFill="1" applyBorder="1" applyAlignment="1">
      <alignment horizontal="center" vertical="center" wrapText="1"/>
    </xf>
    <xf numFmtId="0" fontId="197" fillId="0" borderId="91" xfId="0" applyFont="1" applyBorder="1"/>
    <xf numFmtId="0" fontId="0" fillId="0" borderId="91" xfId="0" applyBorder="1"/>
    <xf numFmtId="0" fontId="201" fillId="0" borderId="60" xfId="0" applyFont="1" applyFill="1" applyBorder="1" applyAlignment="1">
      <alignment horizontal="center" vertical="center" wrapText="1"/>
    </xf>
    <xf numFmtId="0" fontId="201" fillId="0" borderId="60" xfId="0" applyFont="1" applyFill="1" applyBorder="1" applyAlignment="1">
      <alignment horizontal="left" vertical="center" wrapText="1"/>
    </xf>
    <xf numFmtId="2" fontId="201" fillId="0" borderId="60" xfId="0" applyNumberFormat="1" applyFont="1" applyFill="1" applyBorder="1" applyAlignment="1">
      <alignment horizontal="center" vertical="center" wrapText="1"/>
    </xf>
    <xf numFmtId="197" fontId="199" fillId="0" borderId="60" xfId="0" applyNumberFormat="1" applyFont="1" applyFill="1" applyBorder="1" applyAlignment="1">
      <alignment horizontal="center" vertical="center" wrapText="1"/>
    </xf>
    <xf numFmtId="197" fontId="201" fillId="0" borderId="60" xfId="10" applyNumberFormat="1" applyFont="1" applyFill="1" applyBorder="1" applyAlignment="1">
      <alignment horizontal="center" vertical="center"/>
    </xf>
    <xf numFmtId="0" fontId="201" fillId="0" borderId="60" xfId="0" quotePrefix="1" applyNumberFormat="1" applyFont="1" applyFill="1" applyBorder="1" applyAlignment="1">
      <alignment horizontal="center" vertical="center" wrapText="1"/>
    </xf>
    <xf numFmtId="0" fontId="201" fillId="0" borderId="92" xfId="0" quotePrefix="1" applyNumberFormat="1" applyFont="1" applyFill="1" applyBorder="1" applyAlignment="1">
      <alignment horizontal="center" vertical="center" wrapText="1"/>
    </xf>
    <xf numFmtId="0" fontId="197" fillId="0" borderId="92" xfId="0" applyFont="1" applyBorder="1"/>
    <xf numFmtId="0" fontId="0" fillId="0" borderId="92" xfId="0" applyBorder="1"/>
    <xf numFmtId="0" fontId="201" fillId="0" borderId="30" xfId="0" applyFont="1" applyFill="1" applyBorder="1" applyAlignment="1">
      <alignment horizontal="center" vertical="center" wrapText="1"/>
    </xf>
    <xf numFmtId="0" fontId="201" fillId="0" borderId="30" xfId="0" applyFont="1" applyFill="1" applyBorder="1" applyAlignment="1">
      <alignment horizontal="left" vertical="center" wrapText="1"/>
    </xf>
    <xf numFmtId="2" fontId="201" fillId="0" borderId="30" xfId="0" applyNumberFormat="1" applyFont="1" applyFill="1" applyBorder="1" applyAlignment="1">
      <alignment horizontal="center" vertical="center" wrapText="1"/>
    </xf>
    <xf numFmtId="197" fontId="199" fillId="0" borderId="30" xfId="0" applyNumberFormat="1" applyFont="1" applyFill="1" applyBorder="1" applyAlignment="1">
      <alignment horizontal="center" vertical="center" wrapText="1"/>
    </xf>
    <xf numFmtId="197" fontId="201" fillId="0" borderId="30" xfId="10" applyNumberFormat="1" applyFont="1" applyFill="1" applyBorder="1" applyAlignment="1">
      <alignment horizontal="center" vertical="center"/>
    </xf>
    <xf numFmtId="0" fontId="201" fillId="0" borderId="30" xfId="0" quotePrefix="1" applyNumberFormat="1" applyFont="1" applyFill="1" applyBorder="1" applyAlignment="1">
      <alignment horizontal="center" vertical="center" wrapText="1"/>
    </xf>
    <xf numFmtId="0" fontId="201" fillId="0" borderId="64" xfId="0" quotePrefix="1" applyNumberFormat="1" applyFont="1" applyFill="1" applyBorder="1" applyAlignment="1">
      <alignment horizontal="center" vertical="center" wrapText="1"/>
    </xf>
    <xf numFmtId="0" fontId="197" fillId="0" borderId="64" xfId="0" applyFont="1" applyBorder="1"/>
    <xf numFmtId="0" fontId="0" fillId="0" borderId="64" xfId="0" applyBorder="1"/>
    <xf numFmtId="0" fontId="20" fillId="0" borderId="60" xfId="0" applyFont="1" applyFill="1" applyBorder="1" applyAlignment="1">
      <alignment horizontal="left" vertical="center" wrapText="1"/>
    </xf>
    <xf numFmtId="197" fontId="20" fillId="0" borderId="60" xfId="0" applyNumberFormat="1" applyFont="1" applyFill="1" applyBorder="1" applyAlignment="1">
      <alignment horizontal="center" vertical="center" wrapText="1"/>
    </xf>
    <xf numFmtId="197" fontId="20" fillId="0" borderId="60" xfId="10" applyNumberFormat="1" applyFont="1" applyFill="1" applyBorder="1" applyAlignment="1">
      <alignment horizontal="center" vertical="center"/>
    </xf>
    <xf numFmtId="0" fontId="8" fillId="0" borderId="92" xfId="0" applyFont="1" applyBorder="1"/>
    <xf numFmtId="0" fontId="8" fillId="0" borderId="91" xfId="0" applyFont="1" applyBorder="1"/>
    <xf numFmtId="4" fontId="22" fillId="0" borderId="60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Border="1"/>
    <xf numFmtId="3" fontId="8" fillId="0" borderId="14" xfId="0" applyNumberFormat="1" applyFont="1" applyBorder="1"/>
    <xf numFmtId="4" fontId="101" fillId="0" borderId="18" xfId="0" applyNumberFormat="1" applyFont="1" applyFill="1" applyBorder="1" applyAlignment="1">
      <alignment horizontal="center" vertical="center" wrapText="1"/>
    </xf>
    <xf numFmtId="0" fontId="8" fillId="7" borderId="92" xfId="0" applyFont="1" applyFill="1" applyBorder="1"/>
    <xf numFmtId="0" fontId="8" fillId="7" borderId="91" xfId="0" applyFont="1" applyFill="1" applyBorder="1"/>
    <xf numFmtId="0" fontId="8" fillId="0" borderId="64" xfId="0" applyFont="1" applyBorder="1"/>
    <xf numFmtId="0" fontId="8" fillId="7" borderId="64" xfId="0" applyFont="1" applyFill="1" applyBorder="1"/>
    <xf numFmtId="3" fontId="101" fillId="0" borderId="60" xfId="0" applyNumberFormat="1" applyFont="1" applyFill="1" applyBorder="1" applyAlignment="1">
      <alignment horizontal="center" vertical="center" wrapText="1"/>
    </xf>
    <xf numFmtId="197" fontId="101" fillId="0" borderId="60" xfId="0" applyNumberFormat="1" applyFont="1" applyFill="1" applyBorder="1" applyAlignment="1">
      <alignment horizontal="center" vertical="center" wrapText="1"/>
    </xf>
    <xf numFmtId="197" fontId="77" fillId="0" borderId="60" xfId="10" applyNumberFormat="1" applyFont="1" applyFill="1" applyBorder="1" applyAlignment="1">
      <alignment horizontal="center" vertical="center"/>
    </xf>
    <xf numFmtId="4" fontId="8" fillId="0" borderId="0" xfId="0" applyNumberFormat="1" applyFont="1" applyBorder="1"/>
    <xf numFmtId="0" fontId="101" fillId="0" borderId="84" xfId="0" applyFont="1" applyFill="1" applyBorder="1" applyAlignment="1">
      <alignment horizontal="center" vertical="center" wrapText="1"/>
    </xf>
    <xf numFmtId="2" fontId="22" fillId="0" borderId="84" xfId="0" applyNumberFormat="1" applyFont="1" applyFill="1" applyBorder="1" applyAlignment="1">
      <alignment horizontal="center" vertical="center" wrapText="1"/>
    </xf>
    <xf numFmtId="0" fontId="22" fillId="0" borderId="84" xfId="0" applyFont="1" applyFill="1" applyBorder="1" applyAlignment="1">
      <alignment horizontal="center" vertical="center" wrapText="1"/>
    </xf>
    <xf numFmtId="4" fontId="101" fillId="0" borderId="84" xfId="0" applyNumberFormat="1" applyFont="1" applyFill="1" applyBorder="1" applyAlignment="1">
      <alignment horizontal="center" vertical="center" wrapText="1"/>
    </xf>
    <xf numFmtId="4" fontId="101" fillId="0" borderId="84" xfId="10" applyNumberFormat="1" applyFont="1" applyFill="1" applyBorder="1" applyAlignment="1">
      <alignment horizontal="center" vertical="center"/>
    </xf>
    <xf numFmtId="0" fontId="22" fillId="0" borderId="84" xfId="0" quotePrefix="1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/>
    </xf>
    <xf numFmtId="3" fontId="77" fillId="0" borderId="60" xfId="0" applyNumberFormat="1" applyFont="1" applyFill="1" applyBorder="1" applyAlignment="1">
      <alignment horizontal="center" vertical="center" wrapText="1"/>
    </xf>
    <xf numFmtId="0" fontId="77" fillId="0" borderId="60" xfId="0" applyFont="1" applyFill="1" applyBorder="1" applyAlignment="1">
      <alignment vertical="center" wrapText="1"/>
    </xf>
    <xf numFmtId="0" fontId="22" fillId="0" borderId="60" xfId="0" applyNumberFormat="1" applyFont="1" applyFill="1" applyBorder="1" applyAlignment="1">
      <alignment horizontal="center" vertical="center"/>
    </xf>
    <xf numFmtId="2" fontId="22" fillId="0" borderId="60" xfId="0" applyNumberFormat="1" applyFont="1" applyFill="1" applyBorder="1" applyAlignment="1">
      <alignment horizontal="center" vertical="center"/>
    </xf>
    <xf numFmtId="4" fontId="22" fillId="0" borderId="94" xfId="0" applyNumberFormat="1" applyFont="1" applyFill="1" applyBorder="1" applyAlignment="1">
      <alignment horizontal="center" vertical="center"/>
    </xf>
    <xf numFmtId="4" fontId="22" fillId="0" borderId="92" xfId="0" applyNumberFormat="1" applyFont="1" applyFill="1" applyBorder="1" applyAlignment="1">
      <alignment horizontal="center" vertical="center"/>
    </xf>
    <xf numFmtId="4" fontId="22" fillId="0" borderId="95" xfId="0" applyNumberFormat="1" applyFont="1" applyFill="1" applyBorder="1" applyAlignment="1">
      <alignment horizontal="center" vertical="center"/>
    </xf>
    <xf numFmtId="197" fontId="20" fillId="0" borderId="60" xfId="0" applyNumberFormat="1" applyFont="1" applyFill="1" applyBorder="1" applyAlignment="1">
      <alignment vertical="center"/>
    </xf>
    <xf numFmtId="3" fontId="22" fillId="0" borderId="60" xfId="0" applyNumberFormat="1" applyFont="1" applyFill="1" applyBorder="1" applyAlignment="1">
      <alignment horizontal="center" vertical="center"/>
    </xf>
    <xf numFmtId="197" fontId="77" fillId="0" borderId="60" xfId="0" applyNumberFormat="1" applyFont="1" applyFill="1" applyBorder="1" applyAlignment="1">
      <alignment horizontal="center" vertical="center"/>
    </xf>
    <xf numFmtId="0" fontId="22" fillId="0" borderId="60" xfId="0" quotePrefix="1" applyNumberFormat="1" applyFont="1" applyFill="1" applyBorder="1" applyAlignment="1">
      <alignment horizontal="center" vertical="center"/>
    </xf>
    <xf numFmtId="0" fontId="101" fillId="0" borderId="26" xfId="0" applyFont="1" applyFill="1" applyBorder="1" applyAlignment="1">
      <alignment vertical="center" wrapText="1"/>
    </xf>
    <xf numFmtId="197" fontId="101" fillId="0" borderId="26" xfId="0" applyNumberFormat="1" applyFont="1" applyFill="1" applyBorder="1" applyAlignment="1">
      <alignment horizontal="center" vertical="center"/>
    </xf>
    <xf numFmtId="3" fontId="101" fillId="0" borderId="22" xfId="0" applyNumberFormat="1" applyFont="1" applyFill="1" applyBorder="1" applyAlignment="1">
      <alignment horizontal="center" vertical="center" wrapText="1"/>
    </xf>
    <xf numFmtId="0" fontId="101" fillId="0" borderId="22" xfId="0" applyFont="1" applyFill="1" applyBorder="1" applyAlignment="1">
      <alignment vertical="center" wrapText="1"/>
    </xf>
    <xf numFmtId="2" fontId="22" fillId="0" borderId="22" xfId="0" applyNumberFormat="1" applyFont="1" applyFill="1" applyBorder="1" applyAlignment="1">
      <alignment horizontal="center" vertical="center"/>
    </xf>
    <xf numFmtId="197" fontId="101" fillId="0" borderId="22" xfId="0" applyNumberFormat="1" applyFont="1" applyFill="1" applyBorder="1" applyAlignment="1">
      <alignment horizontal="center" vertical="center"/>
    </xf>
    <xf numFmtId="3" fontId="22" fillId="0" borderId="22" xfId="0" applyNumberFormat="1" applyFont="1" applyFill="1" applyBorder="1" applyAlignment="1">
      <alignment horizontal="center" vertical="center"/>
    </xf>
    <xf numFmtId="197" fontId="22" fillId="0" borderId="22" xfId="0" applyNumberFormat="1" applyFont="1" applyFill="1" applyBorder="1" applyAlignment="1">
      <alignment horizontal="center" vertical="center"/>
    </xf>
    <xf numFmtId="0" fontId="22" fillId="0" borderId="22" xfId="0" quotePrefix="1" applyNumberFormat="1" applyFont="1" applyFill="1" applyBorder="1" applyAlignment="1">
      <alignment horizontal="center" vertical="center"/>
    </xf>
    <xf numFmtId="197" fontId="8" fillId="9" borderId="0" xfId="0" applyNumberFormat="1" applyFont="1" applyFill="1" applyBorder="1"/>
    <xf numFmtId="0" fontId="77" fillId="0" borderId="60" xfId="0" applyFont="1" applyFill="1" applyBorder="1" applyAlignment="1">
      <alignment horizontal="center" vertical="center" wrapText="1"/>
    </xf>
    <xf numFmtId="0" fontId="201" fillId="0" borderId="97" xfId="0" applyFont="1" applyFill="1" applyBorder="1" applyAlignment="1">
      <alignment horizontal="center" vertical="center" wrapText="1"/>
    </xf>
    <xf numFmtId="0" fontId="201" fillId="0" borderId="97" xfId="0" applyFont="1" applyFill="1" applyBorder="1" applyAlignment="1">
      <alignment horizontal="left" vertical="center" wrapText="1"/>
    </xf>
    <xf numFmtId="0" fontId="201" fillId="0" borderId="97" xfId="0" applyNumberFormat="1" applyFont="1" applyFill="1" applyBorder="1" applyAlignment="1">
      <alignment horizontal="center" vertical="center"/>
    </xf>
    <xf numFmtId="2" fontId="201" fillId="0" borderId="97" xfId="0" applyNumberFormat="1" applyFont="1" applyFill="1" applyBorder="1" applyAlignment="1">
      <alignment horizontal="center" vertical="center" wrapText="1"/>
    </xf>
    <xf numFmtId="197" fontId="199" fillId="0" borderId="97" xfId="0" applyNumberFormat="1" applyFont="1" applyFill="1" applyBorder="1" applyAlignment="1">
      <alignment horizontal="center" vertical="center" wrapText="1"/>
    </xf>
    <xf numFmtId="197" fontId="201" fillId="0" borderId="97" xfId="10" applyNumberFormat="1" applyFont="1" applyFill="1" applyBorder="1" applyAlignment="1">
      <alignment horizontal="center" vertical="center"/>
    </xf>
    <xf numFmtId="0" fontId="201" fillId="0" borderId="97" xfId="0" quotePrefix="1" applyNumberFormat="1" applyFont="1" applyFill="1" applyBorder="1" applyAlignment="1">
      <alignment horizontal="center" vertical="center" wrapText="1"/>
    </xf>
    <xf numFmtId="197" fontId="101" fillId="0" borderId="60" xfId="10" applyNumberFormat="1" applyFont="1" applyFill="1" applyBorder="1" applyAlignment="1">
      <alignment horizontal="center" vertical="center"/>
    </xf>
    <xf numFmtId="0" fontId="8" fillId="7" borderId="0" xfId="0" applyFont="1" applyFill="1" applyBorder="1"/>
    <xf numFmtId="4" fontId="22" fillId="7" borderId="84" xfId="0" applyNumberFormat="1" applyFont="1" applyFill="1" applyBorder="1" applyAlignment="1">
      <alignment horizontal="center" vertical="center" wrapText="1"/>
    </xf>
    <xf numFmtId="0" fontId="22" fillId="7" borderId="84" xfId="0" applyFont="1" applyFill="1" applyBorder="1" applyAlignment="1">
      <alignment horizontal="center" vertical="center" wrapText="1"/>
    </xf>
    <xf numFmtId="197" fontId="8" fillId="7" borderId="64" xfId="0" applyNumberFormat="1" applyFont="1" applyFill="1" applyBorder="1"/>
    <xf numFmtId="4" fontId="22" fillId="7" borderId="26" xfId="0" applyNumberFormat="1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4" fontId="22" fillId="7" borderId="60" xfId="0" applyNumberFormat="1" applyFont="1" applyFill="1" applyBorder="1" applyAlignment="1">
      <alignment horizontal="center" vertical="center" wrapText="1"/>
    </xf>
    <xf numFmtId="0" fontId="22" fillId="7" borderId="60" xfId="0" applyFont="1" applyFill="1" applyBorder="1" applyAlignment="1">
      <alignment horizontal="center" vertical="center" wrapText="1"/>
    </xf>
    <xf numFmtId="4" fontId="8" fillId="0" borderId="14" xfId="0" applyNumberFormat="1" applyFont="1" applyBorder="1"/>
    <xf numFmtId="4" fontId="8" fillId="0" borderId="92" xfId="0" applyNumberFormat="1" applyFont="1" applyBorder="1"/>
    <xf numFmtId="197" fontId="8" fillId="9" borderId="0" xfId="0" applyNumberFormat="1" applyFont="1" applyFill="1"/>
    <xf numFmtId="3" fontId="22" fillId="0" borderId="86" xfId="0" applyNumberFormat="1" applyFont="1" applyFill="1" applyBorder="1" applyAlignment="1">
      <alignment horizontal="center" vertical="center" wrapText="1"/>
    </xf>
    <xf numFmtId="0" fontId="22" fillId="0" borderId="86" xfId="0" applyFont="1" applyFill="1" applyBorder="1" applyAlignment="1">
      <alignment vertical="center" wrapText="1"/>
    </xf>
    <xf numFmtId="0" fontId="22" fillId="0" borderId="86" xfId="0" applyNumberFormat="1" applyFont="1" applyFill="1" applyBorder="1" applyAlignment="1">
      <alignment horizontal="center" vertical="center"/>
    </xf>
    <xf numFmtId="2" fontId="22" fillId="0" borderId="86" xfId="0" applyNumberFormat="1" applyFont="1" applyFill="1" applyBorder="1" applyAlignment="1">
      <alignment horizontal="center" vertical="center"/>
    </xf>
    <xf numFmtId="197" fontId="20" fillId="0" borderId="86" xfId="0" applyNumberFormat="1" applyFont="1" applyFill="1" applyBorder="1" applyAlignment="1">
      <alignment vertical="center"/>
    </xf>
    <xf numFmtId="3" fontId="22" fillId="0" borderId="86" xfId="0" applyNumberFormat="1" applyFont="1" applyFill="1" applyBorder="1" applyAlignment="1">
      <alignment horizontal="center" vertical="center"/>
    </xf>
    <xf numFmtId="197" fontId="22" fillId="0" borderId="86" xfId="0" applyNumberFormat="1" applyFont="1" applyFill="1" applyBorder="1" applyAlignment="1">
      <alignment horizontal="center" vertical="center"/>
    </xf>
    <xf numFmtId="0" fontId="22" fillId="0" borderId="86" xfId="0" quotePrefix="1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2" xfId="0" applyFont="1" applyBorder="1" applyAlignment="1">
      <alignment horizontal="center" vertical="center"/>
    </xf>
    <xf numFmtId="192" fontId="10" fillId="0" borderId="22" xfId="3" applyNumberFormat="1" applyFont="1" applyBorder="1" applyAlignment="1">
      <alignment horizontal="center" vertical="center"/>
    </xf>
    <xf numFmtId="0" fontId="10" fillId="0" borderId="92" xfId="0" applyFont="1" applyBorder="1" applyAlignment="1">
      <alignment vertical="center"/>
    </xf>
    <xf numFmtId="0" fontId="10" fillId="0" borderId="91" xfId="0" applyFont="1" applyBorder="1" applyAlignment="1">
      <alignment vertical="center"/>
    </xf>
    <xf numFmtId="0" fontId="10" fillId="7" borderId="22" xfId="0" applyFont="1" applyFill="1" applyBorder="1" applyAlignment="1">
      <alignment horizontal="center" vertical="center"/>
    </xf>
    <xf numFmtId="3" fontId="65" fillId="7" borderId="1" xfId="0" applyNumberFormat="1" applyFont="1" applyFill="1" applyBorder="1" applyAlignment="1">
      <alignment horizontal="center" vertical="center"/>
    </xf>
    <xf numFmtId="0" fontId="95" fillId="0" borderId="15" xfId="0" applyFont="1" applyBorder="1" applyAlignment="1">
      <alignment horizontal="center" vertical="center"/>
    </xf>
    <xf numFmtId="0" fontId="95" fillId="0" borderId="43" xfId="0" applyFont="1" applyBorder="1" applyAlignment="1">
      <alignment horizontal="center" vertical="center"/>
    </xf>
    <xf numFmtId="1" fontId="95" fillId="0" borderId="15" xfId="0" applyNumberFormat="1" applyFont="1" applyBorder="1" applyAlignment="1">
      <alignment horizontal="center" vertical="center" wrapText="1"/>
    </xf>
    <xf numFmtId="0" fontId="95" fillId="0" borderId="15" xfId="0" applyFont="1" applyBorder="1" applyAlignment="1">
      <alignment horizontal="center" vertical="center" wrapText="1"/>
    </xf>
    <xf numFmtId="3" fontId="92" fillId="0" borderId="25" xfId="0" applyNumberFormat="1" applyFont="1" applyBorder="1" applyAlignment="1">
      <alignment horizontal="center" vertical="center" wrapText="1"/>
    </xf>
    <xf numFmtId="0" fontId="120" fillId="0" borderId="0" xfId="0" applyFont="1" applyAlignment="1">
      <alignment wrapText="1"/>
    </xf>
    <xf numFmtId="192" fontId="23" fillId="0" borderId="0" xfId="0" applyNumberFormat="1" applyFont="1" applyAlignment="1"/>
    <xf numFmtId="3" fontId="92" fillId="0" borderId="15" xfId="0" applyNumberFormat="1" applyFont="1" applyBorder="1" applyAlignment="1">
      <alignment horizontal="center" vertical="center" wrapText="1"/>
    </xf>
    <xf numFmtId="3" fontId="92" fillId="0" borderId="20" xfId="1" applyNumberFormat="1" applyFont="1" applyFill="1" applyBorder="1" applyAlignment="1">
      <alignment horizontal="center" vertical="center" wrapText="1"/>
    </xf>
    <xf numFmtId="1" fontId="92" fillId="0" borderId="20" xfId="1" applyNumberFormat="1" applyFont="1" applyFill="1" applyBorder="1" applyAlignment="1">
      <alignment horizontal="center" vertical="center" wrapText="1"/>
    </xf>
    <xf numFmtId="218" fontId="92" fillId="0" borderId="20" xfId="1" applyNumberFormat="1" applyFont="1" applyFill="1" applyBorder="1" applyAlignment="1">
      <alignment vertical="center" wrapText="1"/>
    </xf>
    <xf numFmtId="1" fontId="22" fillId="0" borderId="25" xfId="0" applyNumberFormat="1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3" fontId="92" fillId="0" borderId="25" xfId="1" applyNumberFormat="1" applyFont="1" applyFill="1" applyBorder="1" applyAlignment="1">
      <alignment horizontal="center" vertical="center" wrapText="1"/>
    </xf>
    <xf numFmtId="238" fontId="101" fillId="0" borderId="25" xfId="1" applyNumberFormat="1" applyFont="1" applyFill="1" applyBorder="1" applyAlignment="1">
      <alignment horizontal="center" vertical="center" shrinkToFit="1"/>
    </xf>
    <xf numFmtId="2" fontId="92" fillId="0" borderId="25" xfId="1" applyNumberFormat="1" applyFont="1" applyFill="1" applyBorder="1" applyAlignment="1">
      <alignment horizontal="center" vertical="center" wrapText="1"/>
    </xf>
    <xf numFmtId="1" fontId="92" fillId="0" borderId="25" xfId="1" applyNumberFormat="1" applyFont="1" applyFill="1" applyBorder="1" applyAlignment="1">
      <alignment horizontal="center" vertical="center" wrapText="1"/>
    </xf>
    <xf numFmtId="43" fontId="4" fillId="0" borderId="92" xfId="1" applyFont="1" applyFill="1" applyBorder="1"/>
    <xf numFmtId="0" fontId="4" fillId="0" borderId="92" xfId="0" applyFont="1" applyBorder="1"/>
    <xf numFmtId="0" fontId="7" fillId="0" borderId="92" xfId="0" applyFont="1" applyBorder="1"/>
    <xf numFmtId="0" fontId="92" fillId="0" borderId="26" xfId="0" applyFont="1" applyBorder="1" applyAlignment="1">
      <alignment horizontal="center" vertical="center"/>
    </xf>
    <xf numFmtId="1" fontId="22" fillId="0" borderId="26" xfId="0" applyNumberFormat="1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3" fontId="92" fillId="0" borderId="26" xfId="1" applyNumberFormat="1" applyFont="1" applyFill="1" applyBorder="1" applyAlignment="1">
      <alignment horizontal="center" vertical="center" wrapText="1"/>
    </xf>
    <xf numFmtId="239" fontId="22" fillId="0" borderId="26" xfId="1" applyNumberFormat="1" applyFont="1" applyFill="1" applyBorder="1" applyAlignment="1">
      <alignment horizontal="center" vertical="center" wrapText="1" readingOrder="1"/>
    </xf>
    <xf numFmtId="2" fontId="92" fillId="0" borderId="26" xfId="1" applyNumberFormat="1" applyFont="1" applyFill="1" applyBorder="1" applyAlignment="1">
      <alignment horizontal="center" vertical="center" wrapText="1"/>
    </xf>
    <xf numFmtId="1" fontId="92" fillId="0" borderId="26" xfId="1" applyNumberFormat="1" applyFont="1" applyFill="1" applyBorder="1" applyAlignment="1">
      <alignment horizontal="center" vertical="center" wrapText="1"/>
    </xf>
    <xf numFmtId="218" fontId="92" fillId="0" borderId="26" xfId="1" applyNumberFormat="1" applyFont="1" applyFill="1" applyBorder="1" applyAlignment="1">
      <alignment vertical="center" wrapText="1"/>
    </xf>
    <xf numFmtId="43" fontId="4" fillId="0" borderId="91" xfId="1" applyFont="1" applyFill="1" applyBorder="1"/>
    <xf numFmtId="0" fontId="4" fillId="0" borderId="91" xfId="0" applyFont="1" applyBorder="1"/>
    <xf numFmtId="0" fontId="7" fillId="0" borderId="91" xfId="0" applyFont="1" applyBorder="1"/>
    <xf numFmtId="0" fontId="22" fillId="0" borderId="60" xfId="0" applyFont="1" applyBorder="1" applyAlignment="1">
      <alignment vertical="center" wrapText="1"/>
    </xf>
    <xf numFmtId="2" fontId="92" fillId="0" borderId="30" xfId="1" applyNumberFormat="1" applyFont="1" applyFill="1" applyBorder="1" applyAlignment="1">
      <alignment horizontal="center" vertical="center" wrapText="1"/>
    </xf>
    <xf numFmtId="2" fontId="92" fillId="0" borderId="60" xfId="1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210" fillId="7" borderId="0" xfId="275" applyFont="1" applyFill="1" applyAlignment="1">
      <alignment horizontal="center" vertical="center"/>
    </xf>
    <xf numFmtId="0" fontId="134" fillId="7" borderId="0" xfId="275" applyFont="1" applyFill="1" applyAlignment="1">
      <alignment horizontal="center" vertical="center"/>
    </xf>
    <xf numFmtId="0" fontId="210" fillId="7" borderId="20" xfId="0" applyFont="1" applyFill="1" applyBorder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0" fontId="157" fillId="7" borderId="0" xfId="275" applyFont="1" applyFill="1" applyAlignment="1">
      <alignment horizontal="center" vertical="center"/>
    </xf>
    <xf numFmtId="0" fontId="133" fillId="7" borderId="0" xfId="0" applyFont="1" applyFill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192" fontId="114" fillId="7" borderId="20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" fontId="92" fillId="0" borderId="0" xfId="0" applyNumberFormat="1" applyFont="1" applyAlignment="1">
      <alignment horizontal="center"/>
    </xf>
    <xf numFmtId="0" fontId="20" fillId="7" borderId="0" xfId="0" applyFont="1" applyFill="1" applyAlignment="1">
      <alignment horizont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/>
    </xf>
    <xf numFmtId="0" fontId="145" fillId="0" borderId="1" xfId="0" applyFont="1" applyBorder="1" applyAlignment="1">
      <alignment horizontal="center" vertical="center"/>
    </xf>
    <xf numFmtId="1" fontId="92" fillId="7" borderId="25" xfId="1" applyNumberFormat="1" applyFont="1" applyFill="1" applyBorder="1" applyAlignment="1">
      <alignment horizontal="center" vertical="center" wrapText="1"/>
    </xf>
    <xf numFmtId="1" fontId="92" fillId="7" borderId="26" xfId="1" applyNumberFormat="1" applyFont="1" applyFill="1" applyBorder="1" applyAlignment="1">
      <alignment horizontal="center" vertical="center" wrapText="1"/>
    </xf>
    <xf numFmtId="1" fontId="92" fillId="7" borderId="20" xfId="1" applyNumberFormat="1" applyFont="1" applyFill="1" applyBorder="1" applyAlignment="1">
      <alignment horizontal="center" vertical="center" wrapText="1"/>
    </xf>
    <xf numFmtId="44" fontId="93" fillId="0" borderId="0" xfId="288" applyFont="1" applyFill="1" applyBorder="1" applyAlignment="1">
      <alignment vertical="center"/>
    </xf>
    <xf numFmtId="218" fontId="93" fillId="0" borderId="15" xfId="1" applyNumberFormat="1" applyFont="1" applyFill="1" applyBorder="1" applyAlignment="1">
      <alignment horizontal="center" vertical="center" wrapText="1"/>
    </xf>
    <xf numFmtId="0" fontId="127" fillId="3" borderId="1" xfId="0" applyFont="1" applyFill="1" applyBorder="1" applyAlignment="1">
      <alignment horizontal="center"/>
    </xf>
    <xf numFmtId="0" fontId="178" fillId="0" borderId="0" xfId="0" applyFont="1"/>
    <xf numFmtId="189" fontId="127" fillId="9" borderId="0" xfId="0" applyNumberFormat="1" applyFont="1" applyFill="1" applyAlignment="1">
      <alignment horizontal="right"/>
    </xf>
    <xf numFmtId="3" fontId="125" fillId="9" borderId="0" xfId="0" applyNumberFormat="1" applyFont="1" applyFill="1"/>
    <xf numFmtId="0" fontId="124" fillId="7" borderId="1" xfId="0" applyFont="1" applyFill="1" applyBorder="1" applyAlignment="1">
      <alignment horizontal="center" vertical="center"/>
    </xf>
    <xf numFmtId="3" fontId="22" fillId="7" borderId="0" xfId="0" applyNumberFormat="1" applyFont="1" applyFill="1" applyBorder="1"/>
    <xf numFmtId="0" fontId="38" fillId="0" borderId="1" xfId="0" applyFont="1" applyBorder="1" applyAlignment="1" applyProtection="1">
      <alignment horizontal="center" vertical="center"/>
      <protection hidden="1"/>
    </xf>
    <xf numFmtId="0" fontId="38" fillId="0" borderId="1" xfId="0" applyFont="1" applyBorder="1" applyAlignment="1">
      <alignment horizontal="center" vertical="center"/>
    </xf>
    <xf numFmtId="0" fontId="105" fillId="0" borderId="0" xfId="0" applyFont="1" applyAlignment="1">
      <alignment vertical="center"/>
    </xf>
    <xf numFmtId="0" fontId="22" fillId="9" borderId="0" xfId="0" applyFont="1" applyFill="1" applyAlignment="1">
      <alignment vertical="center"/>
    </xf>
    <xf numFmtId="0" fontId="282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191" fontId="136" fillId="7" borderId="1" xfId="1" applyNumberFormat="1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32" fillId="0" borderId="1" xfId="0" applyFont="1" applyBorder="1" applyAlignment="1">
      <alignment horizontal="center"/>
    </xf>
    <xf numFmtId="0" fontId="191" fillId="0" borderId="0" xfId="0" applyFont="1" applyAlignment="1">
      <alignment horizontal="center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58" fillId="0" borderId="0" xfId="0" applyFont="1" applyAlignment="1"/>
    <xf numFmtId="0" fontId="38" fillId="13" borderId="68" xfId="0" applyFont="1" applyFill="1" applyBorder="1" applyAlignment="1">
      <alignment horizontal="left" vertical="center" shrinkToFit="1"/>
    </xf>
    <xf numFmtId="0" fontId="234" fillId="0" borderId="1" xfId="0" applyFont="1" applyBorder="1" applyAlignment="1">
      <alignment horizontal="center" vertical="center" wrapText="1"/>
    </xf>
    <xf numFmtId="0" fontId="38" fillId="0" borderId="15" xfId="0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 wrapText="1"/>
    </xf>
    <xf numFmtId="192" fontId="38" fillId="0" borderId="1" xfId="1" applyNumberFormat="1" applyFont="1" applyBorder="1" applyAlignment="1">
      <alignment horizontal="center" vertical="center" wrapText="1"/>
    </xf>
    <xf numFmtId="192" fontId="38" fillId="0" borderId="1" xfId="1" applyNumberFormat="1" applyFont="1" applyBorder="1" applyAlignment="1">
      <alignment vertical="center" wrapText="1"/>
    </xf>
    <xf numFmtId="0" fontId="189" fillId="0" borderId="1" xfId="0" applyFont="1" applyBorder="1" applyAlignment="1">
      <alignment vertical="center"/>
    </xf>
    <xf numFmtId="2" fontId="111" fillId="0" borderId="0" xfId="0" applyNumberFormat="1" applyFont="1" applyFill="1"/>
    <xf numFmtId="205" fontId="8" fillId="7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64" fillId="7" borderId="15" xfId="0" applyFont="1" applyFill="1" applyBorder="1" applyAlignment="1">
      <alignment horizontal="center" vertical="center"/>
    </xf>
    <xf numFmtId="0" fontId="101" fillId="0" borderId="15" xfId="303" applyFont="1" applyBorder="1" applyAlignment="1">
      <alignment vertical="center"/>
    </xf>
    <xf numFmtId="3" fontId="164" fillId="7" borderId="15" xfId="0" applyNumberFormat="1" applyFont="1" applyFill="1" applyBorder="1" applyAlignment="1">
      <alignment horizontal="center" vertical="center"/>
    </xf>
    <xf numFmtId="0" fontId="164" fillId="7" borderId="15" xfId="0" applyFont="1" applyFill="1" applyBorder="1" applyAlignment="1">
      <alignment horizontal="left" vertical="center"/>
    </xf>
    <xf numFmtId="200" fontId="164" fillId="7" borderId="15" xfId="0" applyNumberFormat="1" applyFont="1" applyFill="1" applyBorder="1" applyAlignment="1">
      <alignment horizontal="center" vertical="center"/>
    </xf>
    <xf numFmtId="191" fontId="164" fillId="7" borderId="15" xfId="1" applyNumberFormat="1" applyFont="1" applyFill="1" applyBorder="1" applyAlignment="1">
      <alignment horizontal="right" vertical="center" wrapText="1"/>
    </xf>
    <xf numFmtId="188" fontId="164" fillId="7" borderId="15" xfId="0" applyNumberFormat="1" applyFont="1" applyFill="1" applyBorder="1" applyAlignment="1">
      <alignment vertical="center"/>
    </xf>
    <xf numFmtId="3" fontId="164" fillId="7" borderId="15" xfId="1" applyNumberFormat="1" applyFont="1" applyFill="1" applyBorder="1" applyAlignment="1">
      <alignment horizontal="right" vertical="center" wrapText="1"/>
    </xf>
    <xf numFmtId="3" fontId="164" fillId="7" borderId="15" xfId="1" applyNumberFormat="1" applyFont="1" applyFill="1" applyBorder="1" applyAlignment="1">
      <alignment horizontal="right" vertical="center" shrinkToFit="1"/>
    </xf>
    <xf numFmtId="0" fontId="101" fillId="0" borderId="20" xfId="303" applyFont="1" applyBorder="1" applyAlignment="1">
      <alignment vertical="center"/>
    </xf>
    <xf numFmtId="191" fontId="125" fillId="7" borderId="1" xfId="1" applyNumberFormat="1" applyFont="1" applyFill="1" applyBorder="1"/>
    <xf numFmtId="213" fontId="125" fillId="7" borderId="1" xfId="0" applyNumberFormat="1" applyFont="1" applyFill="1" applyBorder="1"/>
    <xf numFmtId="0" fontId="125" fillId="7" borderId="1" xfId="0" applyFont="1" applyFill="1" applyBorder="1"/>
    <xf numFmtId="0" fontId="283" fillId="7" borderId="0" xfId="0" applyFont="1" applyFill="1" applyAlignment="1">
      <alignment vertical="center"/>
    </xf>
    <xf numFmtId="192" fontId="285" fillId="7" borderId="0" xfId="0" applyNumberFormat="1" applyFont="1" applyFill="1" applyAlignment="1">
      <alignment vertical="center"/>
    </xf>
    <xf numFmtId="0" fontId="31" fillId="0" borderId="0" xfId="0" applyFont="1" applyAlignment="1">
      <alignment vertical="center"/>
    </xf>
    <xf numFmtId="3" fontId="136" fillId="7" borderId="1" xfId="1" applyNumberFormat="1" applyFont="1" applyFill="1" applyBorder="1" applyAlignment="1">
      <alignment horizontal="right" vertical="center" wrapText="1"/>
    </xf>
    <xf numFmtId="3" fontId="136" fillId="7" borderId="1" xfId="1" applyNumberFormat="1" applyFont="1" applyFill="1" applyBorder="1" applyAlignment="1">
      <alignment horizontal="right" wrapText="1"/>
    </xf>
    <xf numFmtId="4" fontId="22" fillId="9" borderId="0" xfId="0" applyNumberFormat="1" applyFont="1" applyFill="1" applyBorder="1" applyAlignment="1">
      <alignment horizontal="right"/>
    </xf>
    <xf numFmtId="4" fontId="127" fillId="9" borderId="0" xfId="0" applyNumberFormat="1" applyFont="1" applyFill="1" applyBorder="1" applyAlignment="1">
      <alignment horizontal="right"/>
    </xf>
    <xf numFmtId="188" fontId="125" fillId="7" borderId="0" xfId="0" applyNumberFormat="1" applyFont="1" applyFill="1" applyBorder="1"/>
    <xf numFmtId="0" fontId="20" fillId="0" borderId="0" xfId="0" applyFont="1" applyAlignment="1">
      <alignment horizontal="center"/>
    </xf>
    <xf numFmtId="0" fontId="223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218" fontId="93" fillId="0" borderId="14" xfId="1" applyNumberFormat="1" applyFont="1" applyFill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65" fillId="0" borderId="0" xfId="0" applyFont="1" applyAlignment="1">
      <alignment horizontal="center"/>
    </xf>
    <xf numFmtId="1" fontId="230" fillId="0" borderId="0" xfId="0" applyNumberFormat="1" applyFont="1" applyFill="1" applyAlignment="1">
      <alignment horizontal="center" vertical="center"/>
    </xf>
    <xf numFmtId="1" fontId="11" fillId="0" borderId="27" xfId="275" applyNumberFormat="1" applyFont="1" applyFill="1" applyBorder="1" applyAlignment="1">
      <alignment horizontal="center" vertical="center"/>
    </xf>
    <xf numFmtId="1" fontId="11" fillId="0" borderId="21" xfId="275" applyNumberFormat="1" applyFont="1" applyFill="1" applyBorder="1" applyAlignment="1">
      <alignment horizontal="center" vertical="center"/>
    </xf>
    <xf numFmtId="1" fontId="11" fillId="0" borderId="31" xfId="275" applyNumberFormat="1" applyFont="1" applyFill="1" applyBorder="1" applyAlignment="1">
      <alignment horizontal="center" vertical="center"/>
    </xf>
    <xf numFmtId="1" fontId="11" fillId="0" borderId="1" xfId="28" applyNumberFormat="1" applyFont="1" applyFill="1" applyBorder="1" applyAlignment="1">
      <alignment horizontal="center" wrapText="1"/>
    </xf>
    <xf numFmtId="1" fontId="11" fillId="0" borderId="1" xfId="28" applyNumberFormat="1" applyFont="1" applyFill="1" applyBorder="1" applyAlignment="1">
      <alignment horizontal="center"/>
    </xf>
    <xf numFmtId="1" fontId="11" fillId="0" borderId="1" xfId="3" applyNumberFormat="1" applyFont="1" applyFill="1" applyBorder="1" applyAlignment="1">
      <alignment horizontal="center" vertical="center"/>
    </xf>
    <xf numFmtId="1" fontId="134" fillId="0" borderId="1" xfId="0" applyNumberFormat="1" applyFont="1" applyFill="1" applyBorder="1" applyAlignment="1">
      <alignment horizontal="center" vertical="center" shrinkToFit="1"/>
    </xf>
    <xf numFmtId="1" fontId="11" fillId="0" borderId="1" xfId="3" applyNumberFormat="1" applyFont="1" applyFill="1" applyBorder="1" applyAlignment="1">
      <alignment horizontal="center" vertical="center" wrapText="1"/>
    </xf>
    <xf numFmtId="1" fontId="134" fillId="0" borderId="27" xfId="0" applyNumberFormat="1" applyFont="1" applyFill="1" applyBorder="1" applyAlignment="1">
      <alignment horizontal="center" vertical="center"/>
    </xf>
    <xf numFmtId="1" fontId="134" fillId="0" borderId="21" xfId="0" applyNumberFormat="1" applyFont="1" applyFill="1" applyBorder="1" applyAlignment="1">
      <alignment horizontal="center" vertical="center"/>
    </xf>
    <xf numFmtId="1" fontId="134" fillId="0" borderId="31" xfId="0" applyNumberFormat="1" applyFont="1" applyFill="1" applyBorder="1" applyAlignment="1">
      <alignment horizontal="center" vertical="center"/>
    </xf>
    <xf numFmtId="1" fontId="11" fillId="0" borderId="27" xfId="3" applyNumberFormat="1" applyFont="1" applyFill="1" applyBorder="1" applyAlignment="1">
      <alignment horizontal="center" vertical="center"/>
    </xf>
    <xf numFmtId="1" fontId="11" fillId="0" borderId="21" xfId="3" applyNumberFormat="1" applyFont="1" applyFill="1" applyBorder="1" applyAlignment="1">
      <alignment horizontal="center" vertical="center"/>
    </xf>
    <xf numFmtId="1" fontId="11" fillId="0" borderId="31" xfId="3" applyNumberFormat="1" applyFont="1" applyFill="1" applyBorder="1" applyAlignment="1">
      <alignment horizontal="center" vertical="center"/>
    </xf>
    <xf numFmtId="1" fontId="134" fillId="0" borderId="27" xfId="0" applyNumberFormat="1" applyFont="1" applyFill="1" applyBorder="1" applyAlignment="1">
      <alignment horizontal="center" vertical="center" shrinkToFit="1"/>
    </xf>
    <xf numFmtId="1" fontId="134" fillId="0" borderId="21" xfId="0" applyNumberFormat="1" applyFont="1" applyFill="1" applyBorder="1" applyAlignment="1">
      <alignment horizontal="center" vertical="center" shrinkToFit="1"/>
    </xf>
    <xf numFmtId="1" fontId="134" fillId="0" borderId="31" xfId="0" applyNumberFormat="1" applyFont="1" applyFill="1" applyBorder="1" applyAlignment="1">
      <alignment horizontal="center" vertical="center" shrinkToFit="1"/>
    </xf>
    <xf numFmtId="1" fontId="11" fillId="0" borderId="1" xfId="28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11" fillId="0" borderId="27" xfId="0" applyNumberFormat="1" applyFont="1" applyFill="1" applyBorder="1" applyAlignment="1">
      <alignment horizontal="center" vertical="center"/>
    </xf>
    <xf numFmtId="1" fontId="111" fillId="0" borderId="21" xfId="0" applyNumberFormat="1" applyFont="1" applyFill="1" applyBorder="1" applyAlignment="1">
      <alignment horizontal="center" vertical="center"/>
    </xf>
    <xf numFmtId="1" fontId="111" fillId="0" borderId="31" xfId="0" applyNumberFormat="1" applyFont="1" applyFill="1" applyBorder="1" applyAlignment="1">
      <alignment horizontal="center" vertical="center"/>
    </xf>
    <xf numFmtId="1" fontId="111" fillId="0" borderId="1" xfId="0" applyNumberFormat="1" applyFont="1" applyFill="1" applyBorder="1" applyAlignment="1">
      <alignment horizontal="center" vertical="center" shrinkToFit="1"/>
    </xf>
    <xf numFmtId="191" fontId="111" fillId="0" borderId="1" xfId="3" applyNumberFormat="1" applyFont="1" applyFill="1" applyBorder="1" applyAlignment="1">
      <alignment horizontal="center" vertical="center" shrinkToFit="1"/>
    </xf>
    <xf numFmtId="191" fontId="134" fillId="0" borderId="1" xfId="3" applyNumberFormat="1" applyFont="1" applyFill="1" applyBorder="1" applyAlignment="1">
      <alignment horizontal="center" vertical="center" shrinkToFit="1"/>
    </xf>
    <xf numFmtId="1" fontId="264" fillId="0" borderId="0" xfId="0" applyNumberFormat="1" applyFont="1" applyFill="1" applyBorder="1" applyAlignment="1">
      <alignment horizontal="left" indent="15" shrinkToFit="1"/>
    </xf>
    <xf numFmtId="1" fontId="25" fillId="0" borderId="0" xfId="0" applyNumberFormat="1" applyFont="1" applyFill="1" applyAlignment="1">
      <alignment horizontal="center" vertical="center"/>
    </xf>
    <xf numFmtId="1" fontId="155" fillId="0" borderId="0" xfId="0" applyNumberFormat="1" applyFont="1" applyFill="1" applyAlignment="1">
      <alignment horizontal="center" shrinkToFit="1"/>
    </xf>
    <xf numFmtId="0" fontId="210" fillId="7" borderId="15" xfId="28" applyFont="1" applyFill="1" applyBorder="1" applyAlignment="1">
      <alignment horizontal="center" vertical="center" wrapText="1"/>
    </xf>
    <xf numFmtId="0" fontId="210" fillId="7" borderId="22" xfId="28" applyFont="1" applyFill="1" applyBorder="1" applyAlignment="1">
      <alignment horizontal="center" vertical="center" wrapText="1"/>
    </xf>
    <xf numFmtId="0" fontId="210" fillId="7" borderId="20" xfId="28" applyFont="1" applyFill="1" applyBorder="1" applyAlignment="1">
      <alignment horizontal="center" vertical="center" wrapText="1"/>
    </xf>
    <xf numFmtId="193" fontId="210" fillId="7" borderId="15" xfId="1" applyNumberFormat="1" applyFont="1" applyFill="1" applyBorder="1" applyAlignment="1">
      <alignment horizontal="center" vertical="center" wrapText="1"/>
    </xf>
    <xf numFmtId="193" fontId="210" fillId="7" borderId="22" xfId="1" applyNumberFormat="1" applyFont="1" applyFill="1" applyBorder="1" applyAlignment="1">
      <alignment horizontal="center" vertical="center" wrapText="1"/>
    </xf>
    <xf numFmtId="193" fontId="210" fillId="7" borderId="20" xfId="1" applyNumberFormat="1" applyFont="1" applyFill="1" applyBorder="1" applyAlignment="1">
      <alignment horizontal="center" vertical="center" wrapText="1"/>
    </xf>
    <xf numFmtId="0" fontId="210" fillId="7" borderId="15" xfId="275" applyFont="1" applyFill="1" applyBorder="1" applyAlignment="1">
      <alignment horizontal="center" vertical="center" shrinkToFit="1"/>
    </xf>
    <xf numFmtId="0" fontId="210" fillId="7" borderId="20" xfId="275" applyFont="1" applyFill="1" applyBorder="1" applyAlignment="1">
      <alignment horizontal="center" vertical="center" shrinkToFit="1"/>
    </xf>
    <xf numFmtId="0" fontId="134" fillId="7" borderId="27" xfId="275" applyFont="1" applyFill="1" applyBorder="1" applyAlignment="1">
      <alignment horizontal="center" vertical="center" shrinkToFit="1"/>
    </xf>
    <xf numFmtId="0" fontId="134" fillId="7" borderId="21" xfId="275" applyFont="1" applyFill="1" applyBorder="1" applyAlignment="1">
      <alignment horizontal="center" vertical="center" shrinkToFit="1"/>
    </xf>
    <xf numFmtId="0" fontId="134" fillId="7" borderId="31" xfId="275" applyFont="1" applyFill="1" applyBorder="1" applyAlignment="1">
      <alignment horizontal="center" vertical="center" shrinkToFit="1"/>
    </xf>
    <xf numFmtId="0" fontId="114" fillId="7" borderId="15" xfId="275" applyFont="1" applyFill="1" applyBorder="1" applyAlignment="1">
      <alignment horizontal="center" vertical="center" shrinkToFit="1"/>
    </xf>
    <xf numFmtId="0" fontId="114" fillId="7" borderId="20" xfId="275" applyFont="1" applyFill="1" applyBorder="1" applyAlignment="1">
      <alignment horizontal="center" vertical="center" shrinkToFit="1"/>
    </xf>
    <xf numFmtId="192" fontId="114" fillId="7" borderId="15" xfId="1" applyNumberFormat="1" applyFont="1" applyFill="1" applyBorder="1" applyAlignment="1">
      <alignment horizontal="center" vertical="center" wrapText="1"/>
    </xf>
    <xf numFmtId="192" fontId="114" fillId="7" borderId="22" xfId="1" applyNumberFormat="1" applyFont="1" applyFill="1" applyBorder="1" applyAlignment="1">
      <alignment horizontal="center" vertical="center" wrapText="1"/>
    </xf>
    <xf numFmtId="192" fontId="114" fillId="7" borderId="20" xfId="1" applyNumberFormat="1" applyFont="1" applyFill="1" applyBorder="1" applyAlignment="1">
      <alignment horizontal="center" vertical="center" wrapText="1"/>
    </xf>
    <xf numFmtId="192" fontId="210" fillId="7" borderId="15" xfId="1" applyNumberFormat="1" applyFont="1" applyFill="1" applyBorder="1" applyAlignment="1">
      <alignment horizontal="center" vertical="center" wrapText="1"/>
    </xf>
    <xf numFmtId="192" fontId="210" fillId="7" borderId="22" xfId="1" applyNumberFormat="1" applyFont="1" applyFill="1" applyBorder="1" applyAlignment="1">
      <alignment horizontal="center" vertical="center" wrapText="1"/>
    </xf>
    <xf numFmtId="192" fontId="210" fillId="7" borderId="20" xfId="1" applyNumberFormat="1" applyFont="1" applyFill="1" applyBorder="1" applyAlignment="1">
      <alignment horizontal="center" vertical="center" wrapText="1"/>
    </xf>
    <xf numFmtId="0" fontId="210" fillId="7" borderId="27" xfId="275" applyFont="1" applyFill="1" applyBorder="1" applyAlignment="1">
      <alignment horizontal="center" vertical="center"/>
    </xf>
    <xf numFmtId="0" fontId="210" fillId="7" borderId="31" xfId="275" applyFont="1" applyFill="1" applyBorder="1" applyAlignment="1">
      <alignment horizontal="center" vertical="center"/>
    </xf>
    <xf numFmtId="43" fontId="210" fillId="7" borderId="15" xfId="13" applyFont="1" applyFill="1" applyBorder="1" applyAlignment="1">
      <alignment horizontal="center" vertical="center" wrapText="1"/>
    </xf>
    <xf numFmtId="43" fontId="210" fillId="7" borderId="22" xfId="13" applyFont="1" applyFill="1" applyBorder="1" applyAlignment="1">
      <alignment horizontal="center" vertical="center" wrapText="1"/>
    </xf>
    <xf numFmtId="43" fontId="210" fillId="7" borderId="20" xfId="13" applyFont="1" applyFill="1" applyBorder="1" applyAlignment="1">
      <alignment horizontal="center" vertical="center" wrapText="1"/>
    </xf>
    <xf numFmtId="0" fontId="114" fillId="7" borderId="15" xfId="28" applyFont="1" applyFill="1" applyBorder="1" applyAlignment="1">
      <alignment horizontal="center" vertical="center" wrapText="1"/>
    </xf>
    <xf numFmtId="0" fontId="114" fillId="7" borderId="22" xfId="28" applyFont="1" applyFill="1" applyBorder="1" applyAlignment="1">
      <alignment horizontal="center" vertical="center" wrapText="1"/>
    </xf>
    <xf numFmtId="0" fontId="114" fillId="7" borderId="20" xfId="28" applyFont="1" applyFill="1" applyBorder="1" applyAlignment="1">
      <alignment horizontal="center" vertical="center" wrapText="1"/>
    </xf>
    <xf numFmtId="0" fontId="210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0" fontId="125" fillId="7" borderId="0" xfId="0" applyFont="1" applyFill="1" applyAlignment="1">
      <alignment horizontal="center" vertical="center"/>
    </xf>
    <xf numFmtId="1" fontId="157" fillId="7" borderId="24" xfId="13" applyNumberFormat="1" applyFont="1" applyFill="1" applyBorder="1" applyAlignment="1">
      <alignment horizontal="center" vertical="center" wrapText="1"/>
    </xf>
    <xf numFmtId="0" fontId="210" fillId="7" borderId="1" xfId="275" applyFont="1" applyFill="1" applyBorder="1" applyAlignment="1">
      <alignment horizontal="center" vertical="center"/>
    </xf>
    <xf numFmtId="0" fontId="155" fillId="7" borderId="0" xfId="0" applyFont="1" applyFill="1" applyAlignment="1">
      <alignment horizontal="center" vertical="center"/>
    </xf>
    <xf numFmtId="0" fontId="210" fillId="7" borderId="15" xfId="0" applyFont="1" applyFill="1" applyBorder="1" applyAlignment="1">
      <alignment horizontal="center" vertical="center" wrapText="1"/>
    </xf>
    <xf numFmtId="0" fontId="210" fillId="7" borderId="20" xfId="0" applyFont="1" applyFill="1" applyBorder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0" fontId="157" fillId="7" borderId="0" xfId="275" applyFont="1" applyFill="1" applyAlignment="1">
      <alignment horizontal="center" vertical="center"/>
    </xf>
    <xf numFmtId="0" fontId="134" fillId="7" borderId="0" xfId="275" applyFont="1" applyFill="1" applyAlignment="1">
      <alignment horizontal="center" vertical="center"/>
    </xf>
    <xf numFmtId="0" fontId="245" fillId="7" borderId="0" xfId="275" applyFont="1" applyFill="1" applyAlignment="1">
      <alignment horizontal="center" vertical="center"/>
    </xf>
    <xf numFmtId="0" fontId="114" fillId="7" borderId="14" xfId="275" applyFont="1" applyFill="1" applyBorder="1" applyAlignment="1">
      <alignment horizontal="center" vertical="center"/>
    </xf>
    <xf numFmtId="0" fontId="210" fillId="7" borderId="0" xfId="275" applyFont="1" applyFill="1" applyAlignment="1">
      <alignment horizontal="center" vertical="center"/>
    </xf>
    <xf numFmtId="202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 indent="8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218" fontId="185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8" fontId="20" fillId="0" borderId="0" xfId="8" applyNumberFormat="1" applyFont="1" applyFill="1" applyAlignment="1">
      <alignment horizontal="center"/>
    </xf>
    <xf numFmtId="188" fontId="20" fillId="0" borderId="0" xfId="8" quotePrefix="1" applyNumberFormat="1" applyFont="1" applyFill="1" applyAlignment="1">
      <alignment horizontal="center" vertical="center"/>
    </xf>
    <xf numFmtId="0" fontId="77" fillId="0" borderId="14" xfId="0" applyFont="1" applyBorder="1" applyAlignment="1">
      <alignment horizontal="center"/>
    </xf>
    <xf numFmtId="0" fontId="20" fillId="0" borderId="53" xfId="0" applyFont="1" applyFill="1" applyBorder="1" applyAlignment="1">
      <alignment horizontal="center" vertical="center"/>
    </xf>
    <xf numFmtId="0" fontId="20" fillId="0" borderId="43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31" fillId="0" borderId="1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4" fillId="0" borderId="27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31" xfId="0" applyFont="1" applyFill="1" applyBorder="1" applyAlignment="1">
      <alignment horizontal="left" vertical="center" wrapText="1"/>
    </xf>
    <xf numFmtId="0" fontId="24" fillId="0" borderId="27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24" fillId="0" borderId="31" xfId="0" applyFont="1" applyFill="1" applyBorder="1" applyAlignment="1">
      <alignment horizontal="left" vertical="center"/>
    </xf>
    <xf numFmtId="43" fontId="178" fillId="7" borderId="14" xfId="1" applyFont="1" applyFill="1" applyBorder="1" applyAlignment="1">
      <alignment horizontal="center"/>
    </xf>
    <xf numFmtId="188" fontId="77" fillId="0" borderId="1" xfId="28" applyNumberFormat="1" applyFont="1" applyFill="1" applyBorder="1" applyAlignment="1">
      <alignment horizontal="center" vertical="center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27" xfId="1" applyNumberFormat="1" applyFont="1" applyFill="1" applyBorder="1" applyAlignment="1">
      <alignment horizontal="center" vertical="center"/>
    </xf>
    <xf numFmtId="192" fontId="136" fillId="7" borderId="21" xfId="1" applyNumberFormat="1" applyFont="1" applyFill="1" applyBorder="1" applyAlignment="1">
      <alignment horizontal="center" vertical="center"/>
    </xf>
    <xf numFmtId="192" fontId="136" fillId="7" borderId="31" xfId="1" applyNumberFormat="1" applyFont="1" applyFill="1" applyBorder="1" applyAlignment="1">
      <alignment horizontal="center" vertic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36" fillId="7" borderId="20" xfId="1" applyNumberFormat="1" applyFont="1" applyFill="1" applyBorder="1" applyAlignment="1">
      <alignment horizontal="center" vertical="center" wrapText="1"/>
    </xf>
    <xf numFmtId="0" fontId="136" fillId="7" borderId="27" xfId="1" applyNumberFormat="1" applyFont="1" applyFill="1" applyBorder="1" applyAlignment="1">
      <alignment horizontal="center" vertical="center" wrapText="1"/>
    </xf>
    <xf numFmtId="0" fontId="136" fillId="7" borderId="2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wrapText="1"/>
    </xf>
    <xf numFmtId="0" fontId="136" fillId="7" borderId="22" xfId="0" applyFont="1" applyFill="1" applyBorder="1" applyAlignment="1">
      <alignment horizontal="center" vertical="center" wrapText="1"/>
    </xf>
    <xf numFmtId="0" fontId="136" fillId="7" borderId="20" xfId="0" applyFont="1" applyFill="1" applyBorder="1" applyAlignment="1">
      <alignment horizontal="center" vertical="center" wrapText="1"/>
    </xf>
    <xf numFmtId="192" fontId="223" fillId="7" borderId="1" xfId="1" applyNumberFormat="1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shrinkToFit="1"/>
    </xf>
    <xf numFmtId="0" fontId="136" fillId="7" borderId="22" xfId="0" applyFont="1" applyFill="1" applyBorder="1" applyAlignment="1">
      <alignment horizontal="center" vertical="center" shrinkToFit="1"/>
    </xf>
    <xf numFmtId="0" fontId="136" fillId="7" borderId="20" xfId="0" applyFont="1" applyFill="1" applyBorder="1" applyAlignment="1">
      <alignment horizontal="center" vertical="center" shrinkToFi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272" fillId="7" borderId="0" xfId="0" applyFont="1" applyFill="1" applyAlignment="1">
      <alignment horizontal="center" vertical="center"/>
    </xf>
    <xf numFmtId="0" fontId="136" fillId="7" borderId="53" xfId="0" applyFont="1" applyFill="1" applyBorder="1" applyAlignment="1">
      <alignment horizontal="center" vertical="center" wrapText="1"/>
    </xf>
    <xf numFmtId="0" fontId="136" fillId="7" borderId="43" xfId="0" applyFont="1" applyFill="1" applyBorder="1" applyAlignment="1">
      <alignment horizontal="center" vertical="center" wrapText="1"/>
    </xf>
    <xf numFmtId="0" fontId="136" fillId="7" borderId="29" xfId="0" applyFont="1" applyFill="1" applyBorder="1" applyAlignment="1">
      <alignment horizontal="center" vertical="center" wrapText="1"/>
    </xf>
    <xf numFmtId="0" fontId="136" fillId="7" borderId="55" xfId="0" applyFont="1" applyFill="1" applyBorder="1" applyAlignment="1">
      <alignment horizontal="center" vertical="center" wrapText="1"/>
    </xf>
    <xf numFmtId="0" fontId="136" fillId="7" borderId="28" xfId="0" applyFont="1" applyFill="1" applyBorder="1" applyAlignment="1">
      <alignment horizontal="center" vertical="center" wrapText="1"/>
    </xf>
    <xf numFmtId="0" fontId="136" fillId="7" borderId="54" xfId="0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/>
    </xf>
    <xf numFmtId="1" fontId="136" fillId="7" borderId="27" xfId="0" quotePrefix="1" applyNumberFormat="1" applyFont="1" applyFill="1" applyBorder="1" applyAlignment="1">
      <alignment horizontal="center" vertical="center" wrapText="1"/>
    </xf>
    <xf numFmtId="1" fontId="136" fillId="7" borderId="31" xfId="0" quotePrefix="1" applyNumberFormat="1" applyFont="1" applyFill="1" applyBorder="1" applyAlignment="1">
      <alignment horizontal="center" vertical="center" wrapText="1"/>
    </xf>
    <xf numFmtId="43" fontId="177" fillId="7" borderId="0" xfId="1" applyNumberFormat="1" applyFont="1" applyFill="1" applyAlignment="1">
      <alignment horizontal="center"/>
    </xf>
    <xf numFmtId="0" fontId="136" fillId="7" borderId="1" xfId="0" applyFont="1" applyFill="1" applyBorder="1" applyAlignment="1">
      <alignment horizontal="center" vertical="center" shrinkToFit="1"/>
    </xf>
    <xf numFmtId="1" fontId="136" fillId="7" borderId="1" xfId="0" applyNumberFormat="1" applyFont="1" applyFill="1" applyBorder="1" applyAlignment="1">
      <alignment horizont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212" fillId="7" borderId="1" xfId="0" applyFont="1" applyFill="1" applyBorder="1" applyAlignment="1">
      <alignment horizontal="center" vertical="center" shrinkToFit="1"/>
    </xf>
    <xf numFmtId="0" fontId="218" fillId="7" borderId="0" xfId="0" applyFont="1" applyFill="1" applyAlignment="1">
      <alignment horizontal="center" vertical="center"/>
    </xf>
    <xf numFmtId="0" fontId="283" fillId="7" borderId="0" xfId="0" applyFont="1" applyFill="1" applyAlignment="1">
      <alignment horizontal="center"/>
    </xf>
    <xf numFmtId="0" fontId="284" fillId="7" borderId="0" xfId="0" applyFont="1" applyFill="1" applyAlignment="1">
      <alignment horizontal="center"/>
    </xf>
    <xf numFmtId="0" fontId="283" fillId="7" borderId="0" xfId="0" applyFont="1" applyFill="1" applyAlignment="1">
      <alignment horizontal="center" vertical="center"/>
    </xf>
    <xf numFmtId="0" fontId="219" fillId="7" borderId="0" xfId="0" applyFont="1" applyFill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5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9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 wrapText="1"/>
    </xf>
    <xf numFmtId="188" fontId="20" fillId="0" borderId="1" xfId="28" applyNumberFormat="1" applyFont="1" applyFill="1" applyBorder="1" applyAlignment="1">
      <alignment horizontal="center" vertical="center"/>
    </xf>
    <xf numFmtId="0" fontId="124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/>
    </xf>
    <xf numFmtId="192" fontId="136" fillId="7" borderId="1" xfId="1" applyNumberFormat="1" applyFont="1" applyFill="1" applyBorder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24" fillId="7" borderId="27" xfId="0" applyFont="1" applyFill="1" applyBorder="1" applyAlignment="1">
      <alignment horizontal="center" vertical="center" shrinkToFit="1"/>
    </xf>
    <xf numFmtId="0" fontId="124" fillId="7" borderId="21" xfId="0" applyFont="1" applyFill="1" applyBorder="1" applyAlignment="1">
      <alignment horizontal="center" vertical="center" shrinkToFit="1"/>
    </xf>
    <xf numFmtId="0" fontId="124" fillId="7" borderId="31" xfId="0" applyFont="1" applyFill="1" applyBorder="1" applyAlignment="1">
      <alignment horizontal="center" vertical="center" shrinkToFit="1"/>
    </xf>
    <xf numFmtId="0" fontId="212" fillId="7" borderId="27" xfId="0" applyFont="1" applyFill="1" applyBorder="1" applyAlignment="1">
      <alignment horizontal="center" vertical="center" shrinkToFit="1"/>
    </xf>
    <xf numFmtId="0" fontId="212" fillId="7" borderId="21" xfId="0" applyFont="1" applyFill="1" applyBorder="1" applyAlignment="1">
      <alignment horizontal="center" vertical="center" shrinkToFit="1"/>
    </xf>
    <xf numFmtId="0" fontId="212" fillId="7" borderId="31" xfId="0" applyFont="1" applyFill="1" applyBorder="1" applyAlignment="1">
      <alignment horizontal="center" vertical="center" shrinkToFit="1"/>
    </xf>
    <xf numFmtId="192" fontId="285" fillId="7" borderId="24" xfId="0" applyNumberFormat="1" applyFont="1" applyFill="1" applyBorder="1" applyAlignment="1">
      <alignment horizontal="center" vertical="center"/>
    </xf>
    <xf numFmtId="0" fontId="124" fillId="7" borderId="27" xfId="1" applyNumberFormat="1" applyFont="1" applyFill="1" applyBorder="1" applyAlignment="1">
      <alignment horizontal="center" vertical="center" wrapText="1"/>
    </xf>
    <xf numFmtId="0" fontId="124" fillId="7" borderId="21" xfId="1" applyNumberFormat="1" applyFont="1" applyFill="1" applyBorder="1" applyAlignment="1">
      <alignment horizontal="center" vertical="center" wrapText="1"/>
    </xf>
    <xf numFmtId="0" fontId="124" fillId="7" borderId="31" xfId="1" applyNumberFormat="1" applyFont="1" applyFill="1" applyBorder="1" applyAlignment="1">
      <alignment horizontal="center" vertical="center" wrapText="1"/>
    </xf>
    <xf numFmtId="192" fontId="124" fillId="7" borderId="27" xfId="1" applyNumberFormat="1" applyFont="1" applyFill="1" applyBorder="1" applyAlignment="1">
      <alignment horizontal="center" vertical="center"/>
    </xf>
    <xf numFmtId="192" fontId="124" fillId="7" borderId="21" xfId="1" applyNumberFormat="1" applyFont="1" applyFill="1" applyBorder="1" applyAlignment="1">
      <alignment horizontal="center" vertical="center"/>
    </xf>
    <xf numFmtId="192" fontId="124" fillId="7" borderId="31" xfId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25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56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77" fillId="0" borderId="27" xfId="0" applyFont="1" applyFill="1" applyBorder="1" applyAlignment="1">
      <alignment horizontal="center" vertical="center" shrinkToFit="1"/>
    </xf>
    <xf numFmtId="0" fontId="77" fillId="0" borderId="21" xfId="0" applyFont="1" applyFill="1" applyBorder="1" applyAlignment="1">
      <alignment horizontal="center" vertical="center" shrinkToFit="1"/>
    </xf>
    <xf numFmtId="0" fontId="77" fillId="0" borderId="31" xfId="0" applyFont="1" applyFill="1" applyBorder="1" applyAlignment="1">
      <alignment horizontal="center" vertical="center" shrinkToFit="1"/>
    </xf>
    <xf numFmtId="0" fontId="147" fillId="0" borderId="24" xfId="0" applyFont="1" applyFill="1" applyBorder="1" applyAlignment="1">
      <alignment horizontal="center" vertical="center" shrinkToFit="1"/>
    </xf>
    <xf numFmtId="0" fontId="184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/>
    </xf>
    <xf numFmtId="0" fontId="185" fillId="0" borderId="14" xfId="0" applyFont="1" applyFill="1" applyBorder="1" applyAlignment="1">
      <alignment horizontal="center"/>
    </xf>
    <xf numFmtId="203" fontId="77" fillId="0" borderId="0" xfId="8" applyNumberFormat="1" applyFont="1" applyFill="1" applyAlignment="1">
      <alignment horizontal="center"/>
    </xf>
    <xf numFmtId="0" fontId="77" fillId="0" borderId="0" xfId="0" quotePrefix="1" applyFont="1" applyFill="1" applyAlignment="1">
      <alignment horizontal="center"/>
    </xf>
    <xf numFmtId="0" fontId="101" fillId="0" borderId="0" xfId="0" applyFont="1" applyFill="1" applyAlignment="1">
      <alignment horizontal="left"/>
    </xf>
    <xf numFmtId="0" fontId="77" fillId="0" borderId="0" xfId="0" applyFont="1" applyFill="1" applyAlignment="1">
      <alignment horizontal="center"/>
    </xf>
    <xf numFmtId="0" fontId="77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8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center" vertical="top"/>
    </xf>
    <xf numFmtId="0" fontId="20" fillId="0" borderId="0" xfId="0" applyFont="1" applyAlignment="1">
      <alignment horizontal="left" vertical="center" indent="2"/>
    </xf>
    <xf numFmtId="0" fontId="23" fillId="0" borderId="0" xfId="0" applyFont="1" applyAlignment="1">
      <alignment horizontal="left"/>
    </xf>
    <xf numFmtId="0" fontId="212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203" fontId="20" fillId="0" borderId="0" xfId="8" applyNumberFormat="1" applyFont="1" applyFill="1" applyAlignment="1">
      <alignment horizontal="center"/>
    </xf>
    <xf numFmtId="203" fontId="20" fillId="0" borderId="0" xfId="8" quotePrefix="1" applyNumberFormat="1" applyFont="1" applyFill="1" applyAlignment="1">
      <alignment horizontal="center"/>
    </xf>
    <xf numFmtId="0" fontId="101" fillId="0" borderId="0" xfId="0" applyFont="1" applyFill="1" applyAlignment="1">
      <alignment horizontal="center"/>
    </xf>
    <xf numFmtId="0" fontId="20" fillId="0" borderId="14" xfId="0" applyFont="1" applyFill="1" applyBorder="1" applyAlignment="1">
      <alignment horizontal="center" vertical="center"/>
    </xf>
    <xf numFmtId="188" fontId="20" fillId="0" borderId="1" xfId="8" applyNumberFormat="1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/>
    </xf>
    <xf numFmtId="0" fontId="269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270" fillId="0" borderId="24" xfId="0" applyFont="1" applyBorder="1" applyAlignment="1">
      <alignment horizontal="left" indent="9"/>
    </xf>
    <xf numFmtId="0" fontId="103" fillId="0" borderId="0" xfId="0" applyFont="1" applyAlignment="1">
      <alignment horizontal="left" indent="5"/>
    </xf>
    <xf numFmtId="0" fontId="124" fillId="0" borderId="0" xfId="255" applyFont="1" applyAlignment="1">
      <alignment horizontal="left"/>
    </xf>
    <xf numFmtId="0" fontId="264" fillId="0" borderId="0" xfId="311" applyFont="1" applyFill="1" applyAlignment="1">
      <alignment horizont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shrinkToFit="1"/>
    </xf>
    <xf numFmtId="1" fontId="11" fillId="0" borderId="15" xfId="28" applyNumberFormat="1" applyFont="1" applyFill="1" applyBorder="1" applyAlignment="1">
      <alignment horizontal="center" vertical="center" wrapText="1"/>
    </xf>
    <xf numFmtId="1" fontId="11" fillId="0" borderId="20" xfId="28" applyNumberFormat="1" applyFont="1" applyFill="1" applyBorder="1" applyAlignment="1">
      <alignment horizontal="center" vertical="center" wrapText="1"/>
    </xf>
    <xf numFmtId="1" fontId="11" fillId="0" borderId="22" xfId="28" applyNumberFormat="1" applyFont="1" applyFill="1" applyBorder="1" applyAlignment="1">
      <alignment horizontal="center" vertical="center" wrapText="1"/>
    </xf>
    <xf numFmtId="1" fontId="11" fillId="0" borderId="15" xfId="0" applyNumberFormat="1" applyFont="1" applyFill="1" applyBorder="1" applyAlignment="1">
      <alignment horizontal="center" vertical="center" wrapText="1"/>
    </xf>
    <xf numFmtId="1" fontId="11" fillId="0" borderId="20" xfId="0" applyNumberFormat="1" applyFont="1" applyFill="1" applyBorder="1" applyAlignment="1">
      <alignment horizontal="center" vertical="center" wrapText="1"/>
    </xf>
    <xf numFmtId="1" fontId="11" fillId="0" borderId="15" xfId="3" applyNumberFormat="1" applyFont="1" applyFill="1" applyBorder="1" applyAlignment="1">
      <alignment horizontal="center" vertical="center"/>
    </xf>
    <xf numFmtId="1" fontId="11" fillId="0" borderId="20" xfId="3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 wrapText="1"/>
    </xf>
    <xf numFmtId="1" fontId="11" fillId="0" borderId="20" xfId="3" applyNumberFormat="1" applyFont="1" applyFill="1" applyBorder="1" applyAlignment="1">
      <alignment horizontal="center" vertical="center" wrapText="1"/>
    </xf>
    <xf numFmtId="0" fontId="16" fillId="0" borderId="0" xfId="254" applyFont="1" applyAlignment="1">
      <alignment horizontal="center"/>
    </xf>
    <xf numFmtId="0" fontId="16" fillId="0" borderId="0" xfId="254" applyFont="1" applyAlignment="1">
      <alignment horizontal="left"/>
    </xf>
    <xf numFmtId="0" fontId="11" fillId="0" borderId="0" xfId="254" applyFont="1" applyAlignment="1">
      <alignment horizontal="center"/>
    </xf>
    <xf numFmtId="0" fontId="12" fillId="0" borderId="27" xfId="254" applyFont="1" applyBorder="1" applyAlignment="1">
      <alignment horizontal="center" vertical="center" shrinkToFit="1"/>
    </xf>
    <xf numFmtId="0" fontId="12" fillId="0" borderId="21" xfId="254" applyFont="1" applyBorder="1" applyAlignment="1">
      <alignment horizontal="center" vertical="center" shrinkToFit="1"/>
    </xf>
    <xf numFmtId="192" fontId="147" fillId="0" borderId="24" xfId="11" applyNumberFormat="1" applyFont="1" applyFill="1" applyBorder="1" applyAlignment="1">
      <alignment horizontal="center" vertical="center" shrinkToFit="1"/>
    </xf>
    <xf numFmtId="0" fontId="39" fillId="0" borderId="0" xfId="254" applyFont="1" applyAlignment="1">
      <alignment horizontal="center"/>
    </xf>
    <xf numFmtId="3" fontId="39" fillId="0" borderId="0" xfId="254" applyNumberFormat="1" applyFont="1" applyAlignment="1">
      <alignment horizontal="center"/>
    </xf>
    <xf numFmtId="0" fontId="20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0" fontId="25" fillId="0" borderId="0" xfId="254" applyFont="1" applyAlignment="1">
      <alignment horizontal="center" wrapText="1"/>
    </xf>
    <xf numFmtId="0" fontId="25" fillId="0" borderId="0" xfId="254" applyFont="1" applyAlignment="1">
      <alignment horizontal="center"/>
    </xf>
    <xf numFmtId="0" fontId="11" fillId="0" borderId="0" xfId="254" applyFont="1" applyAlignment="1">
      <alignment horizontal="center" vertical="center"/>
    </xf>
    <xf numFmtId="3" fontId="11" fillId="0" borderId="15" xfId="11" applyNumberFormat="1" applyFont="1" applyFill="1" applyBorder="1" applyAlignment="1">
      <alignment horizontal="center" vertical="center" wrapText="1"/>
    </xf>
    <xf numFmtId="3" fontId="11" fillId="0" borderId="22" xfId="11" applyNumberFormat="1" applyFont="1" applyFill="1" applyBorder="1" applyAlignment="1">
      <alignment horizontal="center" vertical="center" wrapText="1"/>
    </xf>
    <xf numFmtId="3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11" applyNumberFormat="1" applyFont="1" applyFill="1" applyBorder="1" applyAlignment="1">
      <alignment horizontal="center" vertical="center" wrapText="1"/>
    </xf>
    <xf numFmtId="192" fontId="11" fillId="0" borderId="22" xfId="11" applyNumberFormat="1" applyFont="1" applyFill="1" applyBorder="1" applyAlignment="1">
      <alignment horizontal="center" vertical="center" wrapText="1"/>
    </xf>
    <xf numFmtId="192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254" applyNumberFormat="1" applyFont="1" applyBorder="1" applyAlignment="1">
      <alignment horizontal="center" vertical="center" wrapText="1"/>
    </xf>
    <xf numFmtId="192" fontId="11" fillId="0" borderId="22" xfId="254" applyNumberFormat="1" applyFont="1" applyBorder="1" applyAlignment="1">
      <alignment horizontal="center" vertical="center" wrapText="1"/>
    </xf>
    <xf numFmtId="192" fontId="11" fillId="0" borderId="20" xfId="254" applyNumberFormat="1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shrinkToFit="1"/>
    </xf>
    <xf numFmtId="0" fontId="11" fillId="0" borderId="15" xfId="254" applyFont="1" applyBorder="1" applyAlignment="1">
      <alignment horizontal="center" vertical="center" wrapText="1"/>
    </xf>
    <xf numFmtId="0" fontId="11" fillId="0" borderId="22" xfId="254" applyFont="1" applyBorder="1" applyAlignment="1">
      <alignment horizontal="center" vertical="center" wrapText="1"/>
    </xf>
    <xf numFmtId="0" fontId="13" fillId="0" borderId="20" xfId="254" applyFont="1" applyBorder="1" applyAlignment="1">
      <alignment horizontal="center" vertical="center" wrapText="1"/>
    </xf>
    <xf numFmtId="192" fontId="13" fillId="0" borderId="0" xfId="0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189" fontId="13" fillId="0" borderId="0" xfId="0" applyNumberFormat="1" applyFont="1" applyAlignment="1">
      <alignment horizontal="center" vertical="center"/>
    </xf>
    <xf numFmtId="188" fontId="162" fillId="0" borderId="0" xfId="255" applyNumberFormat="1" applyFont="1" applyAlignment="1">
      <alignment horizontal="center"/>
    </xf>
    <xf numFmtId="0" fontId="162" fillId="0" borderId="0" xfId="255" applyFont="1" applyAlignment="1">
      <alignment horizontal="center"/>
    </xf>
    <xf numFmtId="19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91" fontId="13" fillId="0" borderId="0" xfId="0" applyNumberFormat="1" applyFont="1" applyAlignment="1">
      <alignment horizontal="center"/>
    </xf>
    <xf numFmtId="0" fontId="11" fillId="0" borderId="27" xfId="0" quotePrefix="1" applyFont="1" applyBorder="1" applyAlignment="1">
      <alignment horizontal="left" vertical="center" shrinkToFit="1"/>
    </xf>
    <xf numFmtId="0" fontId="11" fillId="0" borderId="21" xfId="0" quotePrefix="1" applyFont="1" applyBorder="1" applyAlignment="1">
      <alignment horizontal="left" vertical="center" shrinkToFit="1"/>
    </xf>
    <xf numFmtId="0" fontId="11" fillId="0" borderId="31" xfId="0" quotePrefix="1" applyFont="1" applyBorder="1" applyAlignment="1">
      <alignment horizontal="left" vertical="center" shrinkToFit="1"/>
    </xf>
    <xf numFmtId="0" fontId="11" fillId="0" borderId="21" xfId="254" applyFont="1" applyBorder="1" applyAlignment="1">
      <alignment horizontal="left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31" fillId="0" borderId="24" xfId="0" applyFont="1" applyBorder="1" applyAlignment="1">
      <alignment horizontal="center" vertical="center"/>
    </xf>
    <xf numFmtId="222" fontId="13" fillId="0" borderId="0" xfId="0" applyNumberFormat="1" applyFont="1" applyAlignment="1">
      <alignment horizontal="center"/>
    </xf>
    <xf numFmtId="0" fontId="11" fillId="0" borderId="27" xfId="0" applyFont="1" applyBorder="1" applyAlignment="1">
      <alignment horizontal="left" vertical="center" shrinkToFit="1"/>
    </xf>
    <xf numFmtId="0" fontId="11" fillId="0" borderId="21" xfId="0" applyFont="1" applyBorder="1" applyAlignment="1">
      <alignment horizontal="left" vertical="center" shrinkToFit="1"/>
    </xf>
    <xf numFmtId="0" fontId="11" fillId="0" borderId="31" xfId="0" applyFont="1" applyBorder="1" applyAlignment="1">
      <alignment horizontal="left" vertical="center" shrinkToFit="1"/>
    </xf>
    <xf numFmtId="192" fontId="23" fillId="0" borderId="0" xfId="0" applyNumberFormat="1" applyFont="1" applyAlignment="1">
      <alignment horizontal="center" vertical="center"/>
    </xf>
    <xf numFmtId="192" fontId="11" fillId="0" borderId="1" xfId="11" applyNumberFormat="1" applyFont="1" applyFill="1" applyBorder="1" applyAlignment="1">
      <alignment horizontal="center" vertical="center" wrapText="1"/>
    </xf>
    <xf numFmtId="192" fontId="11" fillId="0" borderId="15" xfId="0" applyNumberFormat="1" applyFont="1" applyBorder="1" applyAlignment="1">
      <alignment horizontal="center" vertical="center" wrapText="1"/>
    </xf>
    <xf numFmtId="192" fontId="11" fillId="0" borderId="22" xfId="0" applyNumberFormat="1" applyFont="1" applyBorder="1" applyAlignment="1">
      <alignment horizontal="center" vertical="center" wrapText="1"/>
    </xf>
    <xf numFmtId="192" fontId="11" fillId="0" borderId="20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92" fontId="11" fillId="0" borderId="27" xfId="11" applyNumberFormat="1" applyFont="1" applyFill="1" applyBorder="1" applyAlignment="1">
      <alignment horizontal="center" vertical="center"/>
    </xf>
    <xf numFmtId="192" fontId="11" fillId="0" borderId="21" xfId="11" applyNumberFormat="1" applyFont="1" applyFill="1" applyBorder="1" applyAlignment="1">
      <alignment horizontal="center" vertical="center"/>
    </xf>
    <xf numFmtId="192" fontId="11" fillId="0" borderId="31" xfId="11" applyNumberFormat="1" applyFont="1" applyFill="1" applyBorder="1" applyAlignment="1">
      <alignment horizontal="center" vertical="center"/>
    </xf>
    <xf numFmtId="192" fontId="13" fillId="0" borderId="1" xfId="11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right" vertical="center" shrinkToFit="1"/>
    </xf>
    <xf numFmtId="198" fontId="8" fillId="0" borderId="0" xfId="11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54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91" fontId="20" fillId="0" borderId="27" xfId="1" applyNumberFormat="1" applyFont="1" applyBorder="1" applyAlignment="1">
      <alignment horizontal="center"/>
    </xf>
    <xf numFmtId="191" fontId="20" fillId="0" borderId="21" xfId="1" applyNumberFormat="1" applyFont="1" applyBorder="1" applyAlignment="1">
      <alignment horizontal="center"/>
    </xf>
    <xf numFmtId="191" fontId="20" fillId="0" borderId="31" xfId="1" applyNumberFormat="1" applyFont="1" applyBorder="1" applyAlignment="1">
      <alignment horizontal="center"/>
    </xf>
    <xf numFmtId="0" fontId="212" fillId="0" borderId="0" xfId="0" applyFon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37" fillId="0" borderId="27" xfId="0" applyFont="1" applyBorder="1" applyAlignment="1">
      <alignment horizontal="center"/>
    </xf>
    <xf numFmtId="0" fontId="137" fillId="0" borderId="31" xfId="0" applyFont="1" applyBorder="1" applyAlignment="1">
      <alignment horizontal="center"/>
    </xf>
    <xf numFmtId="3" fontId="137" fillId="0" borderId="27" xfId="0" applyNumberFormat="1" applyFont="1" applyBorder="1" applyAlignment="1">
      <alignment horizontal="center"/>
    </xf>
    <xf numFmtId="3" fontId="137" fillId="0" borderId="31" xfId="0" applyNumberFormat="1" applyFont="1" applyBorder="1" applyAlignment="1">
      <alignment horizontal="center"/>
    </xf>
    <xf numFmtId="0" fontId="133" fillId="0" borderId="27" xfId="0" applyFont="1" applyBorder="1" applyAlignment="1">
      <alignment horizontal="center"/>
    </xf>
    <xf numFmtId="0" fontId="133" fillId="0" borderId="21" xfId="0" applyFont="1" applyBorder="1" applyAlignment="1">
      <alignment horizontal="center"/>
    </xf>
    <xf numFmtId="0" fontId="133" fillId="0" borderId="31" xfId="0" applyFont="1" applyBorder="1" applyAlignment="1">
      <alignment horizontal="center"/>
    </xf>
    <xf numFmtId="3" fontId="133" fillId="0" borderId="27" xfId="0" applyNumberFormat="1" applyFont="1" applyBorder="1" applyAlignment="1">
      <alignment horizontal="center"/>
    </xf>
    <xf numFmtId="3" fontId="133" fillId="0" borderId="31" xfId="0" applyNumberFormat="1" applyFont="1" applyBorder="1" applyAlignment="1">
      <alignment horizontal="center"/>
    </xf>
    <xf numFmtId="0" fontId="124" fillId="0" borderId="0" xfId="28" applyFont="1" applyAlignment="1">
      <alignment horizontal="center"/>
    </xf>
    <xf numFmtId="0" fontId="133" fillId="0" borderId="0" xfId="0" applyFont="1" applyAlignment="1">
      <alignment horizontal="center"/>
    </xf>
    <xf numFmtId="0" fontId="92" fillId="0" borderId="15" xfId="0" applyFont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4" fontId="92" fillId="0" borderId="0" xfId="0" applyNumberFormat="1" applyFont="1" applyAlignment="1">
      <alignment horizontal="center"/>
    </xf>
    <xf numFmtId="0" fontId="93" fillId="0" borderId="27" xfId="0" applyFont="1" applyBorder="1" applyAlignment="1">
      <alignment horizontal="center" vertical="center" wrapText="1"/>
    </xf>
    <xf numFmtId="0" fontId="93" fillId="0" borderId="21" xfId="0" applyFont="1" applyBorder="1" applyAlignment="1">
      <alignment horizontal="center" vertical="center" wrapText="1"/>
    </xf>
    <xf numFmtId="0" fontId="93" fillId="0" borderId="31" xfId="0" applyFont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4" fontId="93" fillId="0" borderId="0" xfId="0" applyNumberFormat="1" applyFont="1" applyAlignment="1">
      <alignment horizontal="center"/>
    </xf>
    <xf numFmtId="0" fontId="95" fillId="0" borderId="28" xfId="0" applyFont="1" applyBorder="1" applyAlignment="1">
      <alignment horizontal="center" vertical="center" wrapText="1"/>
    </xf>
    <xf numFmtId="0" fontId="95" fillId="0" borderId="54" xfId="0" applyFont="1" applyBorder="1" applyAlignment="1">
      <alignment horizontal="center" vertical="center" wrapText="1"/>
    </xf>
    <xf numFmtId="0" fontId="77" fillId="3" borderId="27" xfId="0" applyFont="1" applyFill="1" applyBorder="1" applyAlignment="1">
      <alignment horizontal="center" vertical="center" shrinkToFit="1"/>
    </xf>
    <xf numFmtId="0" fontId="77" fillId="3" borderId="31" xfId="0" applyFont="1" applyFill="1" applyBorder="1" applyAlignment="1">
      <alignment horizontal="center" vertical="center" shrinkToFit="1"/>
    </xf>
    <xf numFmtId="0" fontId="77" fillId="7" borderId="27" xfId="0" applyFont="1" applyFill="1" applyBorder="1" applyAlignment="1">
      <alignment horizontal="center" vertical="center" shrinkToFit="1"/>
    </xf>
    <xf numFmtId="0" fontId="77" fillId="7" borderId="31" xfId="0" applyFont="1" applyFill="1" applyBorder="1" applyAlignment="1">
      <alignment horizontal="center" vertical="center" shrinkToFit="1"/>
    </xf>
    <xf numFmtId="2" fontId="93" fillId="0" borderId="24" xfId="0" applyNumberFormat="1" applyFont="1" applyBorder="1" applyAlignment="1">
      <alignment horizontal="center"/>
    </xf>
    <xf numFmtId="0" fontId="93" fillId="0" borderId="15" xfId="0" applyFont="1" applyBorder="1" applyAlignment="1">
      <alignment horizontal="center" vertical="center" wrapText="1"/>
    </xf>
    <xf numFmtId="0" fontId="93" fillId="0" borderId="22" xfId="0" applyFont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10" fontId="20" fillId="0" borderId="16" xfId="0" applyNumberFormat="1" applyFont="1" applyFill="1" applyBorder="1" applyAlignment="1">
      <alignment horizontal="center" vertical="center" wrapText="1"/>
    </xf>
    <xf numFmtId="10" fontId="20" fillId="0" borderId="23" xfId="0" applyNumberFormat="1" applyFont="1" applyFill="1" applyBorder="1" applyAlignment="1">
      <alignment horizontal="center" vertical="center" wrapText="1"/>
    </xf>
    <xf numFmtId="2" fontId="20" fillId="0" borderId="16" xfId="0" applyNumberFormat="1" applyFont="1" applyFill="1" applyBorder="1" applyAlignment="1">
      <alignment horizontal="center" vertical="center" wrapText="1"/>
    </xf>
    <xf numFmtId="2" fontId="20" fillId="0" borderId="23" xfId="0" applyNumberFormat="1" applyFont="1" applyFill="1" applyBorder="1" applyAlignment="1">
      <alignment horizontal="center" vertical="center" wrapText="1"/>
    </xf>
    <xf numFmtId="197" fontId="20" fillId="0" borderId="16" xfId="0" applyNumberFormat="1" applyFont="1" applyFill="1" applyBorder="1" applyAlignment="1">
      <alignment horizontal="center" vertical="center" wrapText="1"/>
    </xf>
    <xf numFmtId="197" fontId="20" fillId="0" borderId="23" xfId="0" applyNumberFormat="1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201" fillId="0" borderId="26" xfId="0" applyFont="1" applyFill="1" applyBorder="1" applyAlignment="1">
      <alignment horizontal="center" vertical="center" wrapText="1"/>
    </xf>
    <xf numFmtId="0" fontId="201" fillId="0" borderId="6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4" fillId="0" borderId="0" xfId="0" quotePrefix="1" applyFont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201" fillId="0" borderId="62" xfId="0" applyFont="1" applyFill="1" applyBorder="1" applyAlignment="1">
      <alignment horizontal="center" vertical="center" wrapText="1"/>
    </xf>
    <xf numFmtId="0" fontId="201" fillId="0" borderId="64" xfId="0" applyFont="1" applyFill="1" applyBorder="1" applyAlignment="1">
      <alignment horizontal="center" vertical="center" wrapText="1"/>
    </xf>
    <xf numFmtId="0" fontId="201" fillId="0" borderId="93" xfId="0" applyFont="1" applyFill="1" applyBorder="1" applyAlignment="1">
      <alignment horizontal="center" vertical="center" wrapText="1"/>
    </xf>
    <xf numFmtId="4" fontId="22" fillId="0" borderId="62" xfId="0" applyNumberFormat="1" applyFont="1" applyFill="1" applyBorder="1" applyAlignment="1">
      <alignment horizontal="center" vertical="center" wrapText="1"/>
    </xf>
    <xf numFmtId="4" fontId="22" fillId="0" borderId="64" xfId="0" applyNumberFormat="1" applyFont="1" applyFill="1" applyBorder="1" applyAlignment="1">
      <alignment horizontal="center" vertical="center" wrapText="1"/>
    </xf>
    <xf numFmtId="4" fontId="22" fillId="0" borderId="93" xfId="0" applyNumberFormat="1" applyFont="1" applyFill="1" applyBorder="1" applyAlignment="1">
      <alignment horizontal="center" vertical="center" wrapText="1"/>
    </xf>
    <xf numFmtId="0" fontId="20" fillId="0" borderId="27" xfId="0" quotePrefix="1" applyNumberFormat="1" applyFont="1" applyFill="1" applyBorder="1" applyAlignment="1">
      <alignment horizontal="center" vertical="center" wrapText="1"/>
    </xf>
    <xf numFmtId="0" fontId="20" fillId="0" borderId="21" xfId="0" quotePrefix="1" applyNumberFormat="1" applyFont="1" applyFill="1" applyBorder="1" applyAlignment="1">
      <alignment horizontal="center" vertical="center" wrapText="1"/>
    </xf>
    <xf numFmtId="0" fontId="20" fillId="0" borderId="31" xfId="0" quotePrefix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4" fontId="22" fillId="0" borderId="26" xfId="0" applyNumberFormat="1" applyFont="1" applyFill="1" applyBorder="1" applyAlignment="1">
      <alignment horizontal="center" vertical="center"/>
    </xf>
    <xf numFmtId="4" fontId="22" fillId="0" borderId="96" xfId="0" applyNumberFormat="1" applyFont="1" applyFill="1" applyBorder="1" applyAlignment="1">
      <alignment horizontal="center" vertical="center" wrapText="1"/>
    </xf>
    <xf numFmtId="4" fontId="22" fillId="0" borderId="91" xfId="0" applyNumberFormat="1" applyFont="1" applyFill="1" applyBorder="1" applyAlignment="1">
      <alignment horizontal="center" vertical="center" wrapText="1"/>
    </xf>
    <xf numFmtId="4" fontId="22" fillId="0" borderId="83" xfId="0" applyNumberFormat="1" applyFont="1" applyFill="1" applyBorder="1" applyAlignment="1">
      <alignment horizontal="center" vertical="center" wrapText="1"/>
    </xf>
    <xf numFmtId="0" fontId="88" fillId="0" borderId="0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2" fontId="56" fillId="0" borderId="0" xfId="0" applyNumberFormat="1" applyFont="1" applyFill="1" applyBorder="1" applyAlignment="1">
      <alignment horizontal="center"/>
    </xf>
    <xf numFmtId="4" fontId="22" fillId="0" borderId="86" xfId="0" applyNumberFormat="1" applyFont="1" applyFill="1" applyBorder="1" applyAlignment="1">
      <alignment horizontal="center" vertical="center"/>
    </xf>
    <xf numFmtId="0" fontId="201" fillId="0" borderId="97" xfId="0" applyFont="1" applyFill="1" applyBorder="1" applyAlignment="1">
      <alignment horizontal="center" vertical="center" wrapText="1"/>
    </xf>
    <xf numFmtId="0" fontId="201" fillId="0" borderId="30" xfId="0" applyFont="1" applyFill="1" applyBorder="1" applyAlignment="1">
      <alignment horizontal="center" vertical="center" wrapText="1"/>
    </xf>
    <xf numFmtId="0" fontId="22" fillId="0" borderId="84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 wrapText="1"/>
    </xf>
    <xf numFmtId="0" fontId="22" fillId="0" borderId="84" xfId="0" applyFont="1" applyFill="1" applyBorder="1" applyAlignment="1">
      <alignment horizontal="left" vertical="center" wrapText="1"/>
    </xf>
    <xf numFmtId="0" fontId="22" fillId="0" borderId="22" xfId="0" applyFont="1" applyFill="1" applyBorder="1" applyAlignment="1">
      <alignment horizontal="left" vertical="center" wrapText="1"/>
    </xf>
    <xf numFmtId="0" fontId="22" fillId="0" borderId="60" xfId="0" applyFont="1" applyFill="1" applyBorder="1" applyAlignment="1">
      <alignment horizontal="left" vertical="center" wrapText="1"/>
    </xf>
    <xf numFmtId="2" fontId="22" fillId="0" borderId="84" xfId="0" applyNumberFormat="1" applyFont="1" applyFill="1" applyBorder="1" applyAlignment="1">
      <alignment horizontal="center" vertical="center" wrapText="1"/>
    </xf>
    <xf numFmtId="2" fontId="22" fillId="0" borderId="22" xfId="0" applyNumberFormat="1" applyFont="1" applyFill="1" applyBorder="1" applyAlignment="1">
      <alignment horizontal="center" vertical="center" wrapText="1"/>
    </xf>
    <xf numFmtId="2" fontId="22" fillId="0" borderId="60" xfId="0" applyNumberFormat="1" applyFont="1" applyFill="1" applyBorder="1" applyAlignment="1">
      <alignment horizontal="center" vertical="center" wrapText="1"/>
    </xf>
    <xf numFmtId="4" fontId="101" fillId="0" borderId="84" xfId="0" applyNumberFormat="1" applyFont="1" applyFill="1" applyBorder="1" applyAlignment="1">
      <alignment horizontal="center" vertical="center" wrapText="1"/>
    </xf>
    <xf numFmtId="4" fontId="101" fillId="0" borderId="22" xfId="0" applyNumberFormat="1" applyFont="1" applyFill="1" applyBorder="1" applyAlignment="1">
      <alignment horizontal="center" vertical="center" wrapText="1"/>
    </xf>
    <xf numFmtId="4" fontId="101" fillId="0" borderId="60" xfId="0" applyNumberFormat="1" applyFont="1" applyFill="1" applyBorder="1" applyAlignment="1">
      <alignment horizontal="center" vertical="center" wrapText="1"/>
    </xf>
    <xf numFmtId="4" fontId="101" fillId="0" borderId="84" xfId="10" applyNumberFormat="1" applyFont="1" applyFill="1" applyBorder="1" applyAlignment="1">
      <alignment horizontal="center" vertical="center"/>
    </xf>
    <xf numFmtId="4" fontId="101" fillId="0" borderId="22" xfId="10" applyNumberFormat="1" applyFont="1" applyFill="1" applyBorder="1" applyAlignment="1">
      <alignment horizontal="center" vertical="center"/>
    </xf>
    <xf numFmtId="4" fontId="101" fillId="0" borderId="60" xfId="10" applyNumberFormat="1" applyFont="1" applyFill="1" applyBorder="1" applyAlignment="1">
      <alignment horizontal="center" vertical="center"/>
    </xf>
    <xf numFmtId="0" fontId="145" fillId="0" borderId="0" xfId="0" applyFont="1" applyFill="1" applyBorder="1" applyAlignment="1">
      <alignment horizontal="center"/>
    </xf>
    <xf numFmtId="0" fontId="77" fillId="0" borderId="0" xfId="0" applyFont="1" applyAlignment="1">
      <alignment horizontal="center" vertical="center"/>
    </xf>
    <xf numFmtId="3" fontId="22" fillId="7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92" fontId="23" fillId="7" borderId="24" xfId="0" applyNumberFormat="1" applyFont="1" applyFill="1" applyBorder="1" applyAlignment="1">
      <alignment horizontal="center" vertical="center"/>
    </xf>
    <xf numFmtId="224" fontId="150" fillId="7" borderId="0" xfId="1" applyNumberFormat="1" applyFont="1" applyFill="1" applyAlignment="1">
      <alignment horizontal="center"/>
    </xf>
    <xf numFmtId="43" fontId="101" fillId="7" borderId="14" xfId="1" applyFont="1" applyFill="1" applyBorder="1" applyAlignment="1">
      <alignment horizontal="left"/>
    </xf>
    <xf numFmtId="0" fontId="20" fillId="7" borderId="15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shrinkToFit="1"/>
    </xf>
    <xf numFmtId="0" fontId="20" fillId="7" borderId="20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0" fontId="28" fillId="0" borderId="27" xfId="0" applyFont="1" applyFill="1" applyBorder="1" applyAlignment="1">
      <alignment horizontal="left" vertical="center" wrapText="1"/>
    </xf>
    <xf numFmtId="0" fontId="28" fillId="0" borderId="21" xfId="0" applyFont="1" applyFill="1" applyBorder="1" applyAlignment="1">
      <alignment horizontal="left" vertical="center" wrapText="1"/>
    </xf>
    <xf numFmtId="0" fontId="28" fillId="0" borderId="31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left" vertical="center"/>
    </xf>
    <xf numFmtId="0" fontId="28" fillId="0" borderId="21" xfId="0" applyFont="1" applyFill="1" applyBorder="1" applyAlignment="1">
      <alignment horizontal="left" vertical="center"/>
    </xf>
    <xf numFmtId="0" fontId="28" fillId="0" borderId="31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indent="7"/>
    </xf>
    <xf numFmtId="0" fontId="265" fillId="0" borderId="27" xfId="0" applyFont="1" applyFill="1" applyBorder="1" applyAlignment="1">
      <alignment horizontal="center" vertical="center"/>
    </xf>
    <xf numFmtId="0" fontId="265" fillId="0" borderId="21" xfId="0" applyFont="1" applyFill="1" applyBorder="1" applyAlignment="1">
      <alignment horizontal="center" vertical="center"/>
    </xf>
    <xf numFmtId="0" fontId="265" fillId="0" borderId="31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66" fillId="0" borderId="0" xfId="26" applyFont="1" applyAlignment="1">
      <alignment horizontal="center"/>
    </xf>
    <xf numFmtId="0" fontId="256" fillId="0" borderId="0" xfId="26" applyFont="1" applyAlignment="1">
      <alignment horizontal="center"/>
    </xf>
    <xf numFmtId="0" fontId="51" fillId="0" borderId="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5" fillId="0" borderId="0" xfId="26" applyFont="1" applyAlignment="1">
      <alignment horizontal="center"/>
    </xf>
    <xf numFmtId="0" fontId="257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131" fillId="0" borderId="24" xfId="0" applyFont="1" applyBorder="1" applyAlignment="1">
      <alignment horizontal="center"/>
    </xf>
    <xf numFmtId="0" fontId="93" fillId="0" borderId="1" xfId="0" applyFont="1" applyBorder="1" applyAlignment="1">
      <alignment horizontal="center" vertical="center" wrapText="1"/>
    </xf>
    <xf numFmtId="192" fontId="23" fillId="0" borderId="0" xfId="0" applyNumberFormat="1" applyFont="1" applyAlignment="1">
      <alignment horizontal="right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/>
    </xf>
    <xf numFmtId="0" fontId="130" fillId="0" borderId="0" xfId="0" applyFont="1" applyAlignment="1">
      <alignment horizontal="center"/>
    </xf>
    <xf numFmtId="0" fontId="132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/>
    </xf>
    <xf numFmtId="0" fontId="124" fillId="0" borderId="1" xfId="0" applyFont="1" applyBorder="1" applyAlignment="1">
      <alignment horizontal="left" vertical="center"/>
    </xf>
    <xf numFmtId="191" fontId="124" fillId="0" borderId="15" xfId="1" applyNumberFormat="1" applyFont="1" applyFill="1" applyBorder="1" applyAlignment="1">
      <alignment horizontal="center" vertical="center" wrapText="1"/>
    </xf>
    <xf numFmtId="191" fontId="124" fillId="0" borderId="22" xfId="1" applyNumberFormat="1" applyFont="1" applyFill="1" applyBorder="1" applyAlignment="1">
      <alignment horizontal="center" vertical="center" wrapText="1"/>
    </xf>
    <xf numFmtId="191" fontId="124" fillId="0" borderId="20" xfId="1" applyNumberFormat="1" applyFont="1" applyFill="1" applyBorder="1" applyAlignment="1">
      <alignment horizontal="center" vertical="center" wrapText="1"/>
    </xf>
    <xf numFmtId="0" fontId="124" fillId="0" borderId="53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24" fillId="0" borderId="15" xfId="0" applyFont="1" applyBorder="1" applyAlignment="1">
      <alignment horizontal="center" vertical="center" wrapText="1"/>
    </xf>
    <xf numFmtId="0" fontId="124" fillId="0" borderId="22" xfId="0" applyFont="1" applyBorder="1" applyAlignment="1">
      <alignment horizontal="center" vertical="center" wrapText="1"/>
    </xf>
    <xf numFmtId="0" fontId="124" fillId="0" borderId="20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 shrinkToFit="1"/>
    </xf>
    <xf numFmtId="0" fontId="124" fillId="0" borderId="21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shrinkToFit="1"/>
    </xf>
    <xf numFmtId="191" fontId="124" fillId="0" borderId="20" xfId="1" applyNumberFormat="1" applyFont="1" applyFill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 wrapText="1"/>
    </xf>
    <xf numFmtId="0" fontId="124" fillId="0" borderId="21" xfId="0" applyFont="1" applyBorder="1" applyAlignment="1">
      <alignment horizontal="center" vertical="center" wrapText="1"/>
    </xf>
    <xf numFmtId="0" fontId="124" fillId="0" borderId="31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left" vertical="center"/>
    </xf>
    <xf numFmtId="0" fontId="124" fillId="0" borderId="31" xfId="0" applyFont="1" applyBorder="1" applyAlignment="1">
      <alignment horizontal="left" vertical="center"/>
    </xf>
    <xf numFmtId="0" fontId="77" fillId="0" borderId="21" xfId="255" applyFont="1" applyBorder="1" applyAlignment="1">
      <alignment horizontal="left" vertical="center"/>
    </xf>
    <xf numFmtId="0" fontId="77" fillId="0" borderId="31" xfId="255" applyFont="1" applyBorder="1" applyAlignment="1">
      <alignment horizontal="left" vertical="center"/>
    </xf>
    <xf numFmtId="191" fontId="124" fillId="0" borderId="27" xfId="1" applyNumberFormat="1" applyFont="1" applyFill="1" applyBorder="1" applyAlignment="1">
      <alignment horizontal="center" vertical="center" wrapText="1"/>
    </xf>
    <xf numFmtId="191" fontId="124" fillId="0" borderId="21" xfId="1" applyNumberFormat="1" applyFont="1" applyFill="1" applyBorder="1" applyAlignment="1">
      <alignment horizontal="center" vertical="center" wrapText="1"/>
    </xf>
    <xf numFmtId="191" fontId="124" fillId="0" borderId="31" xfId="1" applyNumberFormat="1" applyFont="1" applyFill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24" fillId="0" borderId="20" xfId="0" applyFont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wrapText="1"/>
    </xf>
    <xf numFmtId="0" fontId="124" fillId="0" borderId="43" xfId="0" applyFont="1" applyBorder="1" applyAlignment="1">
      <alignment horizontal="center" vertical="center" wrapText="1"/>
    </xf>
    <xf numFmtId="0" fontId="124" fillId="0" borderId="54" xfId="0" applyFont="1" applyBorder="1" applyAlignment="1">
      <alignment horizontal="center" vertical="center" wrapText="1"/>
    </xf>
    <xf numFmtId="0" fontId="124" fillId="0" borderId="53" xfId="0" applyFont="1" applyBorder="1" applyAlignment="1">
      <alignment horizontal="center" wrapText="1"/>
    </xf>
    <xf numFmtId="0" fontId="124" fillId="0" borderId="24" xfId="0" applyFont="1" applyBorder="1" applyAlignment="1">
      <alignment horizontal="center" wrapText="1"/>
    </xf>
    <xf numFmtId="0" fontId="124" fillId="0" borderId="43" xfId="0" applyFont="1" applyBorder="1" applyAlignment="1">
      <alignment horizontal="center" wrapText="1"/>
    </xf>
    <xf numFmtId="0" fontId="124" fillId="0" borderId="28" xfId="0" applyFont="1" applyBorder="1" applyAlignment="1">
      <alignment horizontal="center" wrapText="1"/>
    </xf>
    <xf numFmtId="0" fontId="124" fillId="0" borderId="14" xfId="0" applyFont="1" applyBorder="1" applyAlignment="1">
      <alignment horizontal="center" wrapText="1"/>
    </xf>
    <xf numFmtId="0" fontId="124" fillId="0" borderId="54" xfId="0" applyFont="1" applyBorder="1" applyAlignment="1">
      <alignment horizontal="center" wrapText="1"/>
    </xf>
    <xf numFmtId="0" fontId="130" fillId="0" borderId="0" xfId="0" applyFont="1" applyAlignment="1">
      <alignment horizontal="center" vertical="center"/>
    </xf>
    <xf numFmtId="0" fontId="34" fillId="0" borderId="24" xfId="0" applyFont="1" applyBorder="1" applyAlignment="1">
      <alignment horizontal="right"/>
    </xf>
    <xf numFmtId="0" fontId="58" fillId="0" borderId="0" xfId="0" applyFont="1" applyAlignment="1">
      <alignment horizontal="center"/>
    </xf>
    <xf numFmtId="0" fontId="13" fillId="7" borderId="0" xfId="275" applyFont="1" applyFill="1" applyAlignment="1">
      <alignment horizontal="center"/>
    </xf>
    <xf numFmtId="0" fontId="134" fillId="0" borderId="0" xfId="0" applyFont="1" applyAlignment="1">
      <alignment horizontal="center"/>
    </xf>
    <xf numFmtId="0" fontId="58" fillId="7" borderId="0" xfId="275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99" fontId="36" fillId="0" borderId="27" xfId="0" applyNumberFormat="1" applyFont="1" applyFill="1" applyBorder="1" applyAlignment="1">
      <alignment horizontal="center" vertical="center"/>
    </xf>
    <xf numFmtId="199" fontId="36" fillId="0" borderId="21" xfId="0" applyNumberFormat="1" applyFont="1" applyFill="1" applyBorder="1" applyAlignment="1">
      <alignment horizontal="center" vertical="center"/>
    </xf>
    <xf numFmtId="199" fontId="36" fillId="0" borderId="31" xfId="0" applyNumberFormat="1" applyFont="1" applyFill="1" applyBorder="1" applyAlignment="1">
      <alignment horizontal="center" vertical="center"/>
    </xf>
    <xf numFmtId="199" fontId="1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11" fillId="0" borderId="27" xfId="0" applyNumberFormat="1" applyFont="1" applyFill="1" applyBorder="1" applyAlignment="1">
      <alignment horizontal="center" vertical="center"/>
    </xf>
    <xf numFmtId="199" fontId="11" fillId="0" borderId="21" xfId="0" applyNumberFormat="1" applyFont="1" applyFill="1" applyBorder="1" applyAlignment="1">
      <alignment horizontal="center" vertical="center"/>
    </xf>
    <xf numFmtId="199" fontId="36" fillId="0" borderId="27" xfId="0" applyNumberFormat="1" applyFont="1" applyFill="1" applyBorder="1" applyAlignment="1">
      <alignment horizontal="center" vertical="top" wrapText="1"/>
    </xf>
    <xf numFmtId="199" fontId="36" fillId="0" borderId="21" xfId="0" applyNumberFormat="1" applyFont="1" applyFill="1" applyBorder="1" applyAlignment="1">
      <alignment horizontal="center" vertical="top"/>
    </xf>
    <xf numFmtId="199" fontId="36" fillId="0" borderId="43" xfId="0" applyNumberFormat="1" applyFont="1" applyFill="1" applyBorder="1" applyAlignment="1">
      <alignment horizontal="center" vertical="top"/>
    </xf>
    <xf numFmtId="0" fontId="6" fillId="0" borderId="0" xfId="0" applyFont="1" applyFill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191" fontId="263" fillId="0" borderId="0" xfId="1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145" fillId="0" borderId="0" xfId="0" applyFont="1" applyAlignment="1">
      <alignment horizontal="center" vertical="center"/>
    </xf>
    <xf numFmtId="0" fontId="280" fillId="0" borderId="0" xfId="0" applyFont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7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/>
    </xf>
    <xf numFmtId="0" fontId="145" fillId="0" borderId="15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 vertical="center" wrapText="1"/>
    </xf>
    <xf numFmtId="0" fontId="281" fillId="0" borderId="0" xfId="0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203" fontId="168" fillId="0" borderId="0" xfId="8" applyNumberFormat="1" applyFont="1" applyFill="1" applyAlignment="1">
      <alignment horizontal="center"/>
    </xf>
    <xf numFmtId="0" fontId="168" fillId="0" borderId="0" xfId="0" quotePrefix="1" applyFont="1" applyFill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7" fillId="0" borderId="0" xfId="0" quotePrefix="1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65" fillId="7" borderId="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2" fillId="7" borderId="0" xfId="0" quotePrefix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21" fillId="7" borderId="0" xfId="0" applyFont="1" applyFill="1" applyAlignment="1">
      <alignment horizontal="left"/>
    </xf>
    <xf numFmtId="0" fontId="12" fillId="7" borderId="53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192" fontId="34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47" fillId="0" borderId="0" xfId="0" applyFont="1" applyAlignment="1">
      <alignment horizontal="center" vertical="center"/>
    </xf>
    <xf numFmtId="0" fontId="77" fillId="3" borderId="0" xfId="255" applyFont="1" applyFill="1" applyAlignment="1">
      <alignment horizontal="center"/>
    </xf>
    <xf numFmtId="0" fontId="72" fillId="0" borderId="0" xfId="255" applyFont="1" applyAlignment="1">
      <alignment horizontal="center"/>
    </xf>
    <xf numFmtId="0" fontId="77" fillId="0" borderId="27" xfId="0" applyFont="1" applyBorder="1" applyAlignment="1">
      <alignment horizontal="center"/>
    </xf>
    <xf numFmtId="0" fontId="77" fillId="0" borderId="31" xfId="0" applyFont="1" applyBorder="1" applyAlignment="1">
      <alignment horizontal="center"/>
    </xf>
    <xf numFmtId="0" fontId="165" fillId="0" borderId="24" xfId="0" applyFont="1" applyBorder="1" applyAlignment="1">
      <alignment horizontal="center"/>
    </xf>
    <xf numFmtId="0" fontId="169" fillId="0" borderId="0" xfId="255" applyFont="1" applyAlignment="1">
      <alignment horizontal="center"/>
    </xf>
    <xf numFmtId="0" fontId="168" fillId="3" borderId="0" xfId="255" applyFont="1" applyFill="1" applyAlignment="1">
      <alignment horizontal="center" vertical="center" wrapText="1" shrinkToFit="1"/>
    </xf>
    <xf numFmtId="203" fontId="77" fillId="3" borderId="0" xfId="8" applyNumberFormat="1" applyFont="1" applyFill="1" applyAlignment="1">
      <alignment horizontal="center"/>
    </xf>
    <xf numFmtId="0" fontId="101" fillId="3" borderId="0" xfId="255" applyFont="1" applyFill="1" applyAlignment="1">
      <alignment horizontal="center"/>
    </xf>
    <xf numFmtId="0" fontId="167" fillId="3" borderId="0" xfId="255" applyFont="1" applyFill="1" applyAlignment="1">
      <alignment horizontal="center"/>
    </xf>
    <xf numFmtId="0" fontId="139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/>
    </xf>
    <xf numFmtId="43" fontId="51" fillId="0" borderId="1" xfId="1" applyFont="1" applyFill="1" applyBorder="1" applyAlignment="1">
      <alignment horizontal="center" vertical="center"/>
    </xf>
    <xf numFmtId="191" fontId="51" fillId="0" borderId="53" xfId="3" applyNumberFormat="1" applyFont="1" applyFill="1" applyBorder="1" applyAlignment="1">
      <alignment horizontal="center" vertical="center" wrapText="1"/>
    </xf>
    <xf numFmtId="191" fontId="51" fillId="0" borderId="29" xfId="3" applyNumberFormat="1" applyFont="1" applyFill="1" applyBorder="1" applyAlignment="1">
      <alignment horizontal="center" vertical="center" wrapText="1"/>
    </xf>
    <xf numFmtId="191" fontId="51" fillId="0" borderId="28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 wrapText="1"/>
    </xf>
    <xf numFmtId="43" fontId="51" fillId="0" borderId="1" xfId="1" applyFont="1" applyFill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 vertical="center"/>
    </xf>
    <xf numFmtId="0" fontId="114" fillId="0" borderId="15" xfId="255" applyFont="1" applyBorder="1" applyAlignment="1">
      <alignment horizontal="center" vertical="center" wrapText="1"/>
    </xf>
    <xf numFmtId="0" fontId="114" fillId="0" borderId="20" xfId="255" applyFont="1" applyBorder="1" applyAlignment="1">
      <alignment horizontal="center" vertical="center" wrapText="1"/>
    </xf>
    <xf numFmtId="0" fontId="114" fillId="0" borderId="1" xfId="255" applyFont="1" applyBorder="1" applyAlignment="1">
      <alignment horizontal="center"/>
    </xf>
    <xf numFmtId="0" fontId="114" fillId="0" borderId="1" xfId="255" applyFont="1" applyBorder="1" applyAlignment="1">
      <alignment horizontal="center" vertical="center" wrapText="1"/>
    </xf>
    <xf numFmtId="0" fontId="114" fillId="0" borderId="27" xfId="255" applyFont="1" applyBorder="1" applyAlignment="1">
      <alignment horizontal="center" wrapText="1"/>
    </xf>
    <xf numFmtId="0" fontId="114" fillId="0" borderId="31" xfId="255" applyFont="1" applyBorder="1" applyAlignment="1">
      <alignment horizontal="center" wrapText="1"/>
    </xf>
    <xf numFmtId="0" fontId="210" fillId="0" borderId="0" xfId="255" applyFont="1" applyAlignment="1">
      <alignment horizontal="center" vertical="center" wrapText="1"/>
    </xf>
    <xf numFmtId="0" fontId="114" fillId="0" borderId="0" xfId="255" applyFont="1" applyBorder="1" applyAlignment="1">
      <alignment horizontal="left" wrapText="1"/>
    </xf>
    <xf numFmtId="225" fontId="114" fillId="0" borderId="0" xfId="1" applyNumberFormat="1" applyFont="1" applyBorder="1" applyAlignment="1">
      <alignment horizontal="center"/>
    </xf>
    <xf numFmtId="0" fontId="210" fillId="0" borderId="0" xfId="255" applyFont="1" applyAlignment="1">
      <alignment horizontal="left" wrapText="1"/>
    </xf>
    <xf numFmtId="225" fontId="210" fillId="0" borderId="0" xfId="1" applyNumberFormat="1" applyFont="1" applyBorder="1" applyAlignment="1">
      <alignment horizontal="center"/>
    </xf>
    <xf numFmtId="0" fontId="114" fillId="0" borderId="24" xfId="255" applyFont="1" applyBorder="1" applyAlignment="1">
      <alignment horizontal="left" wrapText="1"/>
    </xf>
    <xf numFmtId="225" fontId="114" fillId="0" borderId="24" xfId="1" applyNumberFormat="1" applyFont="1" applyBorder="1" applyAlignment="1">
      <alignment horizontal="center"/>
    </xf>
    <xf numFmtId="0" fontId="211" fillId="0" borderId="0" xfId="255" applyFont="1" applyAlignment="1">
      <alignment horizontal="center"/>
    </xf>
    <xf numFmtId="0" fontId="98" fillId="7" borderId="0" xfId="255" applyFont="1" applyFill="1" applyAlignment="1">
      <alignment horizontal="center"/>
    </xf>
    <xf numFmtId="0" fontId="65" fillId="7" borderId="27" xfId="255" applyFont="1" applyFill="1" applyBorder="1" applyAlignment="1">
      <alignment horizontal="center" vertical="center"/>
    </xf>
    <xf numFmtId="0" fontId="65" fillId="7" borderId="31" xfId="255" applyFont="1" applyFill="1" applyBorder="1" applyAlignment="1">
      <alignment horizontal="center" vertical="center"/>
    </xf>
    <xf numFmtId="0" fontId="65" fillId="7" borderId="1" xfId="255" applyFont="1" applyFill="1" applyBorder="1" applyAlignment="1">
      <alignment horizontal="center" vertical="center"/>
    </xf>
    <xf numFmtId="0" fontId="66" fillId="7" borderId="0" xfId="255" applyFont="1" applyFill="1" applyAlignment="1">
      <alignment horizontal="center" vertical="center"/>
    </xf>
    <xf numFmtId="0" fontId="11" fillId="7" borderId="0" xfId="255" applyFont="1" applyFill="1" applyAlignment="1">
      <alignment horizontal="center"/>
    </xf>
    <xf numFmtId="0" fontId="13" fillId="7" borderId="0" xfId="255" applyFont="1" applyFill="1" applyAlignment="1">
      <alignment horizontal="center"/>
    </xf>
    <xf numFmtId="0" fontId="16" fillId="7" borderId="0" xfId="255" applyFont="1" applyFill="1" applyAlignment="1">
      <alignment horizontal="center" vertical="center"/>
    </xf>
    <xf numFmtId="0" fontId="11" fillId="7" borderId="1" xfId="255" applyFont="1" applyFill="1" applyBorder="1" applyAlignment="1">
      <alignment horizontal="center" vertical="center" shrinkToFit="1"/>
    </xf>
    <xf numFmtId="0" fontId="11" fillId="0" borderId="0" xfId="275" applyFont="1" applyAlignment="1">
      <alignment horizontal="center" vertical="center" shrinkToFit="1"/>
    </xf>
    <xf numFmtId="0" fontId="66" fillId="7" borderId="1" xfId="255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92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5" fillId="0" borderId="57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 shrinkToFit="1"/>
    </xf>
    <xf numFmtId="192" fontId="78" fillId="0" borderId="0" xfId="0" applyNumberFormat="1" applyFont="1" applyAlignment="1">
      <alignment horizontal="center" vertical="center"/>
    </xf>
    <xf numFmtId="0" fontId="12" fillId="0" borderId="59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92" fontId="12" fillId="0" borderId="39" xfId="1" applyNumberFormat="1" applyFont="1" applyFill="1" applyBorder="1" applyAlignment="1">
      <alignment horizontal="center"/>
    </xf>
    <xf numFmtId="192" fontId="12" fillId="0" borderId="39" xfId="1" applyNumberFormat="1" applyFont="1" applyFill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92" fontId="12" fillId="0" borderId="5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192" fontId="12" fillId="0" borderId="27" xfId="1" applyNumberFormat="1" applyFont="1" applyFill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/>
    </xf>
    <xf numFmtId="192" fontId="12" fillId="0" borderId="31" xfId="1" applyNumberFormat="1" applyFont="1" applyFill="1" applyBorder="1" applyAlignment="1">
      <alignment horizontal="center"/>
    </xf>
    <xf numFmtId="192" fontId="12" fillId="0" borderId="1" xfId="1" applyNumberFormat="1" applyFont="1" applyFill="1" applyBorder="1" applyAlignment="1">
      <alignment horizontal="center" vertical="center" wrapText="1"/>
    </xf>
    <xf numFmtId="192" fontId="12" fillId="0" borderId="15" xfId="1" applyNumberFormat="1" applyFont="1" applyFill="1" applyBorder="1" applyAlignment="1">
      <alignment horizontal="center" vertical="center" wrapText="1"/>
    </xf>
    <xf numFmtId="192" fontId="12" fillId="0" borderId="22" xfId="1" applyNumberFormat="1" applyFont="1" applyFill="1" applyBorder="1" applyAlignment="1">
      <alignment horizontal="center" vertical="center" wrapText="1"/>
    </xf>
    <xf numFmtId="192" fontId="12" fillId="0" borderId="20" xfId="1" applyNumberFormat="1" applyFont="1" applyFill="1" applyBorder="1" applyAlignment="1">
      <alignment horizontal="center" vertical="center" wrapText="1"/>
    </xf>
    <xf numFmtId="192" fontId="12" fillId="0" borderId="1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 vertical="center" wrapText="1"/>
    </xf>
    <xf numFmtId="192" fontId="12" fillId="0" borderId="31" xfId="1" applyNumberFormat="1" applyFont="1" applyFill="1" applyBorder="1" applyAlignment="1">
      <alignment horizontal="center" vertical="center" wrapText="1"/>
    </xf>
    <xf numFmtId="0" fontId="12" fillId="0" borderId="27" xfId="1" applyNumberFormat="1" applyFont="1" applyBorder="1" applyAlignment="1">
      <alignment horizontal="center" vertical="center" wrapText="1"/>
    </xf>
    <xf numFmtId="0" fontId="12" fillId="0" borderId="21" xfId="1" applyNumberFormat="1" applyFont="1" applyBorder="1" applyAlignment="1">
      <alignment horizontal="center" vertical="center" wrapText="1"/>
    </xf>
    <xf numFmtId="0" fontId="12" fillId="0" borderId="31" xfId="1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47" fillId="0" borderId="2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92" fontId="34" fillId="0" borderId="0" xfId="0" applyNumberFormat="1" applyFont="1" applyAlignment="1">
      <alignment horizontal="center"/>
    </xf>
    <xf numFmtId="0" fontId="11" fillId="0" borderId="24" xfId="0" applyFont="1" applyBorder="1" applyAlignment="1">
      <alignment horizontal="center" vertical="center" shrinkToFit="1"/>
    </xf>
    <xf numFmtId="4" fontId="4" fillId="0" borderId="0" xfId="0" applyNumberFormat="1" applyFont="1" applyAlignment="1">
      <alignment horizontal="center"/>
    </xf>
    <xf numFmtId="2" fontId="35" fillId="0" borderId="24" xfId="0" applyNumberFormat="1" applyFont="1" applyBorder="1" applyAlignment="1">
      <alignment horizontal="center"/>
    </xf>
    <xf numFmtId="0" fontId="35" fillId="0" borderId="27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4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192" fontId="32" fillId="0" borderId="24" xfId="0" applyNumberFormat="1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 wrapText="1"/>
    </xf>
    <xf numFmtId="3" fontId="11" fillId="0" borderId="20" xfId="0" applyNumberFormat="1" applyFont="1" applyBorder="1" applyAlignment="1">
      <alignment horizontal="center" vertical="center" wrapText="1"/>
    </xf>
    <xf numFmtId="3" fontId="11" fillId="0" borderId="2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6" fillId="7" borderId="27" xfId="255" applyFont="1" applyFill="1" applyBorder="1" applyAlignment="1">
      <alignment horizontal="center" vertical="center"/>
    </xf>
    <xf numFmtId="0" fontId="66" fillId="7" borderId="21" xfId="255" applyFont="1" applyFill="1" applyBorder="1" applyAlignment="1">
      <alignment horizontal="center" vertical="center"/>
    </xf>
    <xf numFmtId="0" fontId="66" fillId="7" borderId="31" xfId="255" applyFont="1" applyFill="1" applyBorder="1" applyAlignment="1">
      <alignment horizontal="center" vertical="center"/>
    </xf>
    <xf numFmtId="0" fontId="8" fillId="7" borderId="0" xfId="255" applyFont="1" applyFill="1" applyAlignment="1">
      <alignment horizontal="center"/>
    </xf>
    <xf numFmtId="0" fontId="2" fillId="7" borderId="0" xfId="255" applyFont="1" applyFill="1" applyAlignment="1">
      <alignment horizontal="center"/>
    </xf>
    <xf numFmtId="0" fontId="31" fillId="7" borderId="0" xfId="255" applyFont="1" applyFill="1" applyAlignment="1">
      <alignment horizontal="center" vertical="center"/>
    </xf>
    <xf numFmtId="0" fontId="64" fillId="7" borderId="0" xfId="255" applyFont="1" applyFill="1" applyAlignment="1">
      <alignment horizontal="center"/>
    </xf>
    <xf numFmtId="0" fontId="55" fillId="7" borderId="0" xfId="255" applyFont="1" applyFill="1" applyAlignment="1">
      <alignment horizontal="center"/>
    </xf>
    <xf numFmtId="0" fontId="35" fillId="7" borderId="0" xfId="255" applyFont="1" applyFill="1" applyAlignment="1">
      <alignment horizontal="center"/>
    </xf>
    <xf numFmtId="0" fontId="12" fillId="7" borderId="25" xfId="255" applyFont="1" applyFill="1" applyBorder="1" applyAlignment="1">
      <alignment horizontal="center" vertical="center" shrinkToFit="1"/>
    </xf>
    <xf numFmtId="1" fontId="12" fillId="7" borderId="25" xfId="255" applyNumberFormat="1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1" fontId="11" fillId="7" borderId="55" xfId="255" applyNumberFormat="1" applyFont="1" applyFill="1" applyBorder="1" applyAlignment="1">
      <alignment horizontal="center"/>
    </xf>
    <xf numFmtId="1" fontId="11" fillId="7" borderId="29" xfId="255" applyNumberFormat="1" applyFont="1" applyFill="1" applyBorder="1" applyAlignment="1">
      <alignment horizontal="center"/>
    </xf>
    <xf numFmtId="0" fontId="4" fillId="7" borderId="25" xfId="255" applyFont="1" applyFill="1" applyBorder="1" applyAlignment="1">
      <alignment horizontal="center" vertical="center"/>
    </xf>
    <xf numFmtId="3" fontId="63" fillId="7" borderId="25" xfId="255" applyNumberFormat="1" applyFont="1" applyFill="1" applyBorder="1" applyAlignment="1">
      <alignment horizontal="center"/>
    </xf>
    <xf numFmtId="0" fontId="63" fillId="7" borderId="45" xfId="255" applyFont="1" applyFill="1" applyBorder="1" applyAlignment="1">
      <alignment horizontal="center" vertical="center" wrapText="1"/>
    </xf>
    <xf numFmtId="0" fontId="63" fillId="7" borderId="44" xfId="255" applyFont="1" applyFill="1" applyBorder="1" applyAlignment="1">
      <alignment horizontal="center" vertical="center" wrapText="1"/>
    </xf>
    <xf numFmtId="0" fontId="63" fillId="7" borderId="46" xfId="255" applyFont="1" applyFill="1" applyBorder="1" applyAlignment="1">
      <alignment horizontal="center" vertical="center" wrapText="1"/>
    </xf>
    <xf numFmtId="3" fontId="63" fillId="7" borderId="26" xfId="255" applyNumberFormat="1" applyFont="1" applyFill="1" applyBorder="1" applyAlignment="1">
      <alignment horizontal="center"/>
    </xf>
    <xf numFmtId="0" fontId="4" fillId="7" borderId="30" xfId="255" applyFont="1" applyFill="1" applyBorder="1" applyAlignment="1">
      <alignment horizontal="center" vertical="center"/>
    </xf>
    <xf numFmtId="3" fontId="63" fillId="7" borderId="30" xfId="255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92" fontId="12" fillId="0" borderId="15" xfId="0" applyNumberFormat="1" applyFont="1" applyBorder="1" applyAlignment="1">
      <alignment horizontal="center" vertical="center" wrapText="1"/>
    </xf>
    <xf numFmtId="192" fontId="12" fillId="0" borderId="20" xfId="0" applyNumberFormat="1" applyFont="1" applyBorder="1" applyAlignment="1">
      <alignment horizontal="center" vertical="center" wrapText="1"/>
    </xf>
    <xf numFmtId="191" fontId="177" fillId="7" borderId="0" xfId="1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1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224" fontId="177" fillId="7" borderId="0" xfId="1" applyNumberFormat="1" applyFont="1" applyFill="1" applyAlignment="1">
      <alignment horizontal="center"/>
    </xf>
    <xf numFmtId="3" fontId="93" fillId="0" borderId="27" xfId="0" applyNumberFormat="1" applyFont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93" fillId="0" borderId="31" xfId="0" applyNumberFormat="1" applyFont="1" applyBorder="1" applyAlignment="1">
      <alignment horizontal="center" vertical="center"/>
    </xf>
    <xf numFmtId="3" fontId="95" fillId="0" borderId="61" xfId="0" applyNumberFormat="1" applyFont="1" applyBorder="1" applyAlignment="1">
      <alignment horizontal="center" vertical="center"/>
    </xf>
    <xf numFmtId="0" fontId="95" fillId="0" borderId="63" xfId="0" applyFont="1" applyBorder="1" applyAlignment="1">
      <alignment horizontal="center" vertical="center"/>
    </xf>
    <xf numFmtId="0" fontId="95" fillId="0" borderId="66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 wrapText="1"/>
    </xf>
    <xf numFmtId="192" fontId="23" fillId="0" borderId="24" xfId="0" applyNumberFormat="1" applyFont="1" applyBorder="1" applyAlignment="1">
      <alignment horizontal="center"/>
    </xf>
    <xf numFmtId="0" fontId="93" fillId="0" borderId="15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0" fontId="93" fillId="0" borderId="53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3" fontId="95" fillId="0" borderId="27" xfId="0" applyNumberFormat="1" applyFont="1" applyBorder="1" applyAlignment="1">
      <alignment horizontal="center" vertical="center"/>
    </xf>
    <xf numFmtId="3" fontId="95" fillId="0" borderId="21" xfId="0" applyNumberFormat="1" applyFont="1" applyBorder="1" applyAlignment="1">
      <alignment horizontal="center" vertical="center"/>
    </xf>
    <xf numFmtId="0" fontId="93" fillId="0" borderId="24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13" fillId="0" borderId="0" xfId="256" applyFont="1" applyAlignment="1">
      <alignment horizontal="center"/>
    </xf>
    <xf numFmtId="0" fontId="11" fillId="0" borderId="0" xfId="256" applyFont="1" applyAlignment="1">
      <alignment horizontal="center"/>
    </xf>
    <xf numFmtId="0" fontId="64" fillId="0" borderId="0" xfId="256" applyFont="1" applyAlignment="1">
      <alignment horizontal="center"/>
    </xf>
    <xf numFmtId="0" fontId="55" fillId="0" borderId="0" xfId="256" applyFont="1" applyAlignment="1">
      <alignment horizontal="center"/>
    </xf>
    <xf numFmtId="0" fontId="35" fillId="0" borderId="0" xfId="256" applyFont="1" applyAlignment="1">
      <alignment horizontal="center"/>
    </xf>
    <xf numFmtId="0" fontId="67" fillId="0" borderId="0" xfId="256" applyFont="1" applyAlignment="1">
      <alignment horizontal="center"/>
    </xf>
    <xf numFmtId="0" fontId="31" fillId="0" borderId="0" xfId="256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 wrapText="1"/>
    </xf>
    <xf numFmtId="4" fontId="11" fillId="0" borderId="20" xfId="0" applyNumberFormat="1" applyFont="1" applyBorder="1" applyAlignment="1">
      <alignment horizontal="center" vertical="center" wrapText="1"/>
    </xf>
    <xf numFmtId="0" fontId="13" fillId="0" borderId="0" xfId="274" applyFont="1" applyAlignment="1">
      <alignment horizontal="center"/>
    </xf>
    <xf numFmtId="0" fontId="11" fillId="0" borderId="0" xfId="274" applyFont="1" applyAlignment="1">
      <alignment horizontal="center"/>
    </xf>
    <xf numFmtId="0" fontId="12" fillId="0" borderId="1" xfId="274" applyFont="1" applyBorder="1" applyAlignment="1">
      <alignment horizontal="center" vertical="center" wrapText="1"/>
    </xf>
    <xf numFmtId="0" fontId="12" fillId="0" borderId="15" xfId="274" applyFont="1" applyBorder="1" applyAlignment="1">
      <alignment horizontal="center" vertical="center" wrapText="1"/>
    </xf>
    <xf numFmtId="0" fontId="12" fillId="0" borderId="22" xfId="274" applyFont="1" applyBorder="1" applyAlignment="1">
      <alignment horizontal="center" vertical="center" wrapText="1"/>
    </xf>
    <xf numFmtId="0" fontId="12" fillId="0" borderId="20" xfId="274" applyFont="1" applyBorder="1" applyAlignment="1">
      <alignment horizontal="center" vertical="center" wrapText="1"/>
    </xf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38" fillId="0" borderId="1" xfId="274" applyFont="1" applyBorder="1" applyAlignment="1">
      <alignment horizontal="center" vertical="center" wrapText="1"/>
    </xf>
    <xf numFmtId="0" fontId="12" fillId="0" borderId="27" xfId="274" applyFont="1" applyBorder="1" applyAlignment="1">
      <alignment horizontal="center"/>
    </xf>
    <xf numFmtId="0" fontId="12" fillId="0" borderId="21" xfId="274" applyFont="1" applyBorder="1" applyAlignment="1">
      <alignment horizontal="center"/>
    </xf>
    <xf numFmtId="0" fontId="12" fillId="0" borderId="31" xfId="274" applyFont="1" applyBorder="1" applyAlignment="1">
      <alignment horizontal="center"/>
    </xf>
    <xf numFmtId="0" fontId="12" fillId="0" borderId="1" xfId="274" applyFont="1" applyBorder="1" applyAlignment="1">
      <alignment horizontal="center" vertical="center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5" xfId="274" quotePrefix="1" applyFont="1" applyBorder="1" applyAlignment="1">
      <alignment horizontal="center" vertical="center" wrapText="1"/>
    </xf>
    <xf numFmtId="0" fontId="8" fillId="0" borderId="22" xfId="274" quotePrefix="1" applyFont="1" applyBorder="1" applyAlignment="1">
      <alignment horizontal="center" vertical="center" wrapText="1"/>
    </xf>
    <xf numFmtId="0" fontId="8" fillId="0" borderId="20" xfId="274" quotePrefix="1" applyFont="1" applyBorder="1" applyAlignment="1">
      <alignment horizontal="center" vertical="center" wrapText="1"/>
    </xf>
    <xf numFmtId="0" fontId="8" fillId="0" borderId="15" xfId="274" applyFont="1" applyBorder="1" applyAlignment="1">
      <alignment horizontal="center" vertical="center"/>
    </xf>
    <xf numFmtId="0" fontId="8" fillId="0" borderId="22" xfId="274" applyFont="1" applyBorder="1" applyAlignment="1">
      <alignment horizontal="center" vertical="center"/>
    </xf>
    <xf numFmtId="0" fontId="8" fillId="0" borderId="20" xfId="274" applyFont="1" applyBorder="1" applyAlignment="1">
      <alignment horizontal="center" vertical="center"/>
    </xf>
    <xf numFmtId="0" fontId="2" fillId="0" borderId="1" xfId="274" applyFont="1" applyBorder="1" applyAlignment="1">
      <alignment horizontal="center"/>
    </xf>
    <xf numFmtId="0" fontId="8" fillId="0" borderId="27" xfId="274" applyFont="1" applyBorder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8" fillId="0" borderId="31" xfId="274" applyFont="1" applyBorder="1" applyAlignment="1">
      <alignment horizontal="center" vertical="center"/>
    </xf>
    <xf numFmtId="0" fontId="20" fillId="0" borderId="0" xfId="274" applyFont="1" applyAlignment="1">
      <alignment horizontal="center"/>
    </xf>
    <xf numFmtId="0" fontId="24" fillId="0" borderId="0" xfId="274" applyFont="1" applyAlignment="1">
      <alignment horizontal="center"/>
    </xf>
    <xf numFmtId="0" fontId="8" fillId="0" borderId="0" xfId="274" applyFont="1" applyAlignment="1">
      <alignment horizontal="center" vertical="center"/>
    </xf>
    <xf numFmtId="0" fontId="23" fillId="0" borderId="0" xfId="274" applyFont="1" applyAlignment="1">
      <alignment horizontal="center"/>
    </xf>
    <xf numFmtId="0" fontId="32" fillId="0" borderId="0" xfId="0" applyFont="1" applyAlignment="1">
      <alignment horizontal="center"/>
    </xf>
    <xf numFmtId="0" fontId="11" fillId="0" borderId="0" xfId="0" applyFont="1" applyAlignment="1">
      <alignment horizontal="left" indent="8"/>
    </xf>
    <xf numFmtId="0" fontId="162" fillId="0" borderId="0" xfId="31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64" fillId="0" borderId="0" xfId="311" applyFont="1" applyFill="1" applyAlignment="1">
      <alignment horizontal="left" indent="22"/>
    </xf>
    <xf numFmtId="3" fontId="16" fillId="0" borderId="0" xfId="0" applyNumberFormat="1" applyFont="1" applyFill="1" applyAlignment="1">
      <alignment horizontal="center"/>
    </xf>
    <xf numFmtId="0" fontId="25" fillId="0" borderId="0" xfId="0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28" fillId="0" borderId="0" xfId="0" applyFont="1" applyFill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horizontal="center" vertical="center"/>
    </xf>
    <xf numFmtId="0" fontId="199" fillId="0" borderId="17" xfId="0" applyFont="1" applyFill="1" applyBorder="1" applyAlignment="1">
      <alignment horizontal="center" vertical="center" wrapText="1"/>
    </xf>
    <xf numFmtId="0" fontId="183" fillId="3" borderId="24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3" fontId="201" fillId="0" borderId="22" xfId="0" applyNumberFormat="1" applyFont="1" applyFill="1" applyBorder="1" applyAlignment="1">
      <alignment horizontal="center" vertical="center" wrapText="1"/>
    </xf>
    <xf numFmtId="0" fontId="201" fillId="0" borderId="22" xfId="0" applyFont="1" applyFill="1" applyBorder="1" applyAlignment="1">
      <alignment horizontal="left" vertical="center" wrapText="1"/>
    </xf>
    <xf numFmtId="0" fontId="202" fillId="0" borderId="22" xfId="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4" fontId="201" fillId="0" borderId="22" xfId="10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203" fillId="0" borderId="27" xfId="0" applyFont="1" applyBorder="1" applyAlignment="1">
      <alignment horizontal="center" vertical="center"/>
    </xf>
    <xf numFmtId="0" fontId="203" fillId="0" borderId="31" xfId="0" applyFont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98" fillId="0" borderId="14" xfId="0" applyFont="1" applyFill="1" applyBorder="1" applyAlignment="1">
      <alignment horizontal="center" vertical="center"/>
    </xf>
    <xf numFmtId="10" fontId="199" fillId="0" borderId="1" xfId="0" applyNumberFormat="1" applyFont="1" applyFill="1" applyBorder="1" applyAlignment="1">
      <alignment horizontal="center" vertical="center" wrapText="1"/>
    </xf>
    <xf numFmtId="10" fontId="200" fillId="0" borderId="1" xfId="0" applyNumberFormat="1" applyFont="1" applyFill="1" applyBorder="1" applyAlignment="1">
      <alignment horizontal="center" vertical="center" wrapText="1"/>
    </xf>
    <xf numFmtId="2" fontId="179" fillId="0" borderId="1" xfId="0" applyNumberFormat="1" applyFont="1" applyFill="1" applyBorder="1" applyAlignment="1">
      <alignment horizontal="center" vertical="center" wrapText="1"/>
    </xf>
    <xf numFmtId="10" fontId="179" fillId="0" borderId="1" xfId="0" applyNumberFormat="1" applyFont="1" applyFill="1" applyBorder="1" applyAlignment="1">
      <alignment horizontal="center" vertical="center" wrapText="1"/>
    </xf>
    <xf numFmtId="197" fontId="179" fillId="0" borderId="1" xfId="0" applyNumberFormat="1" applyFont="1" applyFill="1" applyBorder="1" applyAlignment="1">
      <alignment horizontal="center" vertical="center" wrapText="1"/>
    </xf>
    <xf numFmtId="0" fontId="199" fillId="0" borderId="1" xfId="0" applyFont="1" applyFill="1" applyBorder="1" applyAlignment="1">
      <alignment horizontal="center" vertical="center" wrapText="1"/>
    </xf>
    <xf numFmtId="0" fontId="180" fillId="0" borderId="32" xfId="0" applyFont="1" applyFill="1" applyBorder="1" applyAlignment="1">
      <alignment horizontal="center" vertical="center" wrapText="1"/>
    </xf>
    <xf numFmtId="0" fontId="180" fillId="0" borderId="33" xfId="0" applyFont="1" applyFill="1" applyBorder="1" applyAlignment="1">
      <alignment horizontal="center" vertical="center" wrapText="1"/>
    </xf>
    <xf numFmtId="0" fontId="180" fillId="0" borderId="34" xfId="0" applyFont="1" applyFill="1" applyBorder="1" applyAlignment="1">
      <alignment horizontal="center" vertical="center" wrapText="1"/>
    </xf>
    <xf numFmtId="4" fontId="180" fillId="0" borderId="32" xfId="0" applyNumberFormat="1" applyFont="1" applyFill="1" applyBorder="1" applyAlignment="1">
      <alignment horizontal="center" vertical="center"/>
    </xf>
    <xf numFmtId="4" fontId="180" fillId="0" borderId="33" xfId="0" applyNumberFormat="1" applyFont="1" applyFill="1" applyBorder="1" applyAlignment="1">
      <alignment horizontal="center" vertical="center"/>
    </xf>
    <xf numFmtId="4" fontId="180" fillId="0" borderId="34" xfId="0" applyNumberFormat="1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10" fontId="179" fillId="0" borderId="27" xfId="0" applyNumberFormat="1" applyFont="1" applyFill="1" applyBorder="1" applyAlignment="1">
      <alignment horizontal="center" vertical="center" wrapText="1"/>
    </xf>
    <xf numFmtId="10" fontId="179" fillId="0" borderId="21" xfId="0" applyNumberFormat="1" applyFont="1" applyFill="1" applyBorder="1" applyAlignment="1">
      <alignment horizontal="center" vertical="center" wrapText="1"/>
    </xf>
    <xf numFmtId="10" fontId="179" fillId="0" borderId="31" xfId="0" applyNumberFormat="1" applyFont="1" applyFill="1" applyBorder="1" applyAlignment="1">
      <alignment horizontal="center" vertical="center" wrapText="1"/>
    </xf>
    <xf numFmtId="197" fontId="179" fillId="0" borderId="15" xfId="0" quotePrefix="1" applyNumberFormat="1" applyFont="1" applyFill="1" applyBorder="1" applyAlignment="1">
      <alignment horizontal="center" vertical="center" wrapText="1"/>
    </xf>
    <xf numFmtId="197" fontId="179" fillId="0" borderId="20" xfId="0" quotePrefix="1" applyNumberFormat="1" applyFont="1" applyFill="1" applyBorder="1" applyAlignment="1">
      <alignment horizontal="center" vertical="center" wrapText="1"/>
    </xf>
    <xf numFmtId="197" fontId="179" fillId="0" borderId="15" xfId="0" applyNumberFormat="1" applyFont="1" applyFill="1" applyBorder="1" applyAlignment="1">
      <alignment horizontal="center" vertical="center" wrapText="1"/>
    </xf>
    <xf numFmtId="197" fontId="179" fillId="0" borderId="20" xfId="0" applyNumberFormat="1" applyFont="1" applyFill="1" applyBorder="1" applyAlignment="1">
      <alignment horizontal="center" vertical="center" wrapText="1"/>
    </xf>
    <xf numFmtId="4" fontId="180" fillId="0" borderId="6" xfId="0" applyNumberFormat="1" applyFont="1" applyFill="1" applyBorder="1" applyAlignment="1">
      <alignment vertical="center"/>
    </xf>
    <xf numFmtId="3" fontId="180" fillId="0" borderId="23" xfId="0" quotePrefix="1" applyNumberFormat="1" applyFont="1" applyFill="1" applyBorder="1" applyAlignment="1">
      <alignment vertical="center"/>
    </xf>
    <xf numFmtId="3" fontId="180" fillId="0" borderId="18" xfId="0" quotePrefix="1" applyNumberFormat="1" applyFont="1" applyFill="1" applyBorder="1" applyAlignment="1">
      <alignment vertical="center"/>
    </xf>
    <xf numFmtId="4" fontId="201" fillId="0" borderId="23" xfId="10" applyNumberFormat="1" applyFont="1" applyFill="1" applyBorder="1" applyAlignment="1">
      <alignment vertical="center"/>
    </xf>
    <xf numFmtId="4" fontId="201" fillId="0" borderId="18" xfId="10" applyNumberFormat="1" applyFont="1" applyFill="1" applyBorder="1" applyAlignment="1">
      <alignment vertical="center"/>
    </xf>
    <xf numFmtId="0" fontId="201" fillId="0" borderId="23" xfId="0" applyFont="1" applyFill="1" applyBorder="1" applyAlignment="1">
      <alignment vertical="center" wrapText="1"/>
    </xf>
    <xf numFmtId="0" fontId="201" fillId="0" borderId="22" xfId="0" applyFont="1" applyFill="1" applyBorder="1" applyAlignment="1">
      <alignment vertical="center" wrapText="1"/>
    </xf>
    <xf numFmtId="0" fontId="201" fillId="0" borderId="18" xfId="0" applyFont="1" applyFill="1" applyBorder="1" applyAlignment="1">
      <alignment vertical="center" wrapText="1"/>
    </xf>
    <xf numFmtId="3" fontId="180" fillId="0" borderId="22" xfId="0" quotePrefix="1" applyNumberFormat="1" applyFont="1" applyFill="1" applyBorder="1" applyAlignment="1">
      <alignment vertical="center"/>
    </xf>
    <xf numFmtId="4" fontId="201" fillId="0" borderId="22" xfId="10" applyNumberFormat="1" applyFont="1" applyFill="1" applyBorder="1" applyAlignment="1">
      <alignment vertical="center"/>
    </xf>
    <xf numFmtId="0" fontId="180" fillId="0" borderId="6" xfId="0" applyFont="1" applyFill="1" applyBorder="1" applyAlignment="1">
      <alignment vertical="center" wrapText="1"/>
    </xf>
    <xf numFmtId="0" fontId="203" fillId="0" borderId="27" xfId="0" applyFont="1" applyFill="1" applyBorder="1" applyAlignment="1">
      <alignment horizontal="center" vertical="center"/>
    </xf>
    <xf numFmtId="0" fontId="203" fillId="0" borderId="31" xfId="0" applyFont="1" applyFill="1" applyBorder="1" applyAlignment="1">
      <alignment horizontal="center" vertical="center"/>
    </xf>
    <xf numFmtId="0" fontId="203" fillId="0" borderId="1" xfId="0" applyFont="1" applyFill="1" applyBorder="1" applyAlignment="1">
      <alignment horizontal="center" vertical="center" wrapText="1"/>
    </xf>
    <xf numFmtId="0" fontId="203" fillId="0" borderId="1" xfId="0" applyFont="1" applyFill="1" applyBorder="1" applyAlignment="1">
      <alignment horizontal="center" vertical="center"/>
    </xf>
    <xf numFmtId="0" fontId="203" fillId="0" borderId="15" xfId="0" applyFont="1" applyBorder="1" applyAlignment="1">
      <alignment horizontal="center"/>
    </xf>
    <xf numFmtId="0" fontId="203" fillId="0" borderId="20" xfId="0" applyFont="1" applyBorder="1" applyAlignment="1">
      <alignment horizontal="center"/>
    </xf>
    <xf numFmtId="0" fontId="203" fillId="0" borderId="1" xfId="0" applyFont="1" applyBorder="1" applyAlignment="1">
      <alignment horizontal="center" vertical="center"/>
    </xf>
    <xf numFmtId="0" fontId="203" fillId="0" borderId="15" xfId="0" applyFont="1" applyBorder="1" applyAlignment="1">
      <alignment horizontal="center" vertical="center" wrapText="1"/>
    </xf>
    <xf numFmtId="0" fontId="203" fillId="0" borderId="20" xfId="0" applyFont="1" applyBorder="1" applyAlignment="1">
      <alignment horizontal="center" vertical="center" wrapText="1"/>
    </xf>
    <xf numFmtId="0" fontId="203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horizontal="center" vertical="center" wrapText="1"/>
    </xf>
    <xf numFmtId="10" fontId="248" fillId="0" borderId="16" xfId="0" applyNumberFormat="1" applyFont="1" applyFill="1" applyBorder="1" applyAlignment="1">
      <alignment horizontal="center" vertical="center" wrapText="1"/>
    </xf>
    <xf numFmtId="10" fontId="248" fillId="0" borderId="6" xfId="0" applyNumberFormat="1" applyFont="1" applyFill="1" applyBorder="1" applyAlignment="1">
      <alignment horizontal="center" vertical="center" wrapText="1"/>
    </xf>
    <xf numFmtId="2" fontId="248" fillId="0" borderId="16" xfId="0" applyNumberFormat="1" applyFont="1" applyFill="1" applyBorder="1" applyAlignment="1">
      <alignment horizontal="center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1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248" fillId="0" borderId="16" xfId="0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0" fontId="197" fillId="0" borderId="27" xfId="0" applyFont="1" applyBorder="1" applyAlignment="1">
      <alignment horizontal="center"/>
    </xf>
    <xf numFmtId="0" fontId="197" fillId="0" borderId="21" xfId="0" applyFont="1" applyBorder="1" applyAlignment="1">
      <alignment horizontal="center"/>
    </xf>
    <xf numFmtId="0" fontId="197" fillId="0" borderId="31" xfId="0" applyFont="1" applyBorder="1" applyAlignment="1">
      <alignment horizontal="center"/>
    </xf>
    <xf numFmtId="4" fontId="249" fillId="0" borderId="6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0" fontId="203" fillId="0" borderId="21" xfId="0" applyFont="1" applyBorder="1" applyAlignment="1">
      <alignment horizontal="center" vertical="center"/>
    </xf>
    <xf numFmtId="10" fontId="199" fillId="0" borderId="16" xfId="0" applyNumberFormat="1" applyFont="1" applyFill="1" applyBorder="1" applyAlignment="1">
      <alignment horizontal="center" vertical="center" wrapText="1"/>
    </xf>
    <xf numFmtId="10" fontId="199" fillId="0" borderId="6" xfId="0" applyNumberFormat="1" applyFont="1" applyFill="1" applyBorder="1" applyAlignment="1">
      <alignment horizontal="center" vertical="center" wrapText="1"/>
    </xf>
    <xf numFmtId="10" fontId="200" fillId="0" borderId="16" xfId="0" applyNumberFormat="1" applyFont="1" applyFill="1" applyBorder="1" applyAlignment="1">
      <alignment horizontal="center" vertical="center" wrapText="1"/>
    </xf>
    <xf numFmtId="10" fontId="200" fillId="0" borderId="6" xfId="0" applyNumberFormat="1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0" fontId="179" fillId="0" borderId="16" xfId="0" applyNumberFormat="1" applyFont="1" applyFill="1" applyBorder="1" applyAlignment="1">
      <alignment horizontal="center" vertical="center" wrapText="1"/>
    </xf>
    <xf numFmtId="10" fontId="179" fillId="0" borderId="6" xfId="0" applyNumberFormat="1" applyFont="1" applyFill="1" applyBorder="1" applyAlignment="1">
      <alignment horizontal="center" vertical="center" wrapText="1"/>
    </xf>
    <xf numFmtId="197" fontId="179" fillId="0" borderId="1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center" vertical="center" wrapText="1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197" fontId="179" fillId="0" borderId="23" xfId="10" applyNumberFormat="1" applyFont="1" applyFill="1" applyBorder="1" applyAlignment="1">
      <alignment horizontal="center" vertical="center"/>
    </xf>
    <xf numFmtId="197" fontId="179" fillId="0" borderId="22" xfId="10" applyNumberFormat="1" applyFont="1" applyFill="1" applyBorder="1" applyAlignment="1">
      <alignment horizontal="center" vertical="center"/>
    </xf>
    <xf numFmtId="197" fontId="179" fillId="0" borderId="18" xfId="10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 wrapText="1"/>
    </xf>
    <xf numFmtId="4" fontId="201" fillId="0" borderId="22" xfId="10" applyNumberFormat="1" applyFont="1" applyFill="1" applyBorder="1" applyAlignment="1">
      <alignment horizontal="center" vertical="center" wrapText="1"/>
    </xf>
    <xf numFmtId="4" fontId="201" fillId="0" borderId="18" xfId="1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/>
    </xf>
    <xf numFmtId="0" fontId="201" fillId="0" borderId="22" xfId="0" applyFont="1" applyFill="1" applyBorder="1" applyAlignment="1">
      <alignment horizontal="left" vertical="center"/>
    </xf>
    <xf numFmtId="0" fontId="201" fillId="0" borderId="18" xfId="0" applyFont="1" applyFill="1" applyBorder="1" applyAlignment="1">
      <alignment horizontal="left" vertical="center"/>
    </xf>
    <xf numFmtId="197" fontId="180" fillId="0" borderId="23" xfId="0" quotePrefix="1" applyNumberFormat="1" applyFont="1" applyFill="1" applyBorder="1" applyAlignment="1">
      <alignment horizontal="center" vertical="center"/>
    </xf>
    <xf numFmtId="197" fontId="180" fillId="0" borderId="22" xfId="0" quotePrefix="1" applyNumberFormat="1" applyFont="1" applyFill="1" applyBorder="1" applyAlignment="1">
      <alignment horizontal="center" vertical="center"/>
    </xf>
    <xf numFmtId="197" fontId="180" fillId="0" borderId="18" xfId="0" quotePrefix="1" applyNumberFormat="1" applyFont="1" applyFill="1" applyBorder="1" applyAlignment="1">
      <alignment horizontal="center" vertical="center"/>
    </xf>
    <xf numFmtId="0" fontId="259" fillId="0" borderId="1" xfId="0" applyFont="1" applyBorder="1" applyAlignment="1">
      <alignment horizontal="center"/>
    </xf>
    <xf numFmtId="0" fontId="260" fillId="0" borderId="1" xfId="0" applyFont="1" applyBorder="1" applyAlignment="1">
      <alignment horizontal="center"/>
    </xf>
    <xf numFmtId="0" fontId="229" fillId="0" borderId="0" xfId="0" applyFont="1" applyAlignment="1">
      <alignment horizontal="center"/>
    </xf>
    <xf numFmtId="0" fontId="258" fillId="0" borderId="24" xfId="0" applyFont="1" applyBorder="1" applyAlignment="1">
      <alignment horizontal="center"/>
    </xf>
    <xf numFmtId="0" fontId="195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89" fillId="0" borderId="1" xfId="0" applyFont="1" applyBorder="1" applyAlignment="1">
      <alignment horizontal="center"/>
    </xf>
    <xf numFmtId="0" fontId="38" fillId="0" borderId="15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232" fillId="0" borderId="1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0" xfId="274" applyFont="1" applyFill="1" applyBorder="1" applyAlignment="1">
      <alignment horizontal="center"/>
    </xf>
    <xf numFmtId="0" fontId="16" fillId="0" borderId="0" xfId="274" applyFont="1" applyFill="1" applyBorder="1" applyAlignment="1">
      <alignment horizontal="center"/>
    </xf>
    <xf numFmtId="0" fontId="12" fillId="0" borderId="0" xfId="274" applyFont="1" applyFill="1" applyBorder="1" applyAlignment="1">
      <alignment horizontal="center" vertical="center"/>
    </xf>
    <xf numFmtId="0" fontId="22" fillId="0" borderId="15" xfId="274" quotePrefix="1" applyFont="1" applyFill="1" applyBorder="1" applyAlignment="1">
      <alignment horizontal="center" vertical="center" wrapText="1"/>
    </xf>
    <xf numFmtId="0" fontId="22" fillId="0" borderId="22" xfId="274" quotePrefix="1" applyFont="1" applyFill="1" applyBorder="1" applyAlignment="1">
      <alignment horizontal="center" vertical="center" wrapText="1"/>
    </xf>
    <xf numFmtId="0" fontId="22" fillId="0" borderId="20" xfId="274" quotePrefix="1" applyFont="1" applyFill="1" applyBorder="1" applyAlignment="1">
      <alignment horizontal="center" vertical="center" wrapText="1"/>
    </xf>
    <xf numFmtId="0" fontId="21" fillId="0" borderId="15" xfId="274" applyFont="1" applyFill="1" applyBorder="1" applyAlignment="1">
      <alignment horizontal="center" vertical="center" wrapText="1"/>
    </xf>
    <xf numFmtId="0" fontId="21" fillId="0" borderId="22" xfId="274" applyFont="1" applyFill="1" applyBorder="1" applyAlignment="1">
      <alignment horizontal="center" vertical="center" wrapText="1"/>
    </xf>
    <xf numFmtId="0" fontId="21" fillId="0" borderId="20" xfId="274" applyFont="1" applyFill="1" applyBorder="1" applyAlignment="1">
      <alignment horizontal="center" vertical="center" wrapText="1"/>
    </xf>
    <xf numFmtId="0" fontId="21" fillId="0" borderId="16" xfId="274" applyFont="1" applyFill="1" applyBorder="1" applyAlignment="1">
      <alignment horizontal="center" vertical="center" wrapText="1"/>
    </xf>
    <xf numFmtId="0" fontId="21" fillId="0" borderId="6" xfId="274" applyFont="1" applyFill="1" applyBorder="1" applyAlignment="1">
      <alignment horizontal="center" vertical="center" wrapText="1"/>
    </xf>
    <xf numFmtId="0" fontId="21" fillId="0" borderId="17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horizontal="center" vertical="center" wrapText="1"/>
    </xf>
    <xf numFmtId="0" fontId="101" fillId="0" borderId="8" xfId="274" applyFont="1" applyFill="1" applyBorder="1" applyAlignment="1">
      <alignment horizontal="center" vertical="center" wrapText="1"/>
    </xf>
    <xf numFmtId="0" fontId="21" fillId="0" borderId="73" xfId="274" applyFont="1" applyFill="1" applyBorder="1" applyAlignment="1">
      <alignment horizontal="center" vertical="center" wrapText="1"/>
    </xf>
    <xf numFmtId="0" fontId="38" fillId="0" borderId="79" xfId="274" applyFont="1" applyFill="1" applyBorder="1" applyAlignment="1">
      <alignment horizontal="center"/>
    </xf>
    <xf numFmtId="0" fontId="38" fillId="0" borderId="80" xfId="274" applyFont="1" applyFill="1" applyBorder="1" applyAlignment="1">
      <alignment horizontal="center"/>
    </xf>
    <xf numFmtId="0" fontId="2" fillId="0" borderId="16" xfId="274" applyFont="1" applyFill="1" applyBorder="1" applyAlignment="1">
      <alignment horizontal="center" vertical="center" wrapText="1"/>
    </xf>
    <xf numFmtId="0" fontId="2" fillId="0" borderId="6" xfId="274" applyFont="1" applyFill="1" applyBorder="1" applyAlignment="1">
      <alignment horizontal="center" vertical="center" wrapText="1"/>
    </xf>
    <xf numFmtId="0" fontId="2" fillId="0" borderId="17" xfId="274" applyFont="1" applyFill="1" applyBorder="1" applyAlignment="1">
      <alignment horizontal="center" vertical="center" wrapText="1"/>
    </xf>
    <xf numFmtId="0" fontId="2" fillId="0" borderId="77" xfId="274" applyFont="1" applyFill="1" applyBorder="1" applyAlignment="1">
      <alignment horizontal="center" vertical="center" wrapText="1"/>
    </xf>
    <xf numFmtId="0" fontId="2" fillId="0" borderId="39" xfId="274" applyFont="1" applyFill="1" applyBorder="1" applyAlignment="1">
      <alignment horizontal="center" vertical="center" wrapText="1"/>
    </xf>
    <xf numFmtId="0" fontId="2" fillId="0" borderId="49" xfId="274" applyFont="1" applyFill="1" applyBorder="1" applyAlignment="1">
      <alignment horizontal="center" vertical="center" wrapText="1"/>
    </xf>
    <xf numFmtId="0" fontId="2" fillId="0" borderId="8" xfId="274" applyFont="1" applyFill="1" applyBorder="1" applyAlignment="1">
      <alignment horizontal="center" vertical="center" wrapText="1"/>
    </xf>
    <xf numFmtId="0" fontId="2" fillId="0" borderId="78" xfId="274" applyFont="1" applyFill="1" applyBorder="1" applyAlignment="1">
      <alignment horizontal="center" vertical="center" wrapText="1"/>
    </xf>
    <xf numFmtId="0" fontId="2" fillId="0" borderId="40" xfId="274" applyFont="1" applyFill="1" applyBorder="1" applyAlignment="1">
      <alignment horizontal="center" vertical="center" wrapText="1"/>
    </xf>
    <xf numFmtId="0" fontId="20" fillId="0" borderId="39" xfId="274" applyFont="1" applyFill="1" applyBorder="1" applyAlignment="1">
      <alignment horizontal="center" vertical="center"/>
    </xf>
    <xf numFmtId="0" fontId="20" fillId="0" borderId="72" xfId="274" applyFont="1" applyFill="1" applyBorder="1" applyAlignment="1">
      <alignment horizontal="center" vertical="center"/>
    </xf>
    <xf numFmtId="0" fontId="208" fillId="0" borderId="0" xfId="274" applyFont="1" applyFill="1" applyBorder="1" applyAlignment="1">
      <alignment horizontal="center"/>
    </xf>
    <xf numFmtId="0" fontId="8" fillId="0" borderId="8" xfId="274" quotePrefix="1" applyFont="1" applyFill="1" applyBorder="1" applyAlignment="1">
      <alignment horizontal="center" vertical="center" wrapText="1"/>
    </xf>
    <xf numFmtId="0" fontId="23" fillId="0" borderId="0" xfId="274" applyFont="1" applyFill="1" applyBorder="1" applyAlignment="1">
      <alignment horizontal="center"/>
    </xf>
    <xf numFmtId="0" fontId="207" fillId="7" borderId="0" xfId="274" applyFont="1" applyFill="1" applyBorder="1" applyAlignment="1">
      <alignment horizontal="center" vertical="center" wrapText="1"/>
    </xf>
    <xf numFmtId="0" fontId="2" fillId="0" borderId="1" xfId="274" applyFont="1" applyFill="1" applyBorder="1" applyAlignment="1">
      <alignment horizontal="center"/>
    </xf>
    <xf numFmtId="0" fontId="8" fillId="0" borderId="10" xfId="274" quotePrefix="1" applyFont="1" applyFill="1" applyBorder="1" applyAlignment="1">
      <alignment horizontal="center" vertical="center" wrapText="1"/>
    </xf>
    <xf numFmtId="0" fontId="21" fillId="0" borderId="23" xfId="274" applyFont="1" applyFill="1" applyBorder="1" applyAlignment="1">
      <alignment horizontal="center" vertical="center" wrapText="1"/>
    </xf>
    <xf numFmtId="0" fontId="21" fillId="0" borderId="69" xfId="274" applyFont="1" applyFill="1" applyBorder="1" applyAlignment="1">
      <alignment horizontal="center"/>
    </xf>
    <xf numFmtId="0" fontId="21" fillId="0" borderId="9" xfId="274" applyFont="1" applyFill="1" applyBorder="1" applyAlignment="1">
      <alignment horizontal="center"/>
    </xf>
    <xf numFmtId="0" fontId="2" fillId="0" borderId="56" xfId="274" applyFont="1" applyFill="1" applyBorder="1" applyAlignment="1">
      <alignment horizontal="center" vertical="center" wrapText="1"/>
    </xf>
    <xf numFmtId="0" fontId="2" fillId="0" borderId="37" xfId="274" applyFont="1" applyFill="1" applyBorder="1" applyAlignment="1">
      <alignment horizontal="center" vertical="center" wrapText="1"/>
    </xf>
    <xf numFmtId="0" fontId="2" fillId="0" borderId="57" xfId="274" applyFont="1" applyFill="1" applyBorder="1" applyAlignment="1">
      <alignment horizontal="center" vertical="center" wrapText="1"/>
    </xf>
    <xf numFmtId="0" fontId="21" fillId="0" borderId="79" xfId="274" applyFont="1" applyFill="1" applyBorder="1" applyAlignment="1">
      <alignment horizontal="center"/>
    </xf>
    <xf numFmtId="0" fontId="21" fillId="0" borderId="80" xfId="274" applyFont="1" applyFill="1" applyBorder="1" applyAlignment="1">
      <alignment horizontal="center"/>
    </xf>
    <xf numFmtId="0" fontId="22" fillId="0" borderId="16" xfId="274" quotePrefix="1" applyFont="1" applyFill="1" applyBorder="1" applyAlignment="1">
      <alignment horizontal="center" vertical="center" wrapText="1"/>
    </xf>
    <xf numFmtId="0" fontId="22" fillId="0" borderId="6" xfId="274" quotePrefix="1" applyFont="1" applyFill="1" applyBorder="1" applyAlignment="1">
      <alignment horizontal="center" vertical="center" wrapText="1"/>
    </xf>
    <xf numFmtId="0" fontId="22" fillId="0" borderId="17" xfId="274" quotePrefix="1" applyFont="1" applyFill="1" applyBorder="1" applyAlignment="1">
      <alignment horizontal="center" vertical="center" wrapText="1"/>
    </xf>
    <xf numFmtId="0" fontId="8" fillId="0" borderId="42" xfId="274" quotePrefix="1" applyFont="1" applyFill="1" applyBorder="1" applyAlignment="1">
      <alignment horizontal="center" vertical="center" wrapText="1"/>
    </xf>
    <xf numFmtId="0" fontId="8" fillId="0" borderId="9" xfId="274" quotePrefix="1" applyFont="1" applyFill="1" applyBorder="1" applyAlignment="1">
      <alignment horizontal="center" vertical="center" wrapText="1"/>
    </xf>
    <xf numFmtId="0" fontId="8" fillId="0" borderId="70" xfId="274" quotePrefix="1" applyFont="1" applyFill="1" applyBorder="1" applyAlignment="1">
      <alignment horizontal="center" vertical="center" wrapText="1"/>
    </xf>
    <xf numFmtId="0" fontId="8" fillId="0" borderId="69" xfId="274" quotePrefix="1" applyFont="1" applyFill="1" applyBorder="1" applyAlignment="1">
      <alignment horizontal="center" vertical="center" wrapText="1"/>
    </xf>
    <xf numFmtId="0" fontId="8" fillId="0" borderId="59" xfId="274" quotePrefix="1" applyFont="1" applyFill="1" applyBorder="1" applyAlignment="1">
      <alignment horizontal="center" vertical="center" wrapText="1"/>
    </xf>
    <xf numFmtId="0" fontId="8" fillId="0" borderId="39" xfId="274" quotePrefix="1" applyFont="1" applyFill="1" applyBorder="1" applyAlignment="1">
      <alignment horizontal="center" vertical="center" wrapText="1"/>
    </xf>
    <xf numFmtId="0" fontId="8" fillId="0" borderId="40" xfId="274" quotePrefix="1" applyFont="1" applyFill="1" applyBorder="1" applyAlignment="1">
      <alignment horizontal="center" vertical="center" wrapText="1"/>
    </xf>
    <xf numFmtId="0" fontId="8" fillId="0" borderId="71" xfId="274" quotePrefix="1" applyFont="1" applyFill="1" applyBorder="1" applyAlignment="1">
      <alignment horizontal="center" vertical="center" wrapText="1"/>
    </xf>
    <xf numFmtId="0" fontId="8" fillId="0" borderId="48" xfId="274" quotePrefix="1" applyFont="1" applyFill="1" applyBorder="1" applyAlignment="1">
      <alignment horizontal="center" vertical="center" wrapText="1"/>
    </xf>
    <xf numFmtId="0" fontId="13" fillId="0" borderId="0" xfId="274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11" fillId="0" borderId="27" xfId="254" applyFont="1" applyBorder="1" applyAlignment="1">
      <alignment horizontal="center" vertical="center" wrapText="1"/>
    </xf>
    <xf numFmtId="0" fontId="11" fillId="0" borderId="21" xfId="254" applyFont="1" applyBorder="1" applyAlignment="1">
      <alignment horizontal="center" vertical="center" wrapText="1"/>
    </xf>
    <xf numFmtId="0" fontId="11" fillId="0" borderId="31" xfId="254" applyFont="1" applyBorder="1" applyAlignment="1">
      <alignment horizontal="center" vertical="center" wrapText="1"/>
    </xf>
    <xf numFmtId="0" fontId="11" fillId="0" borderId="27" xfId="254" applyFont="1" applyBorder="1" applyAlignment="1">
      <alignment horizontal="center" vertical="center" shrinkToFit="1"/>
    </xf>
    <xf numFmtId="0" fontId="11" fillId="0" borderId="21" xfId="254" applyFont="1" applyBorder="1" applyAlignment="1">
      <alignment horizontal="center" vertical="center" shrinkToFit="1"/>
    </xf>
    <xf numFmtId="0" fontId="34" fillId="0" borderId="24" xfId="254" applyFont="1" applyBorder="1" applyAlignment="1">
      <alignment horizontal="left" vertical="center" indent="14" shrinkToFit="1"/>
    </xf>
    <xf numFmtId="0" fontId="56" fillId="0" borderId="0" xfId="254" applyFont="1" applyAlignment="1">
      <alignment horizontal="center"/>
    </xf>
    <xf numFmtId="3" fontId="56" fillId="0" borderId="0" xfId="254" applyNumberFormat="1" applyFont="1" applyAlignment="1">
      <alignment horizontal="left" indent="7"/>
    </xf>
    <xf numFmtId="0" fontId="134" fillId="7" borderId="0" xfId="0" applyFont="1" applyFill="1" applyAlignment="1">
      <alignment horizontal="center"/>
    </xf>
    <xf numFmtId="0" fontId="158" fillId="7" borderId="0" xfId="0" applyFont="1" applyFill="1" applyAlignment="1">
      <alignment horizontal="center"/>
    </xf>
    <xf numFmtId="0" fontId="98" fillId="7" borderId="24" xfId="0" applyFont="1" applyFill="1" applyBorder="1" applyAlignment="1">
      <alignment horizontal="center" vertical="center" shrinkToFit="1"/>
    </xf>
    <xf numFmtId="0" fontId="144" fillId="7" borderId="15" xfId="0" applyFont="1" applyFill="1" applyBorder="1" applyAlignment="1">
      <alignment horizontal="center" vertical="center" wrapText="1"/>
    </xf>
    <xf numFmtId="0" fontId="144" fillId="7" borderId="20" xfId="0" applyFont="1" applyFill="1" applyBorder="1" applyAlignment="1">
      <alignment horizontal="center" vertical="center" wrapText="1"/>
    </xf>
    <xf numFmtId="0" fontId="144" fillId="7" borderId="1" xfId="0" applyFont="1" applyFill="1" applyBorder="1" applyAlignment="1">
      <alignment horizontal="center" vertical="center"/>
    </xf>
    <xf numFmtId="0" fontId="154" fillId="7" borderId="15" xfId="0" applyFont="1" applyFill="1" applyBorder="1" applyAlignment="1">
      <alignment horizontal="center" vertical="center"/>
    </xf>
    <xf numFmtId="0" fontId="154" fillId="7" borderId="20" xfId="0" applyFont="1" applyFill="1" applyBorder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27" xfId="0" applyFont="1" applyFill="1" applyBorder="1" applyAlignment="1">
      <alignment horizontal="center" vertical="center" wrapText="1"/>
    </xf>
    <xf numFmtId="0" fontId="144" fillId="7" borderId="21" xfId="0" applyFont="1" applyFill="1" applyBorder="1" applyAlignment="1">
      <alignment horizontal="center" vertical="center" wrapText="1"/>
    </xf>
    <xf numFmtId="191" fontId="144" fillId="7" borderId="1" xfId="3" applyNumberFormat="1" applyFont="1" applyFill="1" applyBorder="1" applyAlignment="1">
      <alignment horizontal="center" vertical="center" wrapText="1"/>
    </xf>
  </cellXfs>
  <cellStyles count="316">
    <cellStyle name="Comma" xfId="1" builtinId="3"/>
    <cellStyle name="Comma [0] 2" xfId="306"/>
    <cellStyle name="Comma 19" xfId="307"/>
    <cellStyle name="Comma 2" xfId="2"/>
    <cellStyle name="Comma 2 2" xfId="3"/>
    <cellStyle name="Comma 2 3" xfId="4"/>
    <cellStyle name="Comma 2 4" xfId="5"/>
    <cellStyle name="Comma 2 5" xfId="6"/>
    <cellStyle name="Comma 2 6" xfId="7"/>
    <cellStyle name="Comma 2 7" xfId="290"/>
    <cellStyle name="Comma 2 8" xfId="298"/>
    <cellStyle name="Comma 3" xfId="8"/>
    <cellStyle name="Comma 3 2" xfId="9"/>
    <cellStyle name="Comma 3 3" xfId="291"/>
    <cellStyle name="Comma 3 4" xfId="299"/>
    <cellStyle name="Comma 4" xfId="10"/>
    <cellStyle name="Comma 4 2" xfId="11"/>
    <cellStyle name="Comma 4 2 2" xfId="301"/>
    <cellStyle name="Comma 4 3" xfId="300"/>
    <cellStyle name="Comma 6" xfId="12"/>
    <cellStyle name="Comma 6 2" xfId="302"/>
    <cellStyle name="Comma_Sheet1" xfId="13"/>
    <cellStyle name="Comma0" xfId="14"/>
    <cellStyle name="Comma0 2" xfId="15"/>
    <cellStyle name="Currency" xfId="288" builtinId="4"/>
    <cellStyle name="Currency 2" xfId="16"/>
    <cellStyle name="Currency 3" xfId="308"/>
    <cellStyle name="Currency0" xfId="17"/>
    <cellStyle name="Currency0 2" xfId="18"/>
    <cellStyle name="Date" xfId="19"/>
    <cellStyle name="Date 2" xfId="20"/>
    <cellStyle name="Dấu_phảy 2" xfId="21"/>
    <cellStyle name="Fixed" xfId="22"/>
    <cellStyle name="Fixed 2" xfId="23"/>
    <cellStyle name="Normal" xfId="0" builtinId="0"/>
    <cellStyle name="Normal 10" xfId="305"/>
    <cellStyle name="Normal 16" xfId="24"/>
    <cellStyle name="Normal 16 2" xfId="309"/>
    <cellStyle name="Normal 2" xfId="25"/>
    <cellStyle name="Normal 2 2" xfId="26"/>
    <cellStyle name="Normal 2 2 2" xfId="27"/>
    <cellStyle name="Normal 2 2 2 2" xfId="28"/>
    <cellStyle name="Normal 2 2 2 2 2" xfId="29"/>
    <cellStyle name="Normal 2 2 2 2 2 2" xfId="30"/>
    <cellStyle name="Normal 2 2 2 2 2 2 2" xfId="31"/>
    <cellStyle name="Normal 2 2 2 2 2 2 2 2" xfId="32"/>
    <cellStyle name="Normal 2 2 2 2 2 2 2 2 2" xfId="33"/>
    <cellStyle name="Normal 2 2 2 2 2 2 2 2 2 2" xfId="34"/>
    <cellStyle name="Normal 2 2 2 2 2 2 2 2 2 2 2" xfId="35"/>
    <cellStyle name="Normal 2 2 2 2 2 2 2 2 3" xfId="36"/>
    <cellStyle name="Normal 2 2 2 2 2 2 2 2 4" xfId="37"/>
    <cellStyle name="Normal 2 2 2 2 2 2 2 3" xfId="38"/>
    <cellStyle name="Normal 2 2 2 2 2 2 2 3 2" xfId="39"/>
    <cellStyle name="Normal 2 2 2 2 2 2 2 3 2 2" xfId="40"/>
    <cellStyle name="Normal 2 2 2 2 2 2 2 4" xfId="41"/>
    <cellStyle name="Normal 2 2 2 2 2 2 3" xfId="42"/>
    <cellStyle name="Normal 2 2 2 2 2 2 4" xfId="43"/>
    <cellStyle name="Normal 2 2 2 2 2 2 4 2" xfId="44"/>
    <cellStyle name="Normal 2 2 2 2 2 2 4 2 2" xfId="45"/>
    <cellStyle name="Normal 2 2 2 2 2 2 5" xfId="46"/>
    <cellStyle name="Normal 2 2 2 2 2 2 6" xfId="47"/>
    <cellStyle name="Normal 2 2 2 2 2 3" xfId="48"/>
    <cellStyle name="Normal 2 2 2 2 2 3 2" xfId="49"/>
    <cellStyle name="Normal 2 2 2 2 2 3 2 2" xfId="50"/>
    <cellStyle name="Normal 2 2 2 2 2 3 2 2 2" xfId="51"/>
    <cellStyle name="Normal 2 2 2 2 2 3 2 2 2 2" xfId="52"/>
    <cellStyle name="Normal 2 2 2 2 2 3 2 3" xfId="53"/>
    <cellStyle name="Normal 2 2 2 2 2 3 2 4" xfId="54"/>
    <cellStyle name="Normal 2 2 2 2 2 3 3" xfId="55"/>
    <cellStyle name="Normal 2 2 2 2 2 3 3 2" xfId="56"/>
    <cellStyle name="Normal 2 2 2 2 2 3 3 2 2" xfId="57"/>
    <cellStyle name="Normal 2 2 2 2 2 3 4" xfId="58"/>
    <cellStyle name="Normal 2 2 2 2 2 4" xfId="59"/>
    <cellStyle name="Normal 2 2 2 2 2 4 2" xfId="60"/>
    <cellStyle name="Normal 2 2 2 2 2 4 2 2" xfId="61"/>
    <cellStyle name="Normal 2 2 2 2 2 5" xfId="62"/>
    <cellStyle name="Normal 2 2 2 2 2 6" xfId="63"/>
    <cellStyle name="Normal 2 2 2 2 3" xfId="64"/>
    <cellStyle name="Normal 2 2 2 2 3 2" xfId="65"/>
    <cellStyle name="Normal 2 2 2 2 3 2 2" xfId="66"/>
    <cellStyle name="Normal 2 2 2 2 3 2 2 2" xfId="67"/>
    <cellStyle name="Normal 2 2 2 2 3 2 2 2 2" xfId="68"/>
    <cellStyle name="Normal 2 2 2 2 3 2 3" xfId="69"/>
    <cellStyle name="Normal 2 2 2 2 3 2 4" xfId="70"/>
    <cellStyle name="Normal 2 2 2 2 3 3" xfId="71"/>
    <cellStyle name="Normal 2 2 2 2 3 3 2" xfId="72"/>
    <cellStyle name="Normal 2 2 2 2 3 3 2 2" xfId="73"/>
    <cellStyle name="Normal 2 2 2 2 3 4" xfId="74"/>
    <cellStyle name="Normal 2 2 2 2 4" xfId="75"/>
    <cellStyle name="Normal 2 2 2 2 5" xfId="76"/>
    <cellStyle name="Normal 2 2 2 2 5 2" xfId="77"/>
    <cellStyle name="Normal 2 2 2 2 5 2 2" xfId="78"/>
    <cellStyle name="Normal 2 2 2 2 6" xfId="79"/>
    <cellStyle name="Normal 2 2 2 2 7" xfId="80"/>
    <cellStyle name="Normal 2 2 2 3" xfId="81"/>
    <cellStyle name="Normal 2 2 2 3 2" xfId="82"/>
    <cellStyle name="Normal 2 2 2 3 2 2" xfId="83"/>
    <cellStyle name="Normal 2 2 2 3 2 2 2" xfId="84"/>
    <cellStyle name="Normal 2 2 2 3 2 2 2 2" xfId="85"/>
    <cellStyle name="Normal 2 2 2 3 2 2 2 2 2" xfId="86"/>
    <cellStyle name="Normal 2 2 2 3 2 2 3" xfId="87"/>
    <cellStyle name="Normal 2 2 2 3 2 2 4" xfId="88"/>
    <cellStyle name="Normal 2 2 2 3 2 3" xfId="89"/>
    <cellStyle name="Normal 2 2 2 3 2 3 2" xfId="90"/>
    <cellStyle name="Normal 2 2 2 3 2 3 2 2" xfId="91"/>
    <cellStyle name="Normal 2 2 2 3 2 4" xfId="92"/>
    <cellStyle name="Normal 2 2 2 3 3" xfId="93"/>
    <cellStyle name="Normal 2 2 2 3 4" xfId="94"/>
    <cellStyle name="Normal 2 2 2 3 4 2" xfId="95"/>
    <cellStyle name="Normal 2 2 2 3 4 2 2" xfId="96"/>
    <cellStyle name="Normal 2 2 2 3 5" xfId="97"/>
    <cellStyle name="Normal 2 2 2 3 6" xfId="98"/>
    <cellStyle name="Normal 2 2 2 4" xfId="99"/>
    <cellStyle name="Normal 2 2 2 4 2" xfId="100"/>
    <cellStyle name="Normal 2 2 2 4 2 2" xfId="101"/>
    <cellStyle name="Normal 2 2 2 4 2 2 2" xfId="102"/>
    <cellStyle name="Normal 2 2 2 4 2 2 2 2" xfId="103"/>
    <cellStyle name="Normal 2 2 2 4 2 3" xfId="104"/>
    <cellStyle name="Normal 2 2 2 4 2 4" xfId="105"/>
    <cellStyle name="Normal 2 2 2 4 3" xfId="106"/>
    <cellStyle name="Normal 2 2 2 4 3 2" xfId="107"/>
    <cellStyle name="Normal 2 2 2 4 3 2 2" xfId="108"/>
    <cellStyle name="Normal 2 2 2 4 4" xfId="109"/>
    <cellStyle name="Normal 2 2 2 5" xfId="110"/>
    <cellStyle name="Normal 2 2 2 5 2" xfId="111"/>
    <cellStyle name="Normal 2 2 2 5 2 2" xfId="112"/>
    <cellStyle name="Normal 2 2 2 6" xfId="113"/>
    <cellStyle name="Normal 2 2 2 7" xfId="114"/>
    <cellStyle name="Normal 2 2 3" xfId="115"/>
    <cellStyle name="Normal 2 2 3 2" xfId="116"/>
    <cellStyle name="Normal 2 2 3 2 2" xfId="117"/>
    <cellStyle name="Normal 2 2 3 2 2 2" xfId="118"/>
    <cellStyle name="Normal 2 2 3 2 2 2 2" xfId="119"/>
    <cellStyle name="Normal 2 2 3 2 2 2 2 2" xfId="120"/>
    <cellStyle name="Normal 2 2 3 2 2 2 2 2 2" xfId="121"/>
    <cellStyle name="Normal 2 2 3 2 2 2 3" xfId="122"/>
    <cellStyle name="Normal 2 2 3 2 2 2 4" xfId="123"/>
    <cellStyle name="Normal 2 2 3 2 2 3" xfId="124"/>
    <cellStyle name="Normal 2 2 3 2 2 3 2" xfId="125"/>
    <cellStyle name="Normal 2 2 3 2 2 3 2 2" xfId="126"/>
    <cellStyle name="Normal 2 2 3 2 2 4" xfId="127"/>
    <cellStyle name="Normal 2 2 3 2 3" xfId="128"/>
    <cellStyle name="Normal 2 2 3 2 4" xfId="129"/>
    <cellStyle name="Normal 2 2 3 2 4 2" xfId="130"/>
    <cellStyle name="Normal 2 2 3 2 4 2 2" xfId="131"/>
    <cellStyle name="Normal 2 2 3 2 5" xfId="132"/>
    <cellStyle name="Normal 2 2 3 2 6" xfId="133"/>
    <cellStyle name="Normal 2 2 3 3" xfId="134"/>
    <cellStyle name="Normal 2 2 3 3 2" xfId="135"/>
    <cellStyle name="Normal 2 2 3 3 2 2" xfId="136"/>
    <cellStyle name="Normal 2 2 3 3 2 2 2" xfId="137"/>
    <cellStyle name="Normal 2 2 3 3 2 2 2 2" xfId="138"/>
    <cellStyle name="Normal 2 2 3 3 2 3" xfId="139"/>
    <cellStyle name="Normal 2 2 3 3 2 4" xfId="140"/>
    <cellStyle name="Normal 2 2 3 3 3" xfId="141"/>
    <cellStyle name="Normal 2 2 3 3 3 2" xfId="142"/>
    <cellStyle name="Normal 2 2 3 3 3 2 2" xfId="143"/>
    <cellStyle name="Normal 2 2 3 3 4" xfId="144"/>
    <cellStyle name="Normal 2 2 3 4" xfId="145"/>
    <cellStyle name="Normal 2 2 3 4 2" xfId="146"/>
    <cellStyle name="Normal 2 2 3 4 2 2" xfId="147"/>
    <cellStyle name="Normal 2 2 3 5" xfId="148"/>
    <cellStyle name="Normal 2 2 3 6" xfId="149"/>
    <cellStyle name="Normal 2 2 4" xfId="150"/>
    <cellStyle name="Normal 2 2 4 2" xfId="151"/>
    <cellStyle name="Normal 2 2 4 2 2" xfId="152"/>
    <cellStyle name="Normal 2 2 4 2 2 2" xfId="153"/>
    <cellStyle name="Normal 2 2 4 2 2 2 2" xfId="154"/>
    <cellStyle name="Normal 2 2 4 2 3" xfId="155"/>
    <cellStyle name="Normal 2 2 4 2 4" xfId="156"/>
    <cellStyle name="Normal 2 2 4 3" xfId="157"/>
    <cellStyle name="Normal 2 2 4 3 2" xfId="158"/>
    <cellStyle name="Normal 2 2 4 3 2 2" xfId="159"/>
    <cellStyle name="Normal 2 2 4 4" xfId="160"/>
    <cellStyle name="Normal 2 2 5" xfId="161"/>
    <cellStyle name="Normal 2 2 6" xfId="162"/>
    <cellStyle name="Normal 2 2 6 2" xfId="163"/>
    <cellStyle name="Normal 2 2 6 2 2" xfId="164"/>
    <cellStyle name="Normal 2 2 7" xfId="165"/>
    <cellStyle name="Normal 2 2 8" xfId="166"/>
    <cellStyle name="Normal 2 3" xfId="167"/>
    <cellStyle name="Normal 2 3 2" xfId="168"/>
    <cellStyle name="Normal 2 3 2 2" xfId="169"/>
    <cellStyle name="Normal 2 3 2 2 2" xfId="170"/>
    <cellStyle name="Normal 2 3 2 2 2 2" xfId="171"/>
    <cellStyle name="Normal 2 3 2 2 2 2 2" xfId="172"/>
    <cellStyle name="Normal 2 3 2 2 2 2 2 2" xfId="173"/>
    <cellStyle name="Normal 2 3 2 2 2 2 2 2 2" xfId="174"/>
    <cellStyle name="Normal 2 3 2 2 2 2 3" xfId="175"/>
    <cellStyle name="Normal 2 3 2 2 2 2 4" xfId="176"/>
    <cellStyle name="Normal 2 3 2 2 2 3" xfId="177"/>
    <cellStyle name="Normal 2 3 2 2 2 3 2" xfId="178"/>
    <cellStyle name="Normal 2 3 2 2 2 3 2 2" xfId="179"/>
    <cellStyle name="Normal 2 3 2 2 2 4" xfId="180"/>
    <cellStyle name="Normal 2 3 2 2 3" xfId="181"/>
    <cellStyle name="Normal 2 3 2 2 4" xfId="182"/>
    <cellStyle name="Normal 2 3 2 2 4 2" xfId="183"/>
    <cellStyle name="Normal 2 3 2 2 4 2 2" xfId="184"/>
    <cellStyle name="Normal 2 3 2 2 5" xfId="185"/>
    <cellStyle name="Normal 2 3 2 2 6" xfId="186"/>
    <cellStyle name="Normal 2 3 2 2 7" xfId="293"/>
    <cellStyle name="Normal 2 3 2 3" xfId="187"/>
    <cellStyle name="Normal 2 3 2 3 2" xfId="188"/>
    <cellStyle name="Normal 2 3 2 3 2 2" xfId="189"/>
    <cellStyle name="Normal 2 3 2 3 2 2 2" xfId="190"/>
    <cellStyle name="Normal 2 3 2 3 2 2 2 2" xfId="191"/>
    <cellStyle name="Normal 2 3 2 3 2 3" xfId="192"/>
    <cellStyle name="Normal 2 3 2 3 2 4" xfId="193"/>
    <cellStyle name="Normal 2 3 2 3 3" xfId="194"/>
    <cellStyle name="Normal 2 3 2 3 3 2" xfId="195"/>
    <cellStyle name="Normal 2 3 2 3 3 2 2" xfId="196"/>
    <cellStyle name="Normal 2 3 2 3 4" xfId="197"/>
    <cellStyle name="Normal 2 3 2 4" xfId="198"/>
    <cellStyle name="Normal 2 3 2 4 2" xfId="199"/>
    <cellStyle name="Normal 2 3 2 4 2 2" xfId="200"/>
    <cellStyle name="Normal 2 3 2 5" xfId="201"/>
    <cellStyle name="Normal 2 3 2 6" xfId="202"/>
    <cellStyle name="Normal 2 3 2 7" xfId="292"/>
    <cellStyle name="Normal 2 3 3" xfId="203"/>
    <cellStyle name="Normal 2 3 3 2" xfId="204"/>
    <cellStyle name="Normal 2 3 3 2 2" xfId="205"/>
    <cellStyle name="Normal 2 3 3 2 2 2" xfId="206"/>
    <cellStyle name="Normal 2 3 3 2 2 2 2" xfId="207"/>
    <cellStyle name="Normal 2 3 3 2 3" xfId="208"/>
    <cellStyle name="Normal 2 3 3 2 4" xfId="209"/>
    <cellStyle name="Normal 2 3 3 3" xfId="210"/>
    <cellStyle name="Normal 2 3 3 3 2" xfId="211"/>
    <cellStyle name="Normal 2 3 3 3 2 2" xfId="212"/>
    <cellStyle name="Normal 2 3 3 4" xfId="213"/>
    <cellStyle name="Normal 2 3 4" xfId="214"/>
    <cellStyle name="Normal 2 3 5" xfId="215"/>
    <cellStyle name="Normal 2 3 5 2" xfId="216"/>
    <cellStyle name="Normal 2 3 5 2 2" xfId="217"/>
    <cellStyle name="Normal 2 3 6" xfId="218"/>
    <cellStyle name="Normal 2 3 7" xfId="219"/>
    <cellStyle name="Normal 2 4" xfId="220"/>
    <cellStyle name="Normal 2 4 2" xfId="221"/>
    <cellStyle name="Normal 2 4 2 2" xfId="222"/>
    <cellStyle name="Normal 2 4 2 2 2" xfId="223"/>
    <cellStyle name="Normal 2 4 2 2 2 2" xfId="224"/>
    <cellStyle name="Normal 2 4 2 2 2 2 2" xfId="225"/>
    <cellStyle name="Normal 2 4 2 2 3" xfId="226"/>
    <cellStyle name="Normal 2 4 2 2 4" xfId="227"/>
    <cellStyle name="Normal 2 4 2 3" xfId="228"/>
    <cellStyle name="Normal 2 4 2 3 2" xfId="229"/>
    <cellStyle name="Normal 2 4 2 3 2 2" xfId="230"/>
    <cellStyle name="Normal 2 4 2 4" xfId="231"/>
    <cellStyle name="Normal 2 4 3" xfId="232"/>
    <cellStyle name="Normal 2 4 4" xfId="233"/>
    <cellStyle name="Normal 2 4 4 2" xfId="234"/>
    <cellStyle name="Normal 2 4 4 2 2" xfId="235"/>
    <cellStyle name="Normal 2 4 5" xfId="236"/>
    <cellStyle name="Normal 2 4 6" xfId="237"/>
    <cellStyle name="Normal 2 5" xfId="238"/>
    <cellStyle name="Normal 2 5 2" xfId="239"/>
    <cellStyle name="Normal 2 5 2 2" xfId="240"/>
    <cellStyle name="Normal 2 5 2 2 2" xfId="241"/>
    <cellStyle name="Normal 2 5 2 2 2 2" xfId="242"/>
    <cellStyle name="Normal 2 5 2 3" xfId="243"/>
    <cellStyle name="Normal 2 5 2 4" xfId="244"/>
    <cellStyle name="Normal 2 5 3" xfId="245"/>
    <cellStyle name="Normal 2 5 3 2" xfId="246"/>
    <cellStyle name="Normal 2 5 3 2 2" xfId="247"/>
    <cellStyle name="Normal 2 5 4" xfId="248"/>
    <cellStyle name="Normal 2 6" xfId="249"/>
    <cellStyle name="Normal 2 6 2" xfId="250"/>
    <cellStyle name="Normal 2 6 2 2" xfId="251"/>
    <cellStyle name="Normal 2 7" xfId="252"/>
    <cellStyle name="Normal 2 8" xfId="253"/>
    <cellStyle name="Normal 3" xfId="254"/>
    <cellStyle name="Normal 3 2" xfId="294"/>
    <cellStyle name="Normal 3 6" xfId="310"/>
    <cellStyle name="Normal 4" xfId="255"/>
    <cellStyle name="Normal 4 2" xfId="295"/>
    <cellStyle name="Normal 4 3" xfId="311"/>
    <cellStyle name="Normal 4_lương 8" xfId="256"/>
    <cellStyle name="Normal 5" xfId="257"/>
    <cellStyle name="Normal 5 2" xfId="258"/>
    <cellStyle name="Normal 5 3" xfId="259"/>
    <cellStyle name="Normal 5 4" xfId="260"/>
    <cellStyle name="Normal 5 5" xfId="261"/>
    <cellStyle name="Normal 5 6" xfId="262"/>
    <cellStyle name="Normal 5 7" xfId="263"/>
    <cellStyle name="Normal 5 8" xfId="296"/>
    <cellStyle name="Normal 5 9" xfId="312"/>
    <cellStyle name="Normal 6" xfId="289"/>
    <cellStyle name="Normal 6 2" xfId="264"/>
    <cellStyle name="Normal 6 3" xfId="265"/>
    <cellStyle name="Normal 6 4" xfId="266"/>
    <cellStyle name="Normal 6 5" xfId="267"/>
    <cellStyle name="Normal 6 6" xfId="268"/>
    <cellStyle name="Normal 7" xfId="297"/>
    <cellStyle name="Normal 7 2" xfId="269"/>
    <cellStyle name="Normal 7 3" xfId="270"/>
    <cellStyle name="Normal 7 4" xfId="271"/>
    <cellStyle name="Normal 8" xfId="304"/>
    <cellStyle name="Normal 8 2" xfId="272"/>
    <cellStyle name="Normal_KE HOACH SAN XUAT HANG THANG NAM 2016" xfId="273"/>
    <cellStyle name="Normal_QuanlyQTKT" xfId="274"/>
    <cellStyle name="Normal_SANLUONGngay" xfId="303"/>
    <cellStyle name="Normal_Sheet1" xfId="275"/>
    <cellStyle name="Normal_Sheet1 2" xfId="315"/>
    <cellStyle name="Percent" xfId="287" builtinId="5"/>
    <cellStyle name="Percent 2" xfId="314"/>
    <cellStyle name="Percent 3" xfId="313"/>
    <cellStyle name="똿뗦먛귟 [0.00]_PRODUCT DETAIL Q1" xfId="276"/>
    <cellStyle name="똿뗦먛귟_PRODUCT DETAIL Q1" xfId="277"/>
    <cellStyle name="믅됞 [0.00]_PRODUCT DETAIL Q1" xfId="278"/>
    <cellStyle name="믅됞_PRODUCT DETAIL Q1" xfId="279"/>
    <cellStyle name="백분율_HOBONG" xfId="280"/>
    <cellStyle name="뷭?_BOOKSHIP" xfId="281"/>
    <cellStyle name="콤마 [0]_1202" xfId="282"/>
    <cellStyle name="콤마_1202" xfId="283"/>
    <cellStyle name="통화 [0]_1202" xfId="284"/>
    <cellStyle name="통화_1202" xfId="285"/>
    <cellStyle name="표준_(정보부문)월별인원계획" xfId="286"/>
  </cellStyles>
  <dxfs count="268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267"/>
      <tableStyleElement type="secondRowStripe" dxfId="2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12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externalLink" Target="externalLinks/externalLink5.xml"/><Relationship Id="rId113" Type="http://schemas.openxmlformats.org/officeDocument/2006/relationships/externalLink" Target="externalLinks/externalLink13.xml"/><Relationship Id="rId118" Type="http://schemas.openxmlformats.org/officeDocument/2006/relationships/externalLink" Target="externalLinks/externalLink18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3.xml"/><Relationship Id="rId108" Type="http://schemas.openxmlformats.org/officeDocument/2006/relationships/externalLink" Target="externalLinks/externalLink8.xml"/><Relationship Id="rId116" Type="http://schemas.openxmlformats.org/officeDocument/2006/relationships/externalLink" Target="externalLinks/externalLink16.xml"/><Relationship Id="rId124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6.xml"/><Relationship Id="rId114" Type="http://schemas.openxmlformats.org/officeDocument/2006/relationships/externalLink" Target="externalLinks/externalLink14.xml"/><Relationship Id="rId119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externalLink" Target="externalLinks/externalLink1.xml"/><Relationship Id="rId122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4.xml"/><Relationship Id="rId120" Type="http://schemas.openxmlformats.org/officeDocument/2006/relationships/externalLink" Target="externalLinks/externalLink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10.xml"/><Relationship Id="rId115" Type="http://schemas.openxmlformats.org/officeDocument/2006/relationships/externalLink" Target="externalLinks/externalLink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1156607</xdr:colOff>
      <xdr:row>5</xdr:row>
      <xdr:rowOff>15875</xdr:rowOff>
    </xdr:from>
    <xdr:to>
      <xdr:col>1</xdr:col>
      <xdr:colOff>2601232</xdr:colOff>
      <xdr:row>5</xdr:row>
      <xdr:rowOff>15876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836964" y="1036411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5</xdr:row>
      <xdr:rowOff>19050</xdr:rowOff>
    </xdr:from>
    <xdr:to>
      <xdr:col>3</xdr:col>
      <xdr:colOff>180975</xdr:colOff>
      <xdr:row>5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8E5CA75-C637-4155-801E-339B3861C02E}"/>
            </a:ext>
          </a:extLst>
        </xdr:cNvPr>
        <xdr:cNvCxnSpPr/>
      </xdr:nvCxnSpPr>
      <xdr:spPr>
        <a:xfrm>
          <a:off x="1590675" y="1143000"/>
          <a:ext cx="15525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636015</xdr:colOff>
      <xdr:row>5</xdr:row>
      <xdr:rowOff>250096</xdr:rowOff>
    </xdr:from>
    <xdr:to>
      <xdr:col>49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1210015" y="1420310"/>
          <a:ext cx="1713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1145094</xdr:colOff>
      <xdr:row>5</xdr:row>
      <xdr:rowOff>98932</xdr:rowOff>
    </xdr:from>
    <xdr:to>
      <xdr:col>50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1719094" y="1269146"/>
          <a:ext cx="168677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110950</xdr:colOff>
      <xdr:row>5</xdr:row>
      <xdr:rowOff>244928</xdr:rowOff>
    </xdr:from>
    <xdr:to>
      <xdr:col>7</xdr:col>
      <xdr:colOff>299358</xdr:colOff>
      <xdr:row>5</xdr:row>
      <xdr:rowOff>248610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CxnSpPr/>
      </xdr:nvCxnSpPr>
      <xdr:spPr>
        <a:xfrm flipV="1">
          <a:off x="2845986" y="1415142"/>
          <a:ext cx="114090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1403629</xdr:colOff>
      <xdr:row>6</xdr:row>
      <xdr:rowOff>81643</xdr:rowOff>
    </xdr:from>
    <xdr:to>
      <xdr:col>50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E00-000006000000}"/>
            </a:ext>
          </a:extLst>
        </xdr:cNvPr>
        <xdr:cNvCxnSpPr/>
      </xdr:nvCxnSpPr>
      <xdr:spPr>
        <a:xfrm flipV="1">
          <a:off x="21977629" y="1524000"/>
          <a:ext cx="1222551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628022</xdr:colOff>
      <xdr:row>4</xdr:row>
      <xdr:rowOff>244929</xdr:rowOff>
    </xdr:from>
    <xdr:to>
      <xdr:col>53</xdr:col>
      <xdr:colOff>217715</xdr:colOff>
      <xdr:row>4</xdr:row>
      <xdr:rowOff>248611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22657986" y="1074965"/>
          <a:ext cx="1004836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1648165" y="1402621"/>
          <a:ext cx="17174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2157244" y="1251457"/>
          <a:ext cx="16881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682450</xdr:colOff>
      <xdr:row>7</xdr:row>
      <xdr:rowOff>231321</xdr:rowOff>
    </xdr:from>
    <xdr:to>
      <xdr:col>49</xdr:col>
      <xdr:colOff>979715</xdr:colOff>
      <xdr:row>7</xdr:row>
      <xdr:rowOff>235003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CxnSpPr/>
      </xdr:nvCxnSpPr>
      <xdr:spPr>
        <a:xfrm flipV="1">
          <a:off x="19596379" y="1836964"/>
          <a:ext cx="1004836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E00-000006000000}"/>
            </a:ext>
          </a:extLst>
        </xdr:cNvPr>
        <xdr:cNvCxnSpPr/>
      </xdr:nvCxnSpPr>
      <xdr:spPr>
        <a:xfrm flipV="1">
          <a:off x="22415779" y="1500868"/>
          <a:ext cx="1223912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723272</xdr:colOff>
      <xdr:row>8</xdr:row>
      <xdr:rowOff>54429</xdr:rowOff>
    </xdr:from>
    <xdr:to>
      <xdr:col>50</xdr:col>
      <xdr:colOff>27215</xdr:colOff>
      <xdr:row>8</xdr:row>
      <xdr:rowOff>58111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20344772" y="1959429"/>
          <a:ext cx="1004836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56030</xdr:colOff>
      <xdr:row>3</xdr:row>
      <xdr:rowOff>302559</xdr:rowOff>
    </xdr:from>
    <xdr:to>
      <xdr:col>55</xdr:col>
      <xdr:colOff>392207</xdr:colOff>
      <xdr:row>3</xdr:row>
      <xdr:rowOff>302559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6114059" y="907677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414618</xdr:colOff>
      <xdr:row>4</xdr:row>
      <xdr:rowOff>11207</xdr:rowOff>
    </xdr:from>
    <xdr:to>
      <xdr:col>55</xdr:col>
      <xdr:colOff>156884</xdr:colOff>
      <xdr:row>4</xdr:row>
      <xdr:rowOff>11207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5878736" y="941295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89647</xdr:colOff>
      <xdr:row>4</xdr:row>
      <xdr:rowOff>56029</xdr:rowOff>
    </xdr:from>
    <xdr:to>
      <xdr:col>54</xdr:col>
      <xdr:colOff>806825</xdr:colOff>
      <xdr:row>4</xdr:row>
      <xdr:rowOff>56029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5553765" y="986117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392205</xdr:colOff>
      <xdr:row>4</xdr:row>
      <xdr:rowOff>67236</xdr:rowOff>
    </xdr:from>
    <xdr:to>
      <xdr:col>55</xdr:col>
      <xdr:colOff>134471</xdr:colOff>
      <xdr:row>4</xdr:row>
      <xdr:rowOff>67236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856323" y="997324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257735</xdr:colOff>
      <xdr:row>3</xdr:row>
      <xdr:rowOff>280147</xdr:rowOff>
    </xdr:from>
    <xdr:to>
      <xdr:col>55</xdr:col>
      <xdr:colOff>1</xdr:colOff>
      <xdr:row>3</xdr:row>
      <xdr:rowOff>280147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5721853" y="885265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571500</xdr:colOff>
      <xdr:row>4</xdr:row>
      <xdr:rowOff>168089</xdr:rowOff>
    </xdr:from>
    <xdr:to>
      <xdr:col>55</xdr:col>
      <xdr:colOff>313766</xdr:colOff>
      <xdr:row>4</xdr:row>
      <xdr:rowOff>168089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6035618" y="1098177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224118</xdr:colOff>
      <xdr:row>3</xdr:row>
      <xdr:rowOff>235324</xdr:rowOff>
    </xdr:from>
    <xdr:to>
      <xdr:col>54</xdr:col>
      <xdr:colOff>941296</xdr:colOff>
      <xdr:row>3</xdr:row>
      <xdr:rowOff>235324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5688236" y="840442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168088</xdr:colOff>
      <xdr:row>3</xdr:row>
      <xdr:rowOff>291353</xdr:rowOff>
    </xdr:from>
    <xdr:to>
      <xdr:col>54</xdr:col>
      <xdr:colOff>885266</xdr:colOff>
      <xdr:row>3</xdr:row>
      <xdr:rowOff>291353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5632206" y="896471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324971</xdr:colOff>
      <xdr:row>3</xdr:row>
      <xdr:rowOff>179294</xdr:rowOff>
    </xdr:from>
    <xdr:to>
      <xdr:col>55</xdr:col>
      <xdr:colOff>67237</xdr:colOff>
      <xdr:row>3</xdr:row>
      <xdr:rowOff>179294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789089" y="784412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291353</xdr:colOff>
      <xdr:row>4</xdr:row>
      <xdr:rowOff>11206</xdr:rowOff>
    </xdr:from>
    <xdr:to>
      <xdr:col>55</xdr:col>
      <xdr:colOff>627530</xdr:colOff>
      <xdr:row>4</xdr:row>
      <xdr:rowOff>11206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6349382" y="941294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493058</xdr:colOff>
      <xdr:row>3</xdr:row>
      <xdr:rowOff>89647</xdr:rowOff>
    </xdr:from>
    <xdr:to>
      <xdr:col>55</xdr:col>
      <xdr:colOff>235324</xdr:colOff>
      <xdr:row>3</xdr:row>
      <xdr:rowOff>89647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5957176" y="694765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179294</xdr:colOff>
      <xdr:row>3</xdr:row>
      <xdr:rowOff>78441</xdr:rowOff>
    </xdr:from>
    <xdr:to>
      <xdr:col>54</xdr:col>
      <xdr:colOff>896472</xdr:colOff>
      <xdr:row>3</xdr:row>
      <xdr:rowOff>78441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5643412" y="683559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201707</xdr:colOff>
      <xdr:row>4</xdr:row>
      <xdr:rowOff>235324</xdr:rowOff>
    </xdr:from>
    <xdr:to>
      <xdr:col>55</xdr:col>
      <xdr:colOff>537884</xdr:colOff>
      <xdr:row>4</xdr:row>
      <xdr:rowOff>235324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6259736" y="1165412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324971</xdr:colOff>
      <xdr:row>6</xdr:row>
      <xdr:rowOff>257736</xdr:rowOff>
    </xdr:from>
    <xdr:to>
      <xdr:col>55</xdr:col>
      <xdr:colOff>67237</xdr:colOff>
      <xdr:row>6</xdr:row>
      <xdr:rowOff>257736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789089" y="1557618"/>
          <a:ext cx="13110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1019735</xdr:colOff>
      <xdr:row>4</xdr:row>
      <xdr:rowOff>280147</xdr:rowOff>
    </xdr:from>
    <xdr:to>
      <xdr:col>16</xdr:col>
      <xdr:colOff>112060</xdr:colOff>
      <xdr:row>4</xdr:row>
      <xdr:rowOff>280147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624853" y="1210235"/>
          <a:ext cx="142314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5</xdr:row>
      <xdr:rowOff>19050</xdr:rowOff>
    </xdr:from>
    <xdr:to>
      <xdr:col>3</xdr:col>
      <xdr:colOff>742950</xdr:colOff>
      <xdr:row>5</xdr:row>
      <xdr:rowOff>19052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CxnSpPr/>
      </xdr:nvCxnSpPr>
      <xdr:spPr>
        <a:xfrm flipV="1">
          <a:off x="695325" y="1200150"/>
          <a:ext cx="89535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898071</xdr:colOff>
      <xdr:row>6</xdr:row>
      <xdr:rowOff>285750</xdr:rowOff>
    </xdr:from>
    <xdr:to>
      <xdr:col>6</xdr:col>
      <xdr:colOff>625930</xdr:colOff>
      <xdr:row>6</xdr:row>
      <xdr:rowOff>285750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177142" y="1660071"/>
          <a:ext cx="16192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1160690</xdr:colOff>
      <xdr:row>4</xdr:row>
      <xdr:rowOff>340179</xdr:rowOff>
    </xdr:from>
    <xdr:to>
      <xdr:col>5</xdr:col>
      <xdr:colOff>870858</xdr:colOff>
      <xdr:row>4</xdr:row>
      <xdr:rowOff>340179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1609726" y="1687286"/>
          <a:ext cx="9348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1170214</xdr:colOff>
      <xdr:row>7</xdr:row>
      <xdr:rowOff>258535</xdr:rowOff>
    </xdr:from>
    <xdr:to>
      <xdr:col>5</xdr:col>
      <xdr:colOff>802821</xdr:colOff>
      <xdr:row>7</xdr:row>
      <xdr:rowOff>258535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1722664" y="1592035"/>
          <a:ext cx="1337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1006928</xdr:colOff>
      <xdr:row>7</xdr:row>
      <xdr:rowOff>244928</xdr:rowOff>
    </xdr:from>
    <xdr:to>
      <xdr:col>5</xdr:col>
      <xdr:colOff>639535</xdr:colOff>
      <xdr:row>7</xdr:row>
      <xdr:rowOff>244928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496785" y="1578428"/>
          <a:ext cx="10205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2317750" y="1746250"/>
          <a:ext cx="10889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2312307" y="1750332"/>
          <a:ext cx="10930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907677</xdr:colOff>
      <xdr:row>5</xdr:row>
      <xdr:rowOff>11206</xdr:rowOff>
    </xdr:from>
    <xdr:to>
      <xdr:col>5</xdr:col>
      <xdr:colOff>829236</xdr:colOff>
      <xdr:row>5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580030" y="1086971"/>
          <a:ext cx="17032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5</xdr:row>
      <xdr:rowOff>9525</xdr:rowOff>
    </xdr:from>
    <xdr:to>
      <xdr:col>4</xdr:col>
      <xdr:colOff>171450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2105025" y="1057275"/>
          <a:ext cx="1400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5</xdr:row>
      <xdr:rowOff>9525</xdr:rowOff>
    </xdr:from>
    <xdr:to>
      <xdr:col>2</xdr:col>
      <xdr:colOff>962025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1447800" y="1123950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4</xdr:row>
      <xdr:rowOff>238125</xdr:rowOff>
    </xdr:from>
    <xdr:to>
      <xdr:col>5</xdr:col>
      <xdr:colOff>704850</xdr:colOff>
      <xdr:row>4</xdr:row>
      <xdr:rowOff>238126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 flipV="1">
          <a:off x="1647825" y="1143000"/>
          <a:ext cx="1133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</xdr:row>
      <xdr:rowOff>0</xdr:rowOff>
    </xdr:from>
    <xdr:to>
      <xdr:col>9</xdr:col>
      <xdr:colOff>1114425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3762375" y="419100"/>
          <a:ext cx="2486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5</xdr:row>
      <xdr:rowOff>200025</xdr:rowOff>
    </xdr:from>
    <xdr:to>
      <xdr:col>3</xdr:col>
      <xdr:colOff>152400</xdr:colOff>
      <xdr:row>5</xdr:row>
      <xdr:rowOff>200026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590675" y="12477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5</xdr:row>
      <xdr:rowOff>15875</xdr:rowOff>
    </xdr:from>
    <xdr:to>
      <xdr:col>1</xdr:col>
      <xdr:colOff>2682875</xdr:colOff>
      <xdr:row>5</xdr:row>
      <xdr:rowOff>15876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657350" y="1063625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735518" y="1427113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2</xdr:row>
      <xdr:rowOff>19050</xdr:rowOff>
    </xdr:from>
    <xdr:to>
      <xdr:col>8</xdr:col>
      <xdr:colOff>323850</xdr:colOff>
      <xdr:row>2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4238625" y="428625"/>
          <a:ext cx="2286000" cy="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</xdr:row>
      <xdr:rowOff>38100</xdr:rowOff>
    </xdr:from>
    <xdr:to>
      <xdr:col>4</xdr:col>
      <xdr:colOff>495300</xdr:colOff>
      <xdr:row>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90500" y="238125"/>
          <a:ext cx="2076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4</xdr:row>
      <xdr:rowOff>180976</xdr:rowOff>
    </xdr:from>
    <xdr:to>
      <xdr:col>6</xdr:col>
      <xdr:colOff>114300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1238250" y="1066801"/>
          <a:ext cx="1733550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5</xdr:row>
      <xdr:rowOff>11206</xdr:rowOff>
    </xdr:from>
    <xdr:to>
      <xdr:col>5</xdr:col>
      <xdr:colOff>784412</xdr:colOff>
      <xdr:row>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 flipV="1">
          <a:off x="1949824" y="1064559"/>
          <a:ext cx="1557617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239244</xdr:colOff>
      <xdr:row>4</xdr:row>
      <xdr:rowOff>201706</xdr:rowOff>
    </xdr:from>
    <xdr:to>
      <xdr:col>6</xdr:col>
      <xdr:colOff>284629</xdr:colOff>
      <xdr:row>5</xdr:row>
      <xdr:rowOff>1681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CxnSpPr/>
      </xdr:nvCxnSpPr>
      <xdr:spPr>
        <a:xfrm flipV="1">
          <a:off x="1617568" y="1367118"/>
          <a:ext cx="1479737" cy="128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1146361</xdr:colOff>
      <xdr:row>4</xdr:row>
      <xdr:rowOff>203387</xdr:rowOff>
    </xdr:from>
    <xdr:to>
      <xdr:col>4</xdr:col>
      <xdr:colOff>471208</xdr:colOff>
      <xdr:row>4</xdr:row>
      <xdr:rowOff>203387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441636" y="1041587"/>
          <a:ext cx="14393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453572</xdr:colOff>
      <xdr:row>6</xdr:row>
      <xdr:rowOff>4535</xdr:rowOff>
    </xdr:from>
    <xdr:to>
      <xdr:col>7</xdr:col>
      <xdr:colOff>451262</xdr:colOff>
      <xdr:row>6</xdr:row>
      <xdr:rowOff>4535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2796722" y="1985735"/>
          <a:ext cx="14264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738239" y="1980924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9525</xdr:rowOff>
    </xdr:from>
    <xdr:to>
      <xdr:col>5</xdr:col>
      <xdr:colOff>238125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2324100" y="428625"/>
          <a:ext cx="1314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</xdr:row>
      <xdr:rowOff>180975</xdr:rowOff>
    </xdr:from>
    <xdr:to>
      <xdr:col>3</xdr:col>
      <xdr:colOff>1609725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 flipV="1">
          <a:off x="2609850" y="78105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5</xdr:row>
      <xdr:rowOff>0</xdr:rowOff>
    </xdr:from>
    <xdr:to>
      <xdr:col>2</xdr:col>
      <xdr:colOff>504825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962025" y="838200"/>
          <a:ext cx="685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2</xdr:col>
      <xdr:colOff>476250</xdr:colOff>
      <xdr:row>5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524000"/>
          <a:ext cx="1796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571625" y="1019175"/>
          <a:ext cx="106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162709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CxnSpPr/>
      </xdr:nvCxnSpPr>
      <xdr:spPr>
        <a:xfrm>
          <a:off x="160804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1000-00000D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1000-00000E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1000-00000F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1000-000010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1000-000011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1000-000012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1000-000013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1000-000014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1000-000016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00000000-0008-0000-1000-000017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1000-000019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1000-00001A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00000000-0008-0000-1000-00001B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857375" y="100965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6</xdr:row>
      <xdr:rowOff>47625</xdr:rowOff>
    </xdr:from>
    <xdr:to>
      <xdr:col>22</xdr:col>
      <xdr:colOff>123825</xdr:colOff>
      <xdr:row>6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3592175" y="1314450"/>
          <a:ext cx="657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857375" y="100965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1571625" y="10191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1609725" y="1019175"/>
          <a:ext cx="113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1876425" y="1009650"/>
          <a:ext cx="1485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6</xdr:row>
      <xdr:rowOff>47625</xdr:rowOff>
    </xdr:from>
    <xdr:to>
      <xdr:col>22</xdr:col>
      <xdr:colOff>123825</xdr:colOff>
      <xdr:row>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3982700" y="1314450"/>
          <a:ext cx="657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1857375</xdr:colOff>
      <xdr:row>5</xdr:row>
      <xdr:rowOff>9525</xdr:rowOff>
    </xdr:from>
    <xdr:to>
      <xdr:col>1</xdr:col>
      <xdr:colOff>2295525</xdr:colOff>
      <xdr:row>5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2152650" y="1038225"/>
          <a:ext cx="438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1174750</xdr:colOff>
      <xdr:row>4</xdr:row>
      <xdr:rowOff>235857</xdr:rowOff>
    </xdr:from>
    <xdr:to>
      <xdr:col>5</xdr:col>
      <xdr:colOff>372341</xdr:colOff>
      <xdr:row>4</xdr:row>
      <xdr:rowOff>235857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1727200" y="1235982"/>
          <a:ext cx="1226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336176</xdr:colOff>
      <xdr:row>2</xdr:row>
      <xdr:rowOff>0</xdr:rowOff>
    </xdr:from>
    <xdr:to>
      <xdr:col>10</xdr:col>
      <xdr:colOff>369794</xdr:colOff>
      <xdr:row>2</xdr:row>
      <xdr:rowOff>12607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3316941" y="582706"/>
          <a:ext cx="3272118" cy="12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425823</xdr:colOff>
      <xdr:row>2</xdr:row>
      <xdr:rowOff>1680</xdr:rowOff>
    </xdr:from>
    <xdr:to>
      <xdr:col>10</xdr:col>
      <xdr:colOff>537882</xdr:colOff>
      <xdr:row>2</xdr:row>
      <xdr:rowOff>11907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3406588" y="584386"/>
          <a:ext cx="3350559" cy="10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25774</xdr:colOff>
      <xdr:row>6</xdr:row>
      <xdr:rowOff>14568</xdr:rowOff>
    </xdr:from>
    <xdr:to>
      <xdr:col>4</xdr:col>
      <xdr:colOff>876301</xdr:colOff>
      <xdr:row>6</xdr:row>
      <xdr:rowOff>14569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CxnSpPr/>
      </xdr:nvCxnSpPr>
      <xdr:spPr>
        <a:xfrm flipV="1">
          <a:off x="2098862" y="1426509"/>
          <a:ext cx="85052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392205</xdr:colOff>
      <xdr:row>2</xdr:row>
      <xdr:rowOff>44823</xdr:rowOff>
    </xdr:from>
    <xdr:to>
      <xdr:col>3</xdr:col>
      <xdr:colOff>481852</xdr:colOff>
      <xdr:row>2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456764" y="470647"/>
          <a:ext cx="11542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459435</xdr:colOff>
      <xdr:row>2</xdr:row>
      <xdr:rowOff>44823</xdr:rowOff>
    </xdr:from>
    <xdr:to>
      <xdr:col>13</xdr:col>
      <xdr:colOff>504264</xdr:colOff>
      <xdr:row>2</xdr:row>
      <xdr:rowOff>44823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CxnSpPr/>
      </xdr:nvCxnSpPr>
      <xdr:spPr>
        <a:xfrm>
          <a:off x="5995141" y="448235"/>
          <a:ext cx="38548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1008529</xdr:colOff>
      <xdr:row>5</xdr:row>
      <xdr:rowOff>0</xdr:rowOff>
    </xdr:from>
    <xdr:to>
      <xdr:col>2</xdr:col>
      <xdr:colOff>806822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1344705" y="1109382"/>
          <a:ext cx="14231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1151166</xdr:colOff>
      <xdr:row>5</xdr:row>
      <xdr:rowOff>54429</xdr:rowOff>
    </xdr:from>
    <xdr:to>
      <xdr:col>2</xdr:col>
      <xdr:colOff>537483</xdr:colOff>
      <xdr:row>5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1455966" y="1159329"/>
          <a:ext cx="9960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</xdr:row>
      <xdr:rowOff>9525</xdr:rowOff>
    </xdr:from>
    <xdr:to>
      <xdr:col>6</xdr:col>
      <xdr:colOff>171450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2019300" y="12096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2649200" y="105727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CxnSpPr/>
      </xdr:nvCxnSpPr>
      <xdr:spPr>
        <a:xfrm>
          <a:off x="12649200" y="11715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CxnSpPr/>
      </xdr:nvCxnSpPr>
      <xdr:spPr>
        <a:xfrm>
          <a:off x="12296775" y="14192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CxnSpPr/>
      </xdr:nvCxnSpPr>
      <xdr:spPr>
        <a:xfrm>
          <a:off x="12868275" y="1562100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CxnSpPr/>
      </xdr:nvCxnSpPr>
      <xdr:spPr>
        <a:xfrm>
          <a:off x="12744450" y="10763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9</xdr:row>
      <xdr:rowOff>9525</xdr:rowOff>
    </xdr:from>
    <xdr:to>
      <xdr:col>6</xdr:col>
      <xdr:colOff>85725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CxnSpPr/>
      </xdr:nvCxnSpPr>
      <xdr:spPr>
        <a:xfrm>
          <a:off x="2076450" y="1247775"/>
          <a:ext cx="7143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2381250" y="1247775"/>
          <a:ext cx="733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2209800" y="1247775"/>
          <a:ext cx="7143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2381250" y="1247775"/>
          <a:ext cx="733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9</xdr:row>
      <xdr:rowOff>9525</xdr:rowOff>
    </xdr:from>
    <xdr:to>
      <xdr:col>6</xdr:col>
      <xdr:colOff>85725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CxnSpPr/>
      </xdr:nvCxnSpPr>
      <xdr:spPr>
        <a:xfrm>
          <a:off x="2066925" y="1247775"/>
          <a:ext cx="7143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5</xdr:row>
      <xdr:rowOff>38100</xdr:rowOff>
    </xdr:from>
    <xdr:to>
      <xdr:col>3</xdr:col>
      <xdr:colOff>704850</xdr:colOff>
      <xdr:row>5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866775" y="962025"/>
          <a:ext cx="933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5</xdr:row>
      <xdr:rowOff>9525</xdr:rowOff>
    </xdr:from>
    <xdr:to>
      <xdr:col>6</xdr:col>
      <xdr:colOff>57150</xdr:colOff>
      <xdr:row>5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2400-000009000000}"/>
            </a:ext>
          </a:extLst>
        </xdr:cNvPr>
        <xdr:cNvCxnSpPr/>
      </xdr:nvCxnSpPr>
      <xdr:spPr>
        <a:xfrm flipV="1">
          <a:off x="1038225" y="10001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5</xdr:row>
      <xdr:rowOff>0</xdr:rowOff>
    </xdr:from>
    <xdr:to>
      <xdr:col>2</xdr:col>
      <xdr:colOff>885825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76375" y="1076325"/>
          <a:ext cx="15430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4</xdr:row>
      <xdr:rowOff>209550</xdr:rowOff>
    </xdr:from>
    <xdr:to>
      <xdr:col>5</xdr:col>
      <xdr:colOff>431006</xdr:colOff>
      <xdr:row>4</xdr:row>
      <xdr:rowOff>216694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3143250" y="1162050"/>
          <a:ext cx="1393031" cy="71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112058</xdr:colOff>
      <xdr:row>2</xdr:row>
      <xdr:rowOff>22412</xdr:rowOff>
    </xdr:from>
    <xdr:to>
      <xdr:col>10</xdr:col>
      <xdr:colOff>504264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CxnSpPr/>
      </xdr:nvCxnSpPr>
      <xdr:spPr>
        <a:xfrm>
          <a:off x="2061882" y="425824"/>
          <a:ext cx="3608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408933</xdr:colOff>
      <xdr:row>5</xdr:row>
      <xdr:rowOff>8805</xdr:rowOff>
    </xdr:from>
    <xdr:to>
      <xdr:col>4</xdr:col>
      <xdr:colOff>172009</xdr:colOff>
      <xdr:row>5</xdr:row>
      <xdr:rowOff>8805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CxnSpPr/>
      </xdr:nvCxnSpPr>
      <xdr:spPr>
        <a:xfrm>
          <a:off x="732783" y="1008930"/>
          <a:ext cx="146805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1369518</xdr:colOff>
      <xdr:row>1</xdr:row>
      <xdr:rowOff>185698</xdr:rowOff>
    </xdr:from>
    <xdr:to>
      <xdr:col>4</xdr:col>
      <xdr:colOff>660347</xdr:colOff>
      <xdr:row>1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600-000003000000}"/>
            </a:ext>
          </a:extLst>
        </xdr:cNvPr>
        <xdr:cNvCxnSpPr/>
      </xdr:nvCxnSpPr>
      <xdr:spPr>
        <a:xfrm>
          <a:off x="1709697" y="1002127"/>
          <a:ext cx="1699293" cy="48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530678</xdr:colOff>
      <xdr:row>2</xdr:row>
      <xdr:rowOff>27214</xdr:rowOff>
    </xdr:from>
    <xdr:to>
      <xdr:col>18</xdr:col>
      <xdr:colOff>285749</xdr:colOff>
      <xdr:row>2</xdr:row>
      <xdr:rowOff>27214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CxnSpPr/>
      </xdr:nvCxnSpPr>
      <xdr:spPr>
        <a:xfrm>
          <a:off x="10736035" y="1061357"/>
          <a:ext cx="37963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5</xdr:row>
      <xdr:rowOff>9525</xdr:rowOff>
    </xdr:from>
    <xdr:to>
      <xdr:col>4</xdr:col>
      <xdr:colOff>571500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1457325" y="1104900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6</xdr:row>
      <xdr:rowOff>85725</xdr:rowOff>
    </xdr:from>
    <xdr:to>
      <xdr:col>19</xdr:col>
      <xdr:colOff>133350</xdr:colOff>
      <xdr:row>6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13801725" y="1390650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4</xdr:row>
      <xdr:rowOff>190500</xdr:rowOff>
    </xdr:from>
    <xdr:to>
      <xdr:col>3</xdr:col>
      <xdr:colOff>628650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D00-000003000000}"/>
            </a:ext>
          </a:extLst>
        </xdr:cNvPr>
        <xdr:cNvCxnSpPr/>
      </xdr:nvCxnSpPr>
      <xdr:spPr>
        <a:xfrm>
          <a:off x="2247900" y="971550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CxnSpPr/>
      </xdr:nvCxnSpPr>
      <xdr:spPr>
        <a:xfrm>
          <a:off x="2066925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6</xdr:row>
      <xdr:rowOff>9525</xdr:rowOff>
    </xdr:from>
    <xdr:to>
      <xdr:col>1</xdr:col>
      <xdr:colOff>2276475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2143125" y="1209675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1152525</xdr:colOff>
      <xdr:row>6</xdr:row>
      <xdr:rowOff>9525</xdr:rowOff>
    </xdr:from>
    <xdr:to>
      <xdr:col>1</xdr:col>
      <xdr:colOff>2114550</xdr:colOff>
      <xdr:row>6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1981200" y="1209675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1187823</xdr:colOff>
      <xdr:row>5</xdr:row>
      <xdr:rowOff>0</xdr:rowOff>
    </xdr:from>
    <xdr:to>
      <xdr:col>2</xdr:col>
      <xdr:colOff>268941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CxnSpPr/>
      </xdr:nvCxnSpPr>
      <xdr:spPr>
        <a:xfrm>
          <a:off x="1664073" y="1028700"/>
          <a:ext cx="131949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5</xdr:row>
      <xdr:rowOff>9525</xdr:rowOff>
    </xdr:from>
    <xdr:to>
      <xdr:col>2</xdr:col>
      <xdr:colOff>266700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CxnSpPr/>
      </xdr:nvCxnSpPr>
      <xdr:spPr>
        <a:xfrm>
          <a:off x="1409700" y="1038225"/>
          <a:ext cx="1285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8</xdr:row>
      <xdr:rowOff>9525</xdr:rowOff>
    </xdr:from>
    <xdr:to>
      <xdr:col>2</xdr:col>
      <xdr:colOff>161925</xdr:colOff>
      <xdr:row>8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1314450" y="1638300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CxnSpPr/>
      </xdr:nvCxnSpPr>
      <xdr:spPr>
        <a:xfrm>
          <a:off x="2193655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200-000003000000}"/>
            </a:ext>
          </a:extLst>
        </xdr:cNvPr>
        <xdr:cNvCxnSpPr/>
      </xdr:nvCxnSpPr>
      <xdr:spPr>
        <a:xfrm>
          <a:off x="2850879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200-000004000000}"/>
            </a:ext>
          </a:extLst>
        </xdr:cNvPr>
        <xdr:cNvCxnSpPr/>
      </xdr:nvCxnSpPr>
      <xdr:spPr>
        <a:xfrm>
          <a:off x="3532542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200-000005000000}"/>
            </a:ext>
          </a:extLst>
        </xdr:cNvPr>
        <xdr:cNvCxnSpPr/>
      </xdr:nvCxnSpPr>
      <xdr:spPr>
        <a:xfrm>
          <a:off x="3899460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200-000006000000}"/>
            </a:ext>
          </a:extLst>
        </xdr:cNvPr>
        <xdr:cNvCxnSpPr/>
      </xdr:nvCxnSpPr>
      <xdr:spPr>
        <a:xfrm>
          <a:off x="4265547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200-000007000000}"/>
            </a:ext>
          </a:extLst>
        </xdr:cNvPr>
        <xdr:cNvCxnSpPr/>
      </xdr:nvCxnSpPr>
      <xdr:spPr>
        <a:xfrm>
          <a:off x="4714807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200-000008000000}"/>
            </a:ext>
          </a:extLst>
        </xdr:cNvPr>
        <xdr:cNvCxnSpPr>
          <a:cxnSpLocks noChangeShapeType="1"/>
        </xdr:cNvCxnSpPr>
      </xdr:nvCxnSpPr>
      <xdr:spPr bwMode="auto">
        <a:xfrm>
          <a:off x="5057775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200-000009000000}"/>
            </a:ext>
          </a:extLst>
        </xdr:cNvPr>
        <xdr:cNvCxnSpPr/>
      </xdr:nvCxnSpPr>
      <xdr:spPr>
        <a:xfrm>
          <a:off x="5044113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200-00000A000000}"/>
            </a:ext>
          </a:extLst>
        </xdr:cNvPr>
        <xdr:cNvCxnSpPr/>
      </xdr:nvCxnSpPr>
      <xdr:spPr>
        <a:xfrm>
          <a:off x="6545332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200-00000B000000}"/>
            </a:ext>
          </a:extLst>
        </xdr:cNvPr>
        <xdr:cNvCxnSpPr/>
      </xdr:nvCxnSpPr>
      <xdr:spPr>
        <a:xfrm flipH="1">
          <a:off x="6546574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200-00000C000000}"/>
            </a:ext>
          </a:extLst>
        </xdr:cNvPr>
        <xdr:cNvSpPr>
          <a:spLocks noChangeArrowheads="1"/>
        </xdr:cNvSpPr>
      </xdr:nvSpPr>
      <xdr:spPr bwMode="auto">
        <a:xfrm>
          <a:off x="7448550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200-00000D000000}"/>
            </a:ext>
          </a:extLst>
        </xdr:cNvPr>
        <xdr:cNvCxnSpPr/>
      </xdr:nvCxnSpPr>
      <xdr:spPr>
        <a:xfrm>
          <a:off x="6772275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200-00000E000000}"/>
            </a:ext>
          </a:extLst>
        </xdr:cNvPr>
        <xdr:cNvCxnSpPr/>
      </xdr:nvCxnSpPr>
      <xdr:spPr>
        <a:xfrm>
          <a:off x="6553200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200-00000F000000}"/>
            </a:ext>
          </a:extLst>
        </xdr:cNvPr>
        <xdr:cNvCxnSpPr/>
      </xdr:nvCxnSpPr>
      <xdr:spPr>
        <a:xfrm>
          <a:off x="4724400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200-000010000000}"/>
            </a:ext>
          </a:extLst>
        </xdr:cNvPr>
        <xdr:cNvCxnSpPr/>
      </xdr:nvCxnSpPr>
      <xdr:spPr>
        <a:xfrm>
          <a:off x="6038850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CxnSpPr/>
      </xdr:nvCxnSpPr>
      <xdr:spPr>
        <a:xfrm>
          <a:off x="2279380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400-000003000000}"/>
            </a:ext>
          </a:extLst>
        </xdr:cNvPr>
        <xdr:cNvCxnSpPr/>
      </xdr:nvCxnSpPr>
      <xdr:spPr>
        <a:xfrm>
          <a:off x="2936604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400-000004000000}"/>
            </a:ext>
          </a:extLst>
        </xdr:cNvPr>
        <xdr:cNvCxnSpPr/>
      </xdr:nvCxnSpPr>
      <xdr:spPr>
        <a:xfrm>
          <a:off x="3618267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400-000005000000}"/>
            </a:ext>
          </a:extLst>
        </xdr:cNvPr>
        <xdr:cNvCxnSpPr/>
      </xdr:nvCxnSpPr>
      <xdr:spPr>
        <a:xfrm>
          <a:off x="3985185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400-000006000000}"/>
            </a:ext>
          </a:extLst>
        </xdr:cNvPr>
        <xdr:cNvCxnSpPr/>
      </xdr:nvCxnSpPr>
      <xdr:spPr>
        <a:xfrm>
          <a:off x="4351272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400-000007000000}"/>
            </a:ext>
          </a:extLst>
        </xdr:cNvPr>
        <xdr:cNvCxnSpPr/>
      </xdr:nvCxnSpPr>
      <xdr:spPr>
        <a:xfrm>
          <a:off x="4800532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400-000008000000}"/>
            </a:ext>
          </a:extLst>
        </xdr:cNvPr>
        <xdr:cNvCxnSpPr>
          <a:cxnSpLocks noChangeShapeType="1"/>
        </xdr:cNvCxnSpPr>
      </xdr:nvCxnSpPr>
      <xdr:spPr bwMode="auto">
        <a:xfrm>
          <a:off x="5143500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400-000009000000}"/>
            </a:ext>
          </a:extLst>
        </xdr:cNvPr>
        <xdr:cNvCxnSpPr/>
      </xdr:nvCxnSpPr>
      <xdr:spPr>
        <a:xfrm>
          <a:off x="5129838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400-00000A000000}"/>
            </a:ext>
          </a:extLst>
        </xdr:cNvPr>
        <xdr:cNvCxnSpPr/>
      </xdr:nvCxnSpPr>
      <xdr:spPr>
        <a:xfrm>
          <a:off x="6631057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400-00000B000000}"/>
            </a:ext>
          </a:extLst>
        </xdr:cNvPr>
        <xdr:cNvCxnSpPr/>
      </xdr:nvCxnSpPr>
      <xdr:spPr>
        <a:xfrm flipH="1">
          <a:off x="6632299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400-00000C000000}"/>
            </a:ext>
          </a:extLst>
        </xdr:cNvPr>
        <xdr:cNvSpPr>
          <a:spLocks noChangeArrowheads="1"/>
        </xdr:cNvSpPr>
      </xdr:nvSpPr>
      <xdr:spPr bwMode="auto">
        <a:xfrm>
          <a:off x="7534275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400-00000D000000}"/>
            </a:ext>
          </a:extLst>
        </xdr:cNvPr>
        <xdr:cNvCxnSpPr/>
      </xdr:nvCxnSpPr>
      <xdr:spPr>
        <a:xfrm>
          <a:off x="6858000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400-00000E000000}"/>
            </a:ext>
          </a:extLst>
        </xdr:cNvPr>
        <xdr:cNvCxnSpPr/>
      </xdr:nvCxnSpPr>
      <xdr:spPr>
        <a:xfrm>
          <a:off x="6638925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400-00000F000000}"/>
            </a:ext>
          </a:extLst>
        </xdr:cNvPr>
        <xdr:cNvCxnSpPr/>
      </xdr:nvCxnSpPr>
      <xdr:spPr>
        <a:xfrm>
          <a:off x="4810125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400-000010000000}"/>
            </a:ext>
          </a:extLst>
        </xdr:cNvPr>
        <xdr:cNvCxnSpPr/>
      </xdr:nvCxnSpPr>
      <xdr:spPr>
        <a:xfrm>
          <a:off x="6124575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73" name="Straight Connector 72">
          <a:extLst>
            <a:ext uri="{FF2B5EF4-FFF2-40B4-BE49-F238E27FC236}">
              <a16:creationId xmlns="" xmlns:a16="http://schemas.microsoft.com/office/drawing/2014/main" id="{00000000-0008-0000-5400-000049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74" name="Straight Connector 73">
          <a:extLst>
            <a:ext uri="{FF2B5EF4-FFF2-40B4-BE49-F238E27FC236}">
              <a16:creationId xmlns="" xmlns:a16="http://schemas.microsoft.com/office/drawing/2014/main" id="{00000000-0008-0000-5400-00004A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75" name="Straight Connector 74">
          <a:extLst>
            <a:ext uri="{FF2B5EF4-FFF2-40B4-BE49-F238E27FC236}">
              <a16:creationId xmlns="" xmlns:a16="http://schemas.microsoft.com/office/drawing/2014/main" id="{00000000-0008-0000-5400-00004B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76" name="Straight Connector 75">
          <a:extLst>
            <a:ext uri="{FF2B5EF4-FFF2-40B4-BE49-F238E27FC236}">
              <a16:creationId xmlns="" xmlns:a16="http://schemas.microsoft.com/office/drawing/2014/main" id="{00000000-0008-0000-5400-00004C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77" name="Straight Connector 76">
          <a:extLst>
            <a:ext uri="{FF2B5EF4-FFF2-40B4-BE49-F238E27FC236}">
              <a16:creationId xmlns="" xmlns:a16="http://schemas.microsoft.com/office/drawing/2014/main" id="{00000000-0008-0000-5400-00004D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8" name="Straight Connector 77">
          <a:extLst>
            <a:ext uri="{FF2B5EF4-FFF2-40B4-BE49-F238E27FC236}">
              <a16:creationId xmlns="" xmlns:a16="http://schemas.microsoft.com/office/drawing/2014/main" id="{00000000-0008-0000-5400-00004E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79" name="AutoShape 12">
          <a:extLst>
            <a:ext uri="{FF2B5EF4-FFF2-40B4-BE49-F238E27FC236}">
              <a16:creationId xmlns="" xmlns:a16="http://schemas.microsoft.com/office/drawing/2014/main" id="{00000000-0008-0000-5400-00004F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5400-000050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5400-000051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5400-000052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83" name="Flowchart: Or 1108">
          <a:extLst>
            <a:ext uri="{FF2B5EF4-FFF2-40B4-BE49-F238E27FC236}">
              <a16:creationId xmlns="" xmlns:a16="http://schemas.microsoft.com/office/drawing/2014/main" id="{00000000-0008-0000-5400-000053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84" name="Straight Connector 83">
          <a:extLst>
            <a:ext uri="{FF2B5EF4-FFF2-40B4-BE49-F238E27FC236}">
              <a16:creationId xmlns="" xmlns:a16="http://schemas.microsoft.com/office/drawing/2014/main" id="{00000000-0008-0000-5400-000054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85" name="Straight Connector 84">
          <a:extLst>
            <a:ext uri="{FF2B5EF4-FFF2-40B4-BE49-F238E27FC236}">
              <a16:creationId xmlns="" xmlns:a16="http://schemas.microsoft.com/office/drawing/2014/main" id="{00000000-0008-0000-5400-000055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86" name="Straight Connector 85">
          <a:extLst>
            <a:ext uri="{FF2B5EF4-FFF2-40B4-BE49-F238E27FC236}">
              <a16:creationId xmlns="" xmlns:a16="http://schemas.microsoft.com/office/drawing/2014/main" id="{00000000-0008-0000-5400-000056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87" name="Straight Connector 86">
          <a:extLst>
            <a:ext uri="{FF2B5EF4-FFF2-40B4-BE49-F238E27FC236}">
              <a16:creationId xmlns="" xmlns:a16="http://schemas.microsoft.com/office/drawing/2014/main" id="{00000000-0008-0000-5400-000057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88" name="Straight Connector 87">
          <a:extLst>
            <a:ext uri="{FF2B5EF4-FFF2-40B4-BE49-F238E27FC236}">
              <a16:creationId xmlns="" xmlns:a16="http://schemas.microsoft.com/office/drawing/2014/main" id="{00000000-0008-0000-5400-000058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89" name="Straight Connector 88">
          <a:extLst>
            <a:ext uri="{FF2B5EF4-FFF2-40B4-BE49-F238E27FC236}">
              <a16:creationId xmlns="" xmlns:a16="http://schemas.microsoft.com/office/drawing/2014/main" id="{00000000-0008-0000-5400-000059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90" name="Straight Connector 89">
          <a:extLst>
            <a:ext uri="{FF2B5EF4-FFF2-40B4-BE49-F238E27FC236}">
              <a16:creationId xmlns="" xmlns:a16="http://schemas.microsoft.com/office/drawing/2014/main" id="{00000000-0008-0000-5400-00005A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91" name="Straight Connector 90">
          <a:extLst>
            <a:ext uri="{FF2B5EF4-FFF2-40B4-BE49-F238E27FC236}">
              <a16:creationId xmlns="" xmlns:a16="http://schemas.microsoft.com/office/drawing/2014/main" id="{00000000-0008-0000-5400-00005B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92" name="Straight Connector 91">
          <a:extLst>
            <a:ext uri="{FF2B5EF4-FFF2-40B4-BE49-F238E27FC236}">
              <a16:creationId xmlns="" xmlns:a16="http://schemas.microsoft.com/office/drawing/2014/main" id="{00000000-0008-0000-5400-00005C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93" name="AutoShape 12">
          <a:extLst>
            <a:ext uri="{FF2B5EF4-FFF2-40B4-BE49-F238E27FC236}">
              <a16:creationId xmlns="" xmlns:a16="http://schemas.microsoft.com/office/drawing/2014/main" id="{00000000-0008-0000-5400-00005D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4" name="Straight Connector 93">
          <a:extLst>
            <a:ext uri="{FF2B5EF4-FFF2-40B4-BE49-F238E27FC236}">
              <a16:creationId xmlns="" xmlns:a16="http://schemas.microsoft.com/office/drawing/2014/main" id="{00000000-0008-0000-5400-00005E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95" name="Straight Connector 94">
          <a:extLst>
            <a:ext uri="{FF2B5EF4-FFF2-40B4-BE49-F238E27FC236}">
              <a16:creationId xmlns="" xmlns:a16="http://schemas.microsoft.com/office/drawing/2014/main" id="{00000000-0008-0000-5400-00005F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96" name="Straight Connector 95">
          <a:extLst>
            <a:ext uri="{FF2B5EF4-FFF2-40B4-BE49-F238E27FC236}">
              <a16:creationId xmlns="" xmlns:a16="http://schemas.microsoft.com/office/drawing/2014/main" id="{00000000-0008-0000-5400-000060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97" name="Flowchart: Or 1108">
          <a:extLst>
            <a:ext uri="{FF2B5EF4-FFF2-40B4-BE49-F238E27FC236}">
              <a16:creationId xmlns="" xmlns:a16="http://schemas.microsoft.com/office/drawing/2014/main" id="{00000000-0008-0000-5400-000061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98" name="Straight Connector 97">
          <a:extLst>
            <a:ext uri="{FF2B5EF4-FFF2-40B4-BE49-F238E27FC236}">
              <a16:creationId xmlns="" xmlns:a16="http://schemas.microsoft.com/office/drawing/2014/main" id="{00000000-0008-0000-5400-000062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="" xmlns:a16="http://schemas.microsoft.com/office/drawing/2014/main" id="{00000000-0008-0000-5400-000063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00" name="Straight Connector 99">
          <a:extLst>
            <a:ext uri="{FF2B5EF4-FFF2-40B4-BE49-F238E27FC236}">
              <a16:creationId xmlns="" xmlns:a16="http://schemas.microsoft.com/office/drawing/2014/main" id="{00000000-0008-0000-5400-000064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5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5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5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5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5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5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5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5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5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5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5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5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5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500-000010000000}"/>
            </a:ext>
          </a:extLst>
        </xdr:cNvPr>
        <xdr:cNvCxnSpPr/>
      </xdr:nvCxnSpPr>
      <xdr:spPr>
        <a:xfrm>
          <a:off x="7258050" y="400050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6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6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6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6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6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6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6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6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6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6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6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6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6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</xdr:row>
      <xdr:rowOff>190500</xdr:rowOff>
    </xdr:from>
    <xdr:to>
      <xdr:col>22</xdr:col>
      <xdr:colOff>447675</xdr:colOff>
      <xdr:row>1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600-000010000000}"/>
            </a:ext>
          </a:extLst>
        </xdr:cNvPr>
        <xdr:cNvCxnSpPr/>
      </xdr:nvCxnSpPr>
      <xdr:spPr>
        <a:xfrm>
          <a:off x="8153400" y="390525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5600-000011000000}"/>
            </a:ext>
          </a:extLst>
        </xdr:cNvPr>
        <xdr:cNvCxnSpPr/>
      </xdr:nvCxnSpPr>
      <xdr:spPr>
        <a:xfrm>
          <a:off x="3641455" y="21924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5600-000012000000}"/>
            </a:ext>
          </a:extLst>
        </xdr:cNvPr>
        <xdr:cNvCxnSpPr/>
      </xdr:nvCxnSpPr>
      <xdr:spPr>
        <a:xfrm>
          <a:off x="4432029" y="21758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5600-000013000000}"/>
            </a:ext>
          </a:extLst>
        </xdr:cNvPr>
        <xdr:cNvCxnSpPr/>
      </xdr:nvCxnSpPr>
      <xdr:spPr>
        <a:xfrm>
          <a:off x="5256567" y="22006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5600-000014000000}"/>
            </a:ext>
          </a:extLst>
        </xdr:cNvPr>
        <xdr:cNvCxnSpPr/>
      </xdr:nvCxnSpPr>
      <xdr:spPr>
        <a:xfrm>
          <a:off x="5699685" y="21911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5600-000015000000}"/>
            </a:ext>
          </a:extLst>
        </xdr:cNvPr>
        <xdr:cNvCxnSpPr/>
      </xdr:nvCxnSpPr>
      <xdr:spPr>
        <a:xfrm>
          <a:off x="6094347" y="21936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5600-000016000000}"/>
            </a:ext>
          </a:extLst>
        </xdr:cNvPr>
        <xdr:cNvCxnSpPr/>
      </xdr:nvCxnSpPr>
      <xdr:spPr>
        <a:xfrm>
          <a:off x="6610282" y="20955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23" name="AutoShape 12">
          <a:extLst>
            <a:ext uri="{FF2B5EF4-FFF2-40B4-BE49-F238E27FC236}">
              <a16:creationId xmlns="" xmlns:a16="http://schemas.microsoft.com/office/drawing/2014/main" id="{00000000-0008-0000-5600-000017000000}"/>
            </a:ext>
          </a:extLst>
        </xdr:cNvPr>
        <xdr:cNvCxnSpPr>
          <a:cxnSpLocks noChangeShapeType="1"/>
        </xdr:cNvCxnSpPr>
      </xdr:nvCxnSpPr>
      <xdr:spPr bwMode="auto">
        <a:xfrm>
          <a:off x="7115175" y="20574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5600-000018000000}"/>
            </a:ext>
          </a:extLst>
        </xdr:cNvPr>
        <xdr:cNvCxnSpPr/>
      </xdr:nvCxnSpPr>
      <xdr:spPr>
        <a:xfrm>
          <a:off x="7101513" y="21746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5600-000019000000}"/>
            </a:ext>
          </a:extLst>
        </xdr:cNvPr>
        <xdr:cNvCxnSpPr/>
      </xdr:nvCxnSpPr>
      <xdr:spPr>
        <a:xfrm>
          <a:off x="8945632" y="21145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5600-00001A000000}"/>
            </a:ext>
          </a:extLst>
        </xdr:cNvPr>
        <xdr:cNvCxnSpPr/>
      </xdr:nvCxnSpPr>
      <xdr:spPr>
        <a:xfrm flipH="1">
          <a:off x="8946874" y="21145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27" name="Flowchart: Or 1108">
          <a:extLst>
            <a:ext uri="{FF2B5EF4-FFF2-40B4-BE49-F238E27FC236}">
              <a16:creationId xmlns="" xmlns:a16="http://schemas.microsoft.com/office/drawing/2014/main" id="{00000000-0008-0000-5600-00001B000000}"/>
            </a:ext>
          </a:extLst>
        </xdr:cNvPr>
        <xdr:cNvSpPr>
          <a:spLocks noChangeArrowheads="1"/>
        </xdr:cNvSpPr>
      </xdr:nvSpPr>
      <xdr:spPr bwMode="auto">
        <a:xfrm>
          <a:off x="9829800" y="20859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5600-00001C000000}"/>
            </a:ext>
          </a:extLst>
        </xdr:cNvPr>
        <xdr:cNvCxnSpPr/>
      </xdr:nvCxnSpPr>
      <xdr:spPr>
        <a:xfrm>
          <a:off x="9172575" y="21145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00000000-0008-0000-5600-00001D000000}"/>
            </a:ext>
          </a:extLst>
        </xdr:cNvPr>
        <xdr:cNvCxnSpPr/>
      </xdr:nvCxnSpPr>
      <xdr:spPr>
        <a:xfrm>
          <a:off x="8953500" y="21050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5600-00001E000000}"/>
            </a:ext>
          </a:extLst>
        </xdr:cNvPr>
        <xdr:cNvCxnSpPr/>
      </xdr:nvCxnSpPr>
      <xdr:spPr>
        <a:xfrm>
          <a:off x="6619875" y="22288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5</xdr:row>
      <xdr:rowOff>0</xdr:rowOff>
    </xdr:from>
    <xdr:to>
      <xdr:col>3</xdr:col>
      <xdr:colOff>571500</xdr:colOff>
      <xdr:row>5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A00-000005000000}"/>
            </a:ext>
          </a:extLst>
        </xdr:cNvPr>
        <xdr:cNvCxnSpPr/>
      </xdr:nvCxnSpPr>
      <xdr:spPr>
        <a:xfrm flipV="1">
          <a:off x="533400" y="1057275"/>
          <a:ext cx="15430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</xdr:row>
      <xdr:rowOff>19050</xdr:rowOff>
    </xdr:from>
    <xdr:to>
      <xdr:col>5</xdr:col>
      <xdr:colOff>1095375</xdr:colOff>
      <xdr:row>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A00-000006000000}"/>
            </a:ext>
          </a:extLst>
        </xdr:cNvPr>
        <xdr:cNvCxnSpPr/>
      </xdr:nvCxnSpPr>
      <xdr:spPr>
        <a:xfrm>
          <a:off x="1543050" y="438150"/>
          <a:ext cx="371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2</xdr:col>
      <xdr:colOff>533400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B00-000002000000}"/>
            </a:ext>
          </a:extLst>
        </xdr:cNvPr>
        <xdr:cNvCxnSpPr/>
      </xdr:nvCxnSpPr>
      <xdr:spPr>
        <a:xfrm>
          <a:off x="1847850" y="104775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2</xdr:row>
      <xdr:rowOff>19050</xdr:rowOff>
    </xdr:from>
    <xdr:to>
      <xdr:col>9</xdr:col>
      <xdr:colOff>85725</xdr:colOff>
      <xdr:row>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B00-000003000000}"/>
            </a:ext>
          </a:extLst>
        </xdr:cNvPr>
        <xdr:cNvCxnSpPr/>
      </xdr:nvCxnSpPr>
      <xdr:spPr>
        <a:xfrm>
          <a:off x="3362325" y="438150"/>
          <a:ext cx="2895600" cy="190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/th&#225;ng%2007%20m&#7899;i/L&#431;&#416;NG%20T&#7892;%203%20(t&#7841;m%20t&#237;nh)%2074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1%2027-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/th&#225;ng%2007%20m&#7899;i/L&#431;&#416;NG%20T&#7892;%203%20(t&#7841;m%20t&#237;nh)%2074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Admin/AppData/Local/Temp/WPDNSE/%7b886BB286-0000-0000-0000-000000000000%7d/THIEN%20NT3/Nhan%20Su/Danh%20s&#225;ch%20c&#244;ng%20nh&#226;n%20khai%20th&#225;c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PDComputer/Desktop/L&#432;&#417;ng%20NT3%20.T12.23%20S&#7919;a%20m&#7851;u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&#226;m%202024/A%20Nh&#226;n%20KTra/KH-BC%20T11/L&#432;&#417;ng%20th&#225;ng%2010%20Sepon%20ch&#7889;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%202024/th&#225;ng%2007%20m&#7899;i/l&#432;&#417;ng%20t&#7841;m%20&#7913;ng%20t&#7893;%203%2074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UONG%20GIA%20THUOC%20SEPON%20T1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l&#432;&#417;ng%20usd%20to&#224;n%20c&#244;ng%20ty%20T2%20-%20Cop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l&#432;&#417;ng%20b&#236;nh%20qu&#226;n%20p%203%20%20th&#225;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727054\THANG%207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872FF8\l&#432;&#417;ng%20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h&#225;ng%20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 (2)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Tong luong NT (2)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CNCNKT"/>
      <sheetName val="MU"/>
      <sheetName val="Sheet1"/>
      <sheetName val="Phụ cấp cán mủ "/>
      <sheetName val="Sheet2"/>
      <sheetName val="Truy lã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20599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5">
          <cell r="AD15">
            <v>158207710</v>
          </cell>
        </row>
        <row r="163">
          <cell r="AD163">
            <v>104551558</v>
          </cell>
        </row>
      </sheetData>
      <sheetData sheetId="15">
        <row r="14">
          <cell r="G14">
            <v>31</v>
          </cell>
        </row>
      </sheetData>
      <sheetData sheetId="16"/>
      <sheetData sheetId="17"/>
      <sheetData sheetId="18"/>
      <sheetData sheetId="19">
        <row r="8">
          <cell r="B8" t="str">
            <v>Nguyễn Thanh Sơn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9">
          <cell r="E19" t="str">
            <v>Souliya Chanthakhot</v>
          </cell>
        </row>
        <row r="26">
          <cell r="V26">
            <v>28133235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Tạm tính BN"/>
      <sheetName val="Mủ BN D40"/>
      <sheetName val="THƯỞNG SL"/>
      <sheetName val="QL LƯƠNG"/>
      <sheetName val="Tổ 1"/>
      <sheetName val="Tổ 2"/>
      <sheetName val="Tổ 3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PL con"/>
      <sheetName val="pl CBCNV"/>
      <sheetName val="1"/>
      <sheetName val="2"/>
      <sheetName val="3"/>
      <sheetName val="LƯƠNG TT"/>
      <sheetName val="Lương gia thuộc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xã cạo t1"/>
      <sheetName val="bcsx t10"/>
      <sheetName val="khsx t1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>
        <row r="12">
          <cell r="C12" t="str">
            <v>Phò Đăm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6">
          <cell r="L66" t="str">
            <v>Phò Đăm</v>
          </cell>
        </row>
        <row r="67">
          <cell r="L67" t="str">
            <v>Thảo Mai</v>
          </cell>
        </row>
        <row r="68">
          <cell r="L68" t="str">
            <v>Thảo Tưng</v>
          </cell>
        </row>
        <row r="69">
          <cell r="L69" t="str">
            <v>Thảo Xay</v>
          </cell>
        </row>
        <row r="70">
          <cell r="L70" t="str">
            <v>Nàng Nọi</v>
          </cell>
        </row>
        <row r="71">
          <cell r="L71" t="str">
            <v>Thảo Đăm</v>
          </cell>
        </row>
        <row r="72">
          <cell r="L72" t="str">
            <v>Thảo Chăn</v>
          </cell>
        </row>
        <row r="73">
          <cell r="L73" t="str">
            <v>Thảo Cô</v>
          </cell>
        </row>
        <row r="74">
          <cell r="L74" t="str">
            <v>Thảo Nha</v>
          </cell>
        </row>
        <row r="75">
          <cell r="L75" t="str">
            <v>Thảo Đăm 2</v>
          </cell>
        </row>
        <row r="76">
          <cell r="L76" t="str">
            <v>Thảo Lay</v>
          </cell>
        </row>
        <row r="77">
          <cell r="L77" t="str">
            <v>Thảo Khên</v>
          </cell>
        </row>
        <row r="78">
          <cell r="L78" t="str">
            <v>Thảo Khon</v>
          </cell>
        </row>
        <row r="79">
          <cell r="L79" t="str">
            <v>Thảo Nga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4">
          <cell r="M64" t="str">
            <v>A</v>
          </cell>
        </row>
        <row r="65">
          <cell r="M65" t="str">
            <v>B</v>
          </cell>
        </row>
        <row r="66">
          <cell r="M66" t="str">
            <v>B</v>
          </cell>
        </row>
        <row r="67">
          <cell r="M67" t="str">
            <v>A</v>
          </cell>
        </row>
        <row r="68">
          <cell r="M68" t="str">
            <v>B</v>
          </cell>
        </row>
        <row r="69">
          <cell r="M69" t="str">
            <v>B</v>
          </cell>
        </row>
        <row r="70">
          <cell r="M70" t="str">
            <v>A</v>
          </cell>
        </row>
        <row r="71">
          <cell r="M71" t="str">
            <v>B</v>
          </cell>
        </row>
        <row r="72">
          <cell r="M72" t="str">
            <v>A</v>
          </cell>
        </row>
        <row r="73">
          <cell r="M73" t="str">
            <v>B</v>
          </cell>
        </row>
        <row r="74">
          <cell r="M74" t="str">
            <v>B</v>
          </cell>
        </row>
        <row r="75">
          <cell r="M75" t="str">
            <v>A</v>
          </cell>
        </row>
        <row r="76">
          <cell r="M76" t="str">
            <v>A</v>
          </cell>
        </row>
        <row r="77">
          <cell r="M77" t="str">
            <v>B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492.40000000000003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309.20000000000005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2968.7999999999997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 xml:space="preserve">Thảo Thong 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BN TRUY LĨNH"/>
      <sheetName val="PL con"/>
      <sheetName val="pl CBCNV"/>
      <sheetName val="1"/>
      <sheetName val="2"/>
      <sheetName val="3"/>
      <sheetName val="Tạm tính BN"/>
      <sheetName val="LƯƠNG TT"/>
      <sheetName val="LƯƠNG GIA THUỘC T11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bcsx t11"/>
      <sheetName val="khsx t12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usd vp"/>
      <sheetName val="Sheet3"/>
      <sheetName val="Sheet1"/>
      <sheetName val="thưởng"/>
      <sheetName val="Bảng kê lương (1 bản)"/>
      <sheetName val="BẢNG LƯƠNG KÍP"/>
      <sheetName val="danh sách nhận tết dương"/>
      <sheetName val="phân công cv"/>
      <sheetName val="Lương toàn công ty"/>
      <sheetName val="BẢNG LƯƠNG USD"/>
      <sheetName val="Sheet2"/>
      <sheetName val="LƯƠNG CTY"/>
      <sheetName val="lương vp nt3"/>
      <sheetName val="lương nt1"/>
      <sheetName val="lương sp"/>
      <sheetName val="Lương nt3."/>
      <sheetName val="lương nt2"/>
      <sheetName val="lương vp"/>
      <sheetName val="nhận tiền điện thoại"/>
      <sheetName val="Bảng kê lương (1 bản) (4)"/>
      <sheetName val="PHỤ CẤP OUDUMXAY"/>
      <sheetName val="2 tháng 9"/>
      <sheetName val="2 tháng 9 (2)"/>
      <sheetName val="Sheet8"/>
      <sheetName val="ds nữ"/>
      <sheetName val="tết dương vn"/>
      <sheetName val="tết dương"/>
      <sheetName val="tàu xe"/>
      <sheetName val="trực tết"/>
      <sheetName val="Sheet10"/>
      <sheetName val="Chấm công (3)"/>
      <sheetName val="văn phòng"/>
      <sheetName val="Sheet4"/>
      <sheetName val="c uyên"/>
      <sheetName val="oudumxay"/>
      <sheetName val="pc oudomxay"/>
      <sheetName val="phụ cấp"/>
      <sheetName val="Sheet11"/>
      <sheetName val="nt3"/>
      <sheetName val="nt2"/>
      <sheetName val="nt1"/>
      <sheetName val="nm"/>
      <sheetName val="ban điều hành"/>
      <sheetName val="sepon"/>
      <sheetName val="kcs"/>
      <sheetName val="lương usd nt1"/>
      <sheetName val="lương usd nhà máy"/>
      <sheetName val="lương nmcb"/>
      <sheetName val="lương usd sepon"/>
      <sheetName val="lương usd nt2"/>
      <sheetName val="CC"/>
      <sheetName val="BHXH"/>
      <sheetName val="Bảng Chấm công"/>
      <sheetName val="Chấm công"/>
      <sheetName val="Chấm công (2)"/>
      <sheetName val="công c uyên"/>
      <sheetName val="chấm công tổ mua mủ"/>
      <sheetName val="Sheet9"/>
      <sheetName val="Sheet12"/>
      <sheetName val="Sheet5"/>
      <sheetName val="Sheet6"/>
      <sheetName val="Sheet7"/>
      <sheetName val="Lương người Lào (3 bản)"/>
      <sheetName val="Lương con người Lào"/>
      <sheetName val="cơm lăm ngân"/>
      <sheetName val="lái xe tải"/>
      <sheetName val="bảo vệ"/>
      <sheetName val="Chấm cơm"/>
      <sheetName val="Chấm công cơm"/>
      <sheetName val="Theo dõi hộ chiế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5">
          <cell r="K15">
            <v>3168.5607124368689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usd vp"/>
      <sheetName val="Sheet2"/>
      <sheetName val="Sheet3"/>
      <sheetName val="Sheet1"/>
      <sheetName val="thưởng"/>
      <sheetName val="Bảng kê lương (1 bản)"/>
      <sheetName val="BẢNG LƯƠNG KÍP"/>
      <sheetName val="danh sách nhận tết dương"/>
      <sheetName val="phân công cv"/>
      <sheetName val="Lương toàn công ty"/>
      <sheetName val="LƯƠNG CTY"/>
      <sheetName val="lương vp nt3"/>
      <sheetName val="lương nt1"/>
      <sheetName val="lương sp"/>
      <sheetName val="Lương nt3."/>
      <sheetName val="lương nt2"/>
      <sheetName val="lương vp"/>
      <sheetName val="nhận tiền điện thoại"/>
      <sheetName val="Bảng kê lương (1 bản) (4)"/>
      <sheetName val="PHỤ CẤP OUDUMXAY"/>
      <sheetName val="2 tháng 9"/>
      <sheetName val="2 tháng 9 (2)"/>
      <sheetName val="lương"/>
      <sheetName val="lương quản lý"/>
      <sheetName val="ban điều hành"/>
      <sheetName val="lương trực tiếp"/>
      <sheetName val="lương đã nghỉ"/>
      <sheetName val="nt3"/>
      <sheetName val="nt3 TT"/>
      <sheetName val="nt2"/>
      <sheetName val="nt2 TT"/>
      <sheetName val="nt1"/>
      <sheetName val="nt1 TT"/>
      <sheetName val="nm"/>
      <sheetName val="nm tt"/>
      <sheetName val="Sheet4"/>
      <sheetName val="văn phòng"/>
      <sheetName val="vp tt"/>
      <sheetName val="CC"/>
      <sheetName val="sepon"/>
      <sheetName val="sepon TT"/>
      <sheetName val="kcs"/>
      <sheetName val="kcs tt"/>
      <sheetName val="lương usd nt1"/>
      <sheetName val="lương usd nhà máy"/>
      <sheetName val="lương nmcb"/>
      <sheetName val="lương usd sepon"/>
      <sheetName val="lương usd nt2"/>
      <sheetName val="BHXH"/>
      <sheetName val="Bảng Chấm công"/>
      <sheetName val="Chấm công"/>
      <sheetName val="chấm công tổ mua mủ"/>
      <sheetName val="Sheet5"/>
      <sheetName val="Sheet6"/>
      <sheetName val="Sheet7"/>
      <sheetName val="Lương người Lào (3 bản)"/>
      <sheetName val="Lương con người Lào"/>
      <sheetName val="cơm lăm ngân"/>
      <sheetName val="lái xe tải"/>
      <sheetName val="bảo vệ"/>
      <sheetName val="Chấm cơm"/>
      <sheetName val="Chấm công cơm"/>
      <sheetName val="Theo dõi hộ chiế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4">
          <cell r="S14">
            <v>6884.9319108145291</v>
          </cell>
        </row>
      </sheetData>
      <sheetData sheetId="40">
        <row r="14">
          <cell r="S14">
            <v>628.05555555555554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csu hiệu quả"/>
      <sheetName val="KHSX T5,2019"/>
      <sheetName val="Sheet1"/>
      <sheetName val="Sheet2"/>
      <sheetName val="KHSX T7"/>
      <sheetName val="BCSX T7"/>
      <sheetName val="KHSX BS  "/>
      <sheetName val="BCSX T7.1"/>
      <sheetName val="BCSX T7.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 sơ chế"/>
      <sheetName val="Luong"/>
      <sheetName val="Cham cong"/>
      <sheetName val="Com"/>
      <sheetName val="BHXH"/>
      <sheetName val="Bảo vệ VP"/>
      <sheetName val="Tạp vụ"/>
    </sheetNames>
    <sheetDataSet>
      <sheetData sheetId="0" refreshError="1"/>
      <sheetData sheetId="1" refreshError="1">
        <row r="8">
          <cell r="C8">
            <v>0.371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NB"/>
      <sheetName val="mủ (2)"/>
      <sheetName val="mủ"/>
      <sheetName val="A (2)"/>
      <sheetName val="B (2)"/>
      <sheetName val="C (2)"/>
      <sheetName val="D (2)"/>
      <sheetName val="ABCD"/>
      <sheetName val="Tổng NT"/>
      <sheetName val="VC NĐT"/>
      <sheetName val="vckd"/>
      <sheetName val="P.Lương"/>
      <sheetName val="VC KTCB"/>
      <sheetName val="VC TAI CANH"/>
      <sheetName val="C.B NV"/>
      <sheetName val="BẢO VỆ"/>
      <sheetName val="Biểu t.h"/>
      <sheetName val="Công việc khác"/>
      <sheetName val="ky thuật"/>
      <sheetName val="C.Công"/>
      <sheetName val="SL TH"/>
      <sheetName val="VC KD NĂM1"/>
      <sheetName val="VC KD NĂM2"/>
      <sheetName val="Phiếu KT"/>
      <sheetName val="P.CAP HOC CAO"/>
      <sheetName val="Phiếu KT (mau) "/>
      <sheetName val="BC"/>
      <sheetName val="BHXH"/>
      <sheetName val="Trang_tính1"/>
      <sheetName val=" Công"/>
      <sheetName val="mẩ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C18" t="str">
            <v>Văn Ma</v>
          </cell>
          <cell r="D18" t="str">
            <v>00483</v>
          </cell>
        </row>
        <row r="19">
          <cell r="C19" t="str">
            <v>Thảo Xúc</v>
          </cell>
          <cell r="D19" t="str">
            <v>00482</v>
          </cell>
        </row>
        <row r="20">
          <cell r="C20" t="str">
            <v>Phêng</v>
          </cell>
          <cell r="D20" t="str">
            <v>00495</v>
          </cell>
        </row>
        <row r="21">
          <cell r="C21" t="str">
            <v>Đon</v>
          </cell>
          <cell r="D21" t="str">
            <v>00491</v>
          </cell>
        </row>
        <row r="22">
          <cell r="C22" t="str">
            <v>Văt Đi</v>
          </cell>
          <cell r="D22" t="str">
            <v>00490</v>
          </cell>
        </row>
        <row r="23">
          <cell r="C23" t="str">
            <v>Stoong</v>
          </cell>
          <cell r="D23" t="str">
            <v>00493</v>
          </cell>
        </row>
        <row r="24">
          <cell r="C24" t="str">
            <v>Mon</v>
          </cell>
          <cell r="D24" t="str">
            <v>00501</v>
          </cell>
        </row>
        <row r="25">
          <cell r="C25" t="str">
            <v>Ngăn</v>
          </cell>
          <cell r="D25" t="str">
            <v>00480</v>
          </cell>
        </row>
        <row r="26">
          <cell r="C26" t="str">
            <v>Loon</v>
          </cell>
          <cell r="D26" t="str">
            <v>00739</v>
          </cell>
        </row>
        <row r="27">
          <cell r="C27" t="str">
            <v>May</v>
          </cell>
          <cell r="D27" t="str">
            <v>00742</v>
          </cell>
        </row>
        <row r="28">
          <cell r="C28" t="str">
            <v>Sũn</v>
          </cell>
        </row>
        <row r="29">
          <cell r="C29" t="str">
            <v>Nong</v>
          </cell>
        </row>
        <row r="30">
          <cell r="C30" t="str">
            <v>Bun Mi</v>
          </cell>
          <cell r="D30" t="str">
            <v>00745</v>
          </cell>
        </row>
        <row r="31">
          <cell r="C31" t="str">
            <v>Đăm</v>
          </cell>
          <cell r="D31" t="str">
            <v>00746</v>
          </cell>
        </row>
        <row r="32">
          <cell r="C32" t="str">
            <v>Đinh</v>
          </cell>
          <cell r="D32" t="str">
            <v>00748</v>
          </cell>
        </row>
        <row r="33">
          <cell r="C33" t="str">
            <v>Gà</v>
          </cell>
          <cell r="D33" t="str">
            <v>00749</v>
          </cell>
        </row>
        <row r="34">
          <cell r="C34" t="str">
            <v>Chanh</v>
          </cell>
          <cell r="D34" t="str">
            <v>00750</v>
          </cell>
        </row>
        <row r="35">
          <cell r="C35" t="str">
            <v>Quốc</v>
          </cell>
          <cell r="D35" t="str">
            <v>00751</v>
          </cell>
        </row>
        <row r="36">
          <cell r="C36" t="str">
            <v>Sum</v>
          </cell>
          <cell r="D36" t="str">
            <v>00752</v>
          </cell>
        </row>
        <row r="37">
          <cell r="C37" t="str">
            <v>Chăn Đi</v>
          </cell>
          <cell r="D37" t="str">
            <v>00753</v>
          </cell>
        </row>
        <row r="38">
          <cell r="C38" t="str">
            <v>Rạng</v>
          </cell>
          <cell r="D38" t="str">
            <v>00754</v>
          </cell>
        </row>
        <row r="39">
          <cell r="C39" t="str">
            <v>Savan</v>
          </cell>
          <cell r="D39" t="str">
            <v>00755</v>
          </cell>
        </row>
        <row r="40">
          <cell r="C40" t="str">
            <v>Ly</v>
          </cell>
          <cell r="D40" t="str">
            <v>00756</v>
          </cell>
        </row>
        <row r="41">
          <cell r="C41" t="str">
            <v>Đêng</v>
          </cell>
          <cell r="D41" t="str">
            <v>00757</v>
          </cell>
        </row>
        <row r="42">
          <cell r="C42" t="str">
            <v>Phông</v>
          </cell>
          <cell r="D42" t="str">
            <v>00758</v>
          </cell>
        </row>
        <row r="43">
          <cell r="C43" t="str">
            <v>Thông la</v>
          </cell>
          <cell r="D43" t="str">
            <v>00759</v>
          </cell>
        </row>
        <row r="44">
          <cell r="C44" t="str">
            <v>Hăm</v>
          </cell>
          <cell r="D44" t="str">
            <v>00760</v>
          </cell>
        </row>
        <row r="45">
          <cell r="C45" t="str">
            <v>Xấp</v>
          </cell>
          <cell r="D45" t="str">
            <v>00761</v>
          </cell>
        </row>
        <row r="46">
          <cell r="C46" t="str">
            <v>Đông Chăn</v>
          </cell>
          <cell r="D46" t="str">
            <v>00762</v>
          </cell>
        </row>
        <row r="47">
          <cell r="C47" t="str">
            <v>Nàng Nàng</v>
          </cell>
        </row>
        <row r="48">
          <cell r="C48" t="str">
            <v>Nàng Phất</v>
          </cell>
          <cell r="D48" t="str">
            <v>00896</v>
          </cell>
        </row>
        <row r="49">
          <cell r="C49" t="str">
            <v>Thảo Nọi</v>
          </cell>
          <cell r="D49" t="str">
            <v>00895</v>
          </cell>
        </row>
        <row r="50">
          <cell r="C50" t="str">
            <v>Nàng Tú</v>
          </cell>
          <cell r="D50" t="str">
            <v>00899</v>
          </cell>
        </row>
        <row r="51">
          <cell r="C51" t="str">
            <v>Nàng Cu lạp</v>
          </cell>
          <cell r="D51" t="str">
            <v>00897</v>
          </cell>
        </row>
        <row r="52">
          <cell r="C52" t="str">
            <v>Thảo Pon</v>
          </cell>
          <cell r="D52" t="str">
            <v>00898</v>
          </cell>
        </row>
        <row r="53">
          <cell r="C53" t="str">
            <v>Lọn</v>
          </cell>
          <cell r="D53" t="str">
            <v>00900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C10" t="str">
            <v>Văn Ma</v>
          </cell>
        </row>
        <row r="12">
          <cell r="C12" t="str">
            <v>Stoong</v>
          </cell>
        </row>
        <row r="13">
          <cell r="C13" t="str">
            <v>May</v>
          </cell>
        </row>
        <row r="14">
          <cell r="C14" t="str">
            <v>Nàng Phất</v>
          </cell>
        </row>
        <row r="15">
          <cell r="C15" t="str">
            <v>Ngăn</v>
          </cell>
        </row>
        <row r="16">
          <cell r="C16" t="str">
            <v>Đăm</v>
          </cell>
        </row>
        <row r="17">
          <cell r="C17" t="str">
            <v>Lọn</v>
          </cell>
        </row>
        <row r="18">
          <cell r="C18" t="str">
            <v>Văt Đi</v>
          </cell>
        </row>
        <row r="19">
          <cell r="C19" t="str">
            <v>Mon</v>
          </cell>
        </row>
        <row r="20">
          <cell r="C20" t="str">
            <v>Phêng</v>
          </cell>
        </row>
        <row r="21">
          <cell r="C21" t="str">
            <v>Bun Mi</v>
          </cell>
        </row>
        <row r="22">
          <cell r="C22" t="str">
            <v>Đon</v>
          </cell>
        </row>
        <row r="23">
          <cell r="C23" t="str">
            <v>Nàng Nàng</v>
          </cell>
        </row>
        <row r="24">
          <cell r="C24" t="str">
            <v>Nàng Cu lạp</v>
          </cell>
        </row>
        <row r="25">
          <cell r="C25" t="str">
            <v>Thảo Pon</v>
          </cell>
        </row>
        <row r="26">
          <cell r="C26" t="str">
            <v>Nàng Tú</v>
          </cell>
        </row>
        <row r="27">
          <cell r="C27" t="str">
            <v>Thảo Nọi</v>
          </cell>
        </row>
        <row r="28">
          <cell r="C28" t="str">
            <v>Hăm</v>
          </cell>
        </row>
        <row r="29">
          <cell r="C29" t="str">
            <v>Loon</v>
          </cell>
        </row>
        <row r="30">
          <cell r="C30" t="str">
            <v>Phông</v>
          </cell>
        </row>
        <row r="31">
          <cell r="C31" t="str">
            <v>Đông Chăn</v>
          </cell>
        </row>
        <row r="32">
          <cell r="C32" t="str">
            <v>Thông la</v>
          </cell>
        </row>
        <row r="33">
          <cell r="C33" t="str">
            <v>Xấp</v>
          </cell>
        </row>
        <row r="34">
          <cell r="C34" t="str">
            <v>kham</v>
          </cell>
        </row>
        <row r="35">
          <cell r="C35" t="str">
            <v>Lay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Lương gia thuộc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Hổ trợ 2421"/>
      <sheetName val="TRƯỞNG BẢN"/>
      <sheetName val="Sheet3"/>
      <sheetName val="KHSX T8"/>
      <sheetName val="BCSXT7"/>
      <sheetName val="BCSX T8"/>
      <sheetName val="KHSX T9"/>
      <sheetName val="bcsx t9"/>
      <sheetName val="khsx t10"/>
      <sheetName val="TỔNG HỢP CHI PHÍ KHÁC"/>
      <sheetName val="Thiết kế cạo ngửa"/>
      <sheetName val="Sheet5"/>
      <sheetName val="xã cạo miệng cũ t1"/>
      <sheetName val="xã cạo miệng mới t1"/>
      <sheetName val="xã cạo t2"/>
      <sheetName val="Thiết kế t2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>
        <row r="49">
          <cell r="L49" t="str">
            <v>Thảo Đa Văn</v>
          </cell>
        </row>
        <row r="51">
          <cell r="L51" t="str">
            <v>Thảo Xa Đết</v>
          </cell>
        </row>
        <row r="52">
          <cell r="L52" t="str">
            <v>Thảo Sột</v>
          </cell>
        </row>
        <row r="53">
          <cell r="L53" t="str">
            <v>Stoong</v>
          </cell>
        </row>
        <row r="54">
          <cell r="L54" t="str">
            <v>Nàng Phắt</v>
          </cell>
        </row>
        <row r="55">
          <cell r="L55" t="str">
            <v>Nàng May</v>
          </cell>
        </row>
        <row r="56">
          <cell r="L56" t="str">
            <v>Thảo Bênh</v>
          </cell>
        </row>
        <row r="57">
          <cell r="L57" t="str">
            <v>Thảo Đinh</v>
          </cell>
        </row>
        <row r="58">
          <cell r="L58" t="str">
            <v>Thảo Vi</v>
          </cell>
        </row>
        <row r="59">
          <cell r="L59" t="str">
            <v>Thảo Văn</v>
          </cell>
        </row>
        <row r="60">
          <cell r="L60" t="str">
            <v>Nàng Phìn</v>
          </cell>
        </row>
        <row r="61">
          <cell r="L61" t="str">
            <v>Mẹ Sột</v>
          </cell>
        </row>
        <row r="62">
          <cell r="L62" t="str">
            <v>Nàng Heo</v>
          </cell>
        </row>
        <row r="63">
          <cell r="L63" t="str">
            <v>Thảo Chăn Ti</v>
          </cell>
        </row>
        <row r="64">
          <cell r="L64" t="str">
            <v>Nàng Ve</v>
          </cell>
        </row>
        <row r="65">
          <cell r="L65" t="str">
            <v>Nàng Phết</v>
          </cell>
        </row>
        <row r="66">
          <cell r="L66" t="str">
            <v>Thảo On</v>
          </cell>
        </row>
        <row r="67">
          <cell r="L67" t="str">
            <v>Thảo Sum</v>
          </cell>
        </row>
        <row r="68">
          <cell r="L68" t="str">
            <v>Cha La</v>
          </cell>
        </row>
        <row r="69">
          <cell r="L69" t="str">
            <v>Nàng Binh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6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7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0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1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60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1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2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64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65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66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7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68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69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70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71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72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7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7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7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U47"/>
  <sheetViews>
    <sheetView tabSelected="1" topLeftCell="A4" zoomScale="70" zoomScaleNormal="70" workbookViewId="0">
      <pane ySplit="8" topLeftCell="A20" activePane="bottomLeft" state="frozen"/>
      <selection activeCell="A4" sqref="A4"/>
      <selection pane="bottomLeft" activeCell="N28" sqref="N28"/>
    </sheetView>
  </sheetViews>
  <sheetFormatPr defaultColWidth="11.375" defaultRowHeight="16.5"/>
  <cols>
    <col min="1" max="1" width="9" style="156" customWidth="1"/>
    <col min="2" max="2" width="42" style="156" customWidth="1"/>
    <col min="3" max="3" width="17" style="281" customWidth="1"/>
    <col min="4" max="4" width="19" style="974" customWidth="1"/>
    <col min="5" max="5" width="16" style="777" customWidth="1"/>
    <col min="6" max="6" width="19.375" style="684" customWidth="1"/>
    <col min="7" max="7" width="20.375" style="684" customWidth="1"/>
    <col min="8" max="8" width="18.375" style="684" hidden="1" customWidth="1"/>
    <col min="9" max="9" width="21.875" style="977" customWidth="1"/>
    <col min="10" max="10" width="14.125" style="156" customWidth="1"/>
    <col min="11" max="11" width="20" style="156" hidden="1" customWidth="1"/>
    <col min="12" max="12" width="23.875" style="156" hidden="1" customWidth="1"/>
    <col min="13" max="13" width="11.375" style="156"/>
    <col min="14" max="14" width="19.75" style="156" bestFit="1" customWidth="1"/>
    <col min="15" max="16384" width="11.375" style="156"/>
  </cols>
  <sheetData>
    <row r="1" spans="1:21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</row>
    <row r="2" spans="1:21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</row>
    <row r="3" spans="1:21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1472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>
      <c r="A4" s="3949" t="s">
        <v>574</v>
      </c>
      <c r="B4" s="3949"/>
      <c r="C4" s="3949"/>
      <c r="D4" s="971"/>
      <c r="E4" s="156"/>
      <c r="F4" s="156"/>
      <c r="G4" s="156"/>
      <c r="H4" s="156"/>
    </row>
    <row r="5" spans="1:21">
      <c r="A5" s="3945" t="s">
        <v>541</v>
      </c>
      <c r="B5" s="3945"/>
      <c r="C5" s="3945"/>
      <c r="D5" s="972"/>
      <c r="E5" s="156"/>
      <c r="F5" s="156"/>
      <c r="G5" s="156"/>
      <c r="H5" s="156"/>
    </row>
    <row r="6" spans="1:21" ht="10.5" customHeight="1">
      <c r="D6" s="973"/>
      <c r="H6" s="778"/>
      <c r="I6" s="978"/>
    </row>
    <row r="7" spans="1:21">
      <c r="D7" s="973"/>
      <c r="E7" s="796"/>
      <c r="F7" s="796"/>
      <c r="G7" s="2425"/>
      <c r="H7" s="796"/>
      <c r="I7" s="979"/>
    </row>
    <row r="8" spans="1:21" s="157" customFormat="1" ht="18.75">
      <c r="A8" s="3951" t="s">
        <v>1806</v>
      </c>
      <c r="B8" s="3951"/>
      <c r="C8" s="3951"/>
      <c r="D8" s="3951"/>
      <c r="E8" s="3951"/>
      <c r="F8" s="3951"/>
      <c r="G8" s="3951"/>
      <c r="H8" s="3951"/>
      <c r="I8" s="3951"/>
    </row>
    <row r="9" spans="1:21" ht="23.25" customHeight="1">
      <c r="A9" s="3945" t="s">
        <v>1807</v>
      </c>
      <c r="B9" s="3945"/>
      <c r="C9" s="3945"/>
      <c r="D9" s="3945"/>
      <c r="E9" s="3945"/>
      <c r="F9" s="3945"/>
      <c r="G9" s="3945"/>
      <c r="H9" s="3945"/>
      <c r="I9" s="3945"/>
    </row>
    <row r="10" spans="1:21" ht="15.75" customHeight="1">
      <c r="A10" s="693"/>
      <c r="B10" s="1859"/>
      <c r="F10" s="778"/>
      <c r="G10" s="2430"/>
      <c r="I10" s="778" t="s">
        <v>1168</v>
      </c>
    </row>
    <row r="11" spans="1:21" s="782" customFormat="1" ht="60.75" customHeight="1">
      <c r="A11" s="2042" t="s">
        <v>1</v>
      </c>
      <c r="B11" s="2042" t="s">
        <v>669</v>
      </c>
      <c r="C11" s="780" t="s">
        <v>623</v>
      </c>
      <c r="D11" s="975" t="s">
        <v>670</v>
      </c>
      <c r="E11" s="781" t="s">
        <v>671</v>
      </c>
      <c r="F11" s="781" t="s">
        <v>1247</v>
      </c>
      <c r="G11" s="781" t="s">
        <v>802</v>
      </c>
      <c r="H11" s="781" t="s">
        <v>1248</v>
      </c>
      <c r="I11" s="980" t="s">
        <v>634</v>
      </c>
    </row>
    <row r="12" spans="1:21" ht="30" customHeight="1">
      <c r="A12" s="783" t="s">
        <v>147</v>
      </c>
      <c r="B12" s="797" t="s">
        <v>1141</v>
      </c>
      <c r="C12" s="784"/>
      <c r="D12" s="967"/>
      <c r="E12" s="967"/>
      <c r="F12" s="790"/>
      <c r="G12" s="968">
        <f>G13+G32</f>
        <v>165503662</v>
      </c>
      <c r="H12" s="968"/>
      <c r="I12" s="981"/>
      <c r="K12" s="1856" t="s">
        <v>847</v>
      </c>
      <c r="L12" s="1860">
        <v>21754</v>
      </c>
    </row>
    <row r="13" spans="1:21" ht="29.25" customHeight="1">
      <c r="A13" s="783">
        <v>1</v>
      </c>
      <c r="B13" s="797" t="s">
        <v>1142</v>
      </c>
      <c r="C13" s="784"/>
      <c r="D13" s="967"/>
      <c r="E13" s="967"/>
      <c r="F13" s="790"/>
      <c r="G13" s="968">
        <f>G14+G23+G31</f>
        <v>129103662</v>
      </c>
      <c r="H13" s="968"/>
      <c r="I13" s="981"/>
      <c r="J13" s="1856"/>
      <c r="K13" s="1857"/>
      <c r="L13" s="1860"/>
    </row>
    <row r="14" spans="1:21" ht="27.75" customHeight="1">
      <c r="A14" s="788" t="s">
        <v>837</v>
      </c>
      <c r="B14" s="789" t="s">
        <v>672</v>
      </c>
      <c r="C14" s="786"/>
      <c r="D14" s="967"/>
      <c r="E14" s="967">
        <f>+SUM(E15:E22)</f>
        <v>5465.5649999999978</v>
      </c>
      <c r="F14" s="967"/>
      <c r="G14" s="2718">
        <f>SUM(G15:G20)</f>
        <v>21440661</v>
      </c>
      <c r="H14" s="2443"/>
      <c r="I14" s="982"/>
      <c r="J14" s="1858"/>
      <c r="K14" s="1859" t="s">
        <v>894</v>
      </c>
      <c r="L14" s="3943">
        <v>646.20000000000005</v>
      </c>
      <c r="M14" s="2394"/>
      <c r="N14" s="2394"/>
    </row>
    <row r="15" spans="1:21" ht="32.25" customHeight="1">
      <c r="A15" s="787"/>
      <c r="B15" s="2044" t="s">
        <v>673</v>
      </c>
      <c r="C15" s="2045" t="s">
        <v>377</v>
      </c>
      <c r="D15" s="967"/>
      <c r="E15" s="967">
        <f>+SUMIF('BẢNG LƯƠNG KT'!$K$17:$K$74,"A",'BẢNG LƯƠNG KT'!$J$17:$J$74)</f>
        <v>2944.8809144704869</v>
      </c>
      <c r="F15" s="967">
        <f>6.1*$L$14</f>
        <v>3941.82</v>
      </c>
      <c r="G15" s="967">
        <f>ROUND((E15*F15),0)</f>
        <v>11608190</v>
      </c>
      <c r="H15" s="1970"/>
      <c r="I15" s="982"/>
      <c r="J15" s="3541"/>
      <c r="K15" s="705"/>
      <c r="L15" s="3942">
        <v>655.8</v>
      </c>
      <c r="M15" s="2381"/>
      <c r="N15" s="1703"/>
    </row>
    <row r="16" spans="1:21" ht="32.25" customHeight="1">
      <c r="A16" s="787"/>
      <c r="B16" s="2044" t="s">
        <v>674</v>
      </c>
      <c r="C16" s="786" t="s">
        <v>377</v>
      </c>
      <c r="D16" s="967"/>
      <c r="E16" s="967">
        <f>+SUMIF('BẢNG LƯƠNG KT'!$K$17:$K$74,"B",'BẢNG LƯƠNG KT'!$J$17:$J$74)</f>
        <v>1455.0998341708209</v>
      </c>
      <c r="F16" s="967">
        <f>5.8*$L$14</f>
        <v>3747.96</v>
      </c>
      <c r="G16" s="967">
        <f>ROUND((E16*F16),0)-1</f>
        <v>5453655</v>
      </c>
      <c r="H16" s="1970"/>
      <c r="I16" s="982"/>
      <c r="J16" s="3541"/>
      <c r="K16" s="705"/>
      <c r="L16" s="3614"/>
      <c r="M16" s="2396"/>
      <c r="N16" s="2395"/>
    </row>
    <row r="17" spans="1:20" ht="32.25" customHeight="1">
      <c r="A17" s="787"/>
      <c r="B17" s="2044" t="s">
        <v>675</v>
      </c>
      <c r="C17" s="786" t="s">
        <v>377</v>
      </c>
      <c r="D17" s="967"/>
      <c r="E17" s="967">
        <f>+SUMIF('BẢNG LƯƠNG KT'!$K$17:$K$74,"C",'BẢNG LƯƠNG KT'!$J$17:$J$74)</f>
        <v>222.89625135869073</v>
      </c>
      <c r="F17" s="967">
        <f>5.5*$L$14</f>
        <v>3554.1000000000004</v>
      </c>
      <c r="G17" s="967">
        <f>ROUND((E17*F17),0)-1</f>
        <v>792195</v>
      </c>
      <c r="H17" s="1970"/>
      <c r="I17" s="982"/>
      <c r="J17" s="3541"/>
      <c r="K17" s="705"/>
      <c r="L17" s="3556"/>
      <c r="M17" s="2396"/>
      <c r="N17" s="2395"/>
    </row>
    <row r="18" spans="1:20" ht="32.25" hidden="1" customHeight="1">
      <c r="A18" s="787"/>
      <c r="B18" s="2044" t="s">
        <v>1102</v>
      </c>
      <c r="C18" s="786" t="s">
        <v>377</v>
      </c>
      <c r="D18" s="967"/>
      <c r="E18" s="967">
        <f>+SUMIF('BẢNG LƯƠNG KT'!$K$17:$K$52,"D",'BẢNG LƯƠNG KT'!$J$17:$J$52)</f>
        <v>0</v>
      </c>
      <c r="F18" s="967">
        <f>5.2*$L$14</f>
        <v>3360.2400000000002</v>
      </c>
      <c r="G18" s="967">
        <f t="shared" ref="G18" si="0">ROUND((E18*F18),0)</f>
        <v>0</v>
      </c>
      <c r="H18" s="1970"/>
      <c r="I18" s="982"/>
      <c r="J18" s="3541"/>
      <c r="K18" s="705"/>
      <c r="L18" s="3556"/>
      <c r="M18" s="2396"/>
      <c r="N18" s="2395"/>
    </row>
    <row r="19" spans="1:20" ht="32.25" customHeight="1">
      <c r="A19" s="787"/>
      <c r="B19" s="2044" t="s">
        <v>843</v>
      </c>
      <c r="C19" s="786" t="s">
        <v>377</v>
      </c>
      <c r="D19" s="967"/>
      <c r="E19" s="967">
        <f>+SUMIF('BẢNG LƯƠNG KT'!$K$77:$K$92,"A",'BẢNG LƯƠNG KT'!$J$77:$J$92)</f>
        <v>523.74971595900433</v>
      </c>
      <c r="F19" s="967">
        <f>+(6.1+0.6)*$L$14</f>
        <v>4329.54</v>
      </c>
      <c r="G19" s="967">
        <f>ROUND((E19*F19),0)</f>
        <v>2267595</v>
      </c>
      <c r="H19" s="1970"/>
      <c r="I19" s="982"/>
      <c r="J19" s="3541"/>
      <c r="K19" s="705"/>
      <c r="L19" s="3556"/>
      <c r="M19" s="2396"/>
      <c r="N19" s="2395"/>
    </row>
    <row r="20" spans="1:20" ht="32.25" customHeight="1">
      <c r="A20" s="787"/>
      <c r="B20" s="2044" t="s">
        <v>844</v>
      </c>
      <c r="C20" s="786" t="s">
        <v>377</v>
      </c>
      <c r="D20" s="967"/>
      <c r="E20" s="967">
        <f>+SUMIF('BẢNG LƯƠNG KT'!$K$77:$K$92,"B",'BẢNG LƯƠNG KT'!$J$77:$J$92)</f>
        <v>318.93828404099565</v>
      </c>
      <c r="F20" s="967">
        <f>+(5.8+0.6)*$L$14</f>
        <v>4135.68</v>
      </c>
      <c r="G20" s="967">
        <f>ROUND((E20*F20),0)-1</f>
        <v>1319026</v>
      </c>
      <c r="H20" s="1970"/>
      <c r="I20" s="982"/>
      <c r="J20" s="3541"/>
      <c r="K20" s="705"/>
      <c r="L20" s="2395"/>
      <c r="M20" s="2396"/>
      <c r="N20" s="2395"/>
    </row>
    <row r="21" spans="1:20" ht="32.25" hidden="1" customHeight="1">
      <c r="A21" s="787"/>
      <c r="B21" s="2044" t="s">
        <v>768</v>
      </c>
      <c r="C21" s="786" t="s">
        <v>377</v>
      </c>
      <c r="D21" s="967"/>
      <c r="E21" s="967">
        <f>+SUMIF('BẢNG LƯƠNG KT'!$K$77:$K$92,"C",'BẢNG LƯƠNG KT'!$J$77:$J$92)</f>
        <v>0</v>
      </c>
      <c r="F21" s="967">
        <f>+(5.5+0.6)*$L$14</f>
        <v>3941.82</v>
      </c>
      <c r="G21" s="967">
        <f>E21*F21</f>
        <v>0</v>
      </c>
      <c r="H21" s="1970">
        <f t="shared" ref="H21:H22" si="1">+E21*F21</f>
        <v>0</v>
      </c>
      <c r="I21" s="982"/>
      <c r="K21" s="705"/>
      <c r="L21" s="2395"/>
      <c r="M21" s="2396"/>
      <c r="N21" s="2395"/>
    </row>
    <row r="22" spans="1:20" ht="32.25" hidden="1" customHeight="1">
      <c r="A22" s="787"/>
      <c r="B22" s="2044" t="s">
        <v>845</v>
      </c>
      <c r="C22" s="786" t="s">
        <v>377</v>
      </c>
      <c r="D22" s="967"/>
      <c r="E22" s="967">
        <f>+SUMIF('BẢNG LƯƠNG KT'!$K$77:$K$92,"D",'BẢNG LƯƠNG KT'!$J$77:$J$92)</f>
        <v>0</v>
      </c>
      <c r="F22" s="967">
        <f>+(5.2+0.6)*$L$14</f>
        <v>3747.96</v>
      </c>
      <c r="G22" s="967">
        <f t="shared" ref="G22" si="2">E22*F22</f>
        <v>0</v>
      </c>
      <c r="H22" s="1970">
        <f t="shared" si="1"/>
        <v>0</v>
      </c>
      <c r="I22" s="982"/>
      <c r="K22" s="705"/>
      <c r="L22" s="2395"/>
      <c r="M22" s="2396"/>
      <c r="N22" s="2395"/>
    </row>
    <row r="23" spans="1:20" ht="32.25" customHeight="1">
      <c r="A23" s="788" t="s">
        <v>838</v>
      </c>
      <c r="B23" s="789" t="s">
        <v>1354</v>
      </c>
      <c r="C23" s="784" t="s">
        <v>362</v>
      </c>
      <c r="D23" s="790">
        <f>+SUM(D24:D29)</f>
        <v>2060</v>
      </c>
      <c r="E23" s="790"/>
      <c r="F23" s="967"/>
      <c r="G23" s="1970">
        <f>SUM(G24:G30)</f>
        <v>107663001</v>
      </c>
      <c r="H23" s="1970"/>
      <c r="I23" s="982"/>
      <c r="J23" s="684"/>
      <c r="K23" s="705"/>
      <c r="L23" s="3556"/>
      <c r="M23" s="2396"/>
      <c r="N23" s="2395"/>
    </row>
    <row r="24" spans="1:20" ht="32.25" customHeight="1">
      <c r="A24" s="787"/>
      <c r="B24" s="2044" t="s">
        <v>1253</v>
      </c>
      <c r="C24" s="784" t="s">
        <v>829</v>
      </c>
      <c r="D24" s="790">
        <f>'BẢNG LƯƠNG KT'!M16+'BẢNG LƯƠNG KT'!M55</f>
        <v>763</v>
      </c>
      <c r="E24" s="790"/>
      <c r="F24" s="967">
        <f>46.1*'BẢNG PHÂN TOÁN'!$L$15</f>
        <v>30232.379999999997</v>
      </c>
      <c r="G24" s="967">
        <f>ROUND((D24*F24),0)</f>
        <v>23067306</v>
      </c>
      <c r="H24" s="1970"/>
      <c r="I24" s="982"/>
      <c r="K24" s="705"/>
      <c r="L24" s="2381"/>
      <c r="M24" s="2381"/>
      <c r="N24" s="2381"/>
    </row>
    <row r="25" spans="1:20" ht="32.25" customHeight="1">
      <c r="A25" s="787"/>
      <c r="B25" s="2044" t="s">
        <v>1254</v>
      </c>
      <c r="C25" s="784" t="s">
        <v>829</v>
      </c>
      <c r="D25" s="790">
        <f>'BẢNG LƯƠNG KT'!N55+'BẢNG LƯƠNG KT'!N16</f>
        <v>135</v>
      </c>
      <c r="E25" s="790"/>
      <c r="F25" s="967">
        <f>76.9*$L$15</f>
        <v>50431.02</v>
      </c>
      <c r="G25" s="967">
        <f t="shared" ref="G25:G27" si="3">ROUND((D25*F25),0)</f>
        <v>6808188</v>
      </c>
      <c r="H25" s="1970"/>
      <c r="I25" s="982"/>
      <c r="K25" s="2380"/>
      <c r="L25" s="2381"/>
      <c r="M25" s="2381"/>
      <c r="N25" s="2381"/>
      <c r="O25" s="2381"/>
      <c r="P25" s="2381"/>
      <c r="Q25" s="2381"/>
      <c r="R25" s="2381"/>
      <c r="S25" s="2381"/>
      <c r="T25" s="2381"/>
    </row>
    <row r="26" spans="1:20" ht="32.25" customHeight="1">
      <c r="A26" s="787"/>
      <c r="B26" s="2157" t="s">
        <v>1241</v>
      </c>
      <c r="C26" s="784" t="s">
        <v>829</v>
      </c>
      <c r="D26" s="790">
        <f>'BẢNG LƯƠNG KT'!O94</f>
        <v>19</v>
      </c>
      <c r="E26" s="790"/>
      <c r="F26" s="967">
        <f>76.8*'BẢNG PHÂN TOÁN'!$L$15</f>
        <v>50365.439999999995</v>
      </c>
      <c r="G26" s="967">
        <f t="shared" si="3"/>
        <v>956943</v>
      </c>
      <c r="H26" s="1970"/>
      <c r="I26" s="982"/>
      <c r="K26" s="2380"/>
      <c r="L26" s="3271"/>
      <c r="M26" s="2381"/>
      <c r="N26" s="2381"/>
      <c r="O26" s="2381"/>
      <c r="P26" s="2381"/>
      <c r="Q26" s="2381"/>
      <c r="R26" s="2381"/>
      <c r="S26" s="2381"/>
      <c r="T26" s="2381"/>
    </row>
    <row r="27" spans="1:20" s="3564" customFormat="1" ht="32.25" customHeight="1">
      <c r="A27" s="787"/>
      <c r="B27" s="2157" t="s">
        <v>1250</v>
      </c>
      <c r="C27" s="784" t="s">
        <v>829</v>
      </c>
      <c r="D27" s="790">
        <f>'BẢNG LƯƠNG KT'!P94</f>
        <v>1</v>
      </c>
      <c r="E27" s="790"/>
      <c r="F27" s="967">
        <f>107.6*'BẢNG PHÂN TOÁN'!$L$15</f>
        <v>70564.079999999987</v>
      </c>
      <c r="G27" s="967">
        <f t="shared" si="3"/>
        <v>70564</v>
      </c>
      <c r="H27" s="1970"/>
      <c r="I27" s="982"/>
      <c r="K27" s="3565"/>
      <c r="L27" s="3566"/>
    </row>
    <row r="28" spans="1:20" ht="32.25" customHeight="1">
      <c r="A28" s="3557"/>
      <c r="B28" s="3558" t="s">
        <v>1101</v>
      </c>
      <c r="C28" s="3559" t="s">
        <v>829</v>
      </c>
      <c r="D28" s="3560">
        <f>SUM(D24:D27)</f>
        <v>918</v>
      </c>
      <c r="E28" s="3560"/>
      <c r="F28" s="3561">
        <v>20000</v>
      </c>
      <c r="G28" s="967">
        <f t="shared" ref="G28:G29" si="4">ROUND((D28*F28),0)</f>
        <v>18360000</v>
      </c>
      <c r="H28" s="3562"/>
      <c r="I28" s="3563"/>
      <c r="K28" s="2380"/>
      <c r="M28" s="2381"/>
      <c r="N28" s="2381"/>
      <c r="O28" s="2381"/>
      <c r="P28" s="2381"/>
      <c r="Q28" s="2381"/>
      <c r="R28" s="2381"/>
      <c r="S28" s="2381"/>
      <c r="T28" s="2381"/>
    </row>
    <row r="29" spans="1:20" ht="32.25" customHeight="1">
      <c r="A29" s="787"/>
      <c r="B29" s="2044" t="s">
        <v>1309</v>
      </c>
      <c r="C29" s="784" t="s">
        <v>829</v>
      </c>
      <c r="D29" s="790">
        <f>'BẢNG LƯƠNG KT'!M76+'BẢNG LƯƠNG KT'!N76</f>
        <v>224</v>
      </c>
      <c r="E29" s="790"/>
      <c r="F29" s="967">
        <v>100000</v>
      </c>
      <c r="G29" s="967">
        <f t="shared" si="4"/>
        <v>22400000</v>
      </c>
      <c r="H29" s="1970"/>
      <c r="I29" s="982"/>
      <c r="L29" s="2383"/>
      <c r="M29" s="2381"/>
      <c r="N29" s="2381"/>
      <c r="O29" s="2381"/>
      <c r="P29" s="2381"/>
      <c r="Q29" s="2381"/>
      <c r="R29" s="2381"/>
      <c r="S29" s="2381"/>
      <c r="T29" s="2381"/>
    </row>
    <row r="30" spans="1:20" ht="32.25" customHeight="1">
      <c r="A30" s="787"/>
      <c r="B30" s="2044" t="s">
        <v>1893</v>
      </c>
      <c r="C30" s="784" t="s">
        <v>362</v>
      </c>
      <c r="D30" s="790">
        <f>'BẢNG LƯƠNG KT'!R94</f>
        <v>1440</v>
      </c>
      <c r="E30" s="790"/>
      <c r="F30" s="967">
        <v>25000</v>
      </c>
      <c r="G30" s="967">
        <f>D30*F30</f>
        <v>36000000</v>
      </c>
      <c r="H30" s="1970"/>
      <c r="I30" s="982"/>
      <c r="L30" s="2383"/>
      <c r="M30" s="2381"/>
      <c r="N30" s="2381"/>
      <c r="O30" s="2381"/>
      <c r="P30" s="2381"/>
      <c r="Q30" s="2381"/>
      <c r="R30" s="2381"/>
      <c r="S30" s="2381"/>
      <c r="T30" s="2381"/>
    </row>
    <row r="31" spans="1:20" ht="32.25" customHeight="1">
      <c r="A31" s="788" t="s">
        <v>1044</v>
      </c>
      <c r="B31" s="789" t="s">
        <v>1103</v>
      </c>
      <c r="C31" s="784" t="s">
        <v>362</v>
      </c>
      <c r="D31" s="1971">
        <f>'BẢNG LƯƠNG KT'!G94</f>
        <v>0</v>
      </c>
      <c r="E31" s="790"/>
      <c r="F31" s="967">
        <v>25000</v>
      </c>
      <c r="G31" s="967">
        <f>D31*F31</f>
        <v>0</v>
      </c>
      <c r="H31" s="1970"/>
      <c r="I31" s="982"/>
      <c r="K31" s="2380">
        <f>'1'!U52+'2'!U39+'3'!S33</f>
        <v>129103662</v>
      </c>
      <c r="L31" s="2383"/>
      <c r="M31" s="2381"/>
      <c r="N31" s="2384"/>
      <c r="O31" s="2381"/>
      <c r="P31" s="2381"/>
      <c r="Q31" s="2381"/>
      <c r="R31" s="2381"/>
      <c r="S31" s="2381"/>
      <c r="T31" s="2381"/>
    </row>
    <row r="32" spans="1:20" s="2403" customFormat="1" ht="32.25" customHeight="1">
      <c r="A32" s="783">
        <v>2</v>
      </c>
      <c r="B32" s="797" t="s">
        <v>676</v>
      </c>
      <c r="C32" s="2397" t="s">
        <v>362</v>
      </c>
      <c r="D32" s="2398">
        <f>G32/F32</f>
        <v>1456</v>
      </c>
      <c r="E32" s="2399"/>
      <c r="F32" s="2400">
        <v>25000</v>
      </c>
      <c r="G32" s="2400">
        <f>BV!U26</f>
        <v>36400000</v>
      </c>
      <c r="H32" s="2401"/>
      <c r="I32" s="2402"/>
      <c r="K32" s="3270">
        <f>'Tạp vụ'!M14</f>
        <v>1700000</v>
      </c>
      <c r="L32" s="3270"/>
      <c r="M32" s="2405"/>
      <c r="N32" s="2406"/>
      <c r="O32" s="2385"/>
      <c r="P32" s="2405"/>
      <c r="Q32" s="2405"/>
      <c r="R32" s="2405"/>
      <c r="S32" s="2405"/>
      <c r="T32" s="2405"/>
    </row>
    <row r="33" spans="1:20" s="2403" customFormat="1" ht="32.25" hidden="1" customHeight="1">
      <c r="A33" s="783" t="s">
        <v>148</v>
      </c>
      <c r="B33" s="797" t="s">
        <v>1239</v>
      </c>
      <c r="C33" s="2397" t="s">
        <v>362</v>
      </c>
      <c r="D33" s="3168">
        <f>D34</f>
        <v>0</v>
      </c>
      <c r="E33" s="2399"/>
      <c r="F33" s="2400">
        <v>25000</v>
      </c>
      <c r="G33" s="2400">
        <f>G34</f>
        <v>0</v>
      </c>
      <c r="H33" s="2400"/>
      <c r="I33" s="2402"/>
      <c r="K33" s="3270"/>
      <c r="L33" s="2404"/>
      <c r="M33" s="2405"/>
      <c r="N33" s="2406"/>
      <c r="O33" s="2385"/>
      <c r="P33" s="2405"/>
      <c r="Q33" s="2405"/>
      <c r="R33" s="2405"/>
      <c r="S33" s="2405"/>
      <c r="T33" s="2405"/>
    </row>
    <row r="34" spans="1:20" s="1387" customFormat="1" ht="32.25" hidden="1" customHeight="1">
      <c r="A34" s="787">
        <v>1</v>
      </c>
      <c r="B34" s="2044" t="s">
        <v>1240</v>
      </c>
      <c r="C34" s="2716" t="s">
        <v>362</v>
      </c>
      <c r="D34" s="3039"/>
      <c r="E34" s="2717"/>
      <c r="F34" s="2718">
        <v>25000</v>
      </c>
      <c r="G34" s="2718">
        <f>D34*F34</f>
        <v>0</v>
      </c>
      <c r="H34" s="2718"/>
      <c r="I34" s="2719"/>
      <c r="K34" s="3376"/>
      <c r="L34" s="2721"/>
      <c r="M34" s="2721"/>
      <c r="N34" s="2722"/>
      <c r="O34" s="2723"/>
      <c r="P34" s="2721"/>
      <c r="Q34" s="2721"/>
      <c r="R34" s="2721"/>
      <c r="S34" s="2721"/>
      <c r="T34" s="2721"/>
    </row>
    <row r="35" spans="1:20" s="1387" customFormat="1" ht="32.25" customHeight="1">
      <c r="A35" s="783" t="s">
        <v>148</v>
      </c>
      <c r="B35" s="797" t="s">
        <v>1370</v>
      </c>
      <c r="C35" s="2397" t="s">
        <v>829</v>
      </c>
      <c r="D35" s="3461">
        <f>'Tạp vụ'!G13</f>
        <v>30</v>
      </c>
      <c r="E35" s="2717"/>
      <c r="F35" s="2400">
        <f>G35/D35</f>
        <v>56666.666666666664</v>
      </c>
      <c r="G35" s="2400">
        <f>'Tạp vụ'!M14</f>
        <v>1700000</v>
      </c>
      <c r="H35" s="2400"/>
      <c r="I35" s="2719"/>
      <c r="K35" s="3376">
        <f>BV!U26</f>
        <v>36400000</v>
      </c>
      <c r="L35" s="2721"/>
      <c r="M35" s="2721"/>
      <c r="N35" s="2722"/>
      <c r="O35" s="2723"/>
      <c r="P35" s="2721"/>
      <c r="Q35" s="2721"/>
      <c r="R35" s="2721"/>
      <c r="S35" s="2721"/>
      <c r="T35" s="2721"/>
    </row>
    <row r="36" spans="1:20" ht="32.25" customHeight="1">
      <c r="A36" s="3948" t="s">
        <v>677</v>
      </c>
      <c r="B36" s="3948"/>
      <c r="C36" s="785"/>
      <c r="D36" s="969"/>
      <c r="E36" s="969">
        <f>E14</f>
        <v>5465.5649999999978</v>
      </c>
      <c r="F36" s="967"/>
      <c r="G36" s="970">
        <f>G12+G33+G35</f>
        <v>167203662</v>
      </c>
      <c r="H36" s="970"/>
      <c r="I36" s="983"/>
      <c r="K36" s="3377">
        <f>SUM(K31:K35)</f>
        <v>167203662</v>
      </c>
      <c r="L36" s="2380"/>
      <c r="M36" s="2384"/>
      <c r="N36" s="3271"/>
      <c r="O36" s="2381"/>
      <c r="P36" s="2381"/>
      <c r="Q36" s="2381"/>
      <c r="R36" s="2381"/>
      <c r="S36" s="2381"/>
      <c r="T36" s="2381"/>
    </row>
    <row r="37" spans="1:20" ht="26.25" customHeight="1">
      <c r="A37" s="3946" t="s">
        <v>1921</v>
      </c>
      <c r="B37" s="3947"/>
      <c r="C37" s="3947"/>
      <c r="D37" s="3947"/>
      <c r="E37" s="3947"/>
      <c r="F37" s="3947"/>
      <c r="G37" s="3947"/>
      <c r="H37" s="3947"/>
      <c r="I37" s="3947"/>
      <c r="K37" s="3891"/>
      <c r="L37" s="2384"/>
      <c r="M37" s="2381"/>
      <c r="N37" s="2383"/>
      <c r="O37" s="2381"/>
      <c r="P37" s="2381"/>
      <c r="Q37" s="2381"/>
      <c r="R37" s="2381"/>
      <c r="S37" s="2381"/>
      <c r="T37" s="2381"/>
    </row>
    <row r="38" spans="1:20" ht="11.25" customHeight="1">
      <c r="A38" s="2089"/>
      <c r="B38" s="2089"/>
      <c r="C38" s="2089"/>
      <c r="D38" s="2089"/>
      <c r="E38" s="2089"/>
      <c r="F38" s="2089"/>
      <c r="G38" s="2089"/>
      <c r="H38" s="2089"/>
      <c r="I38" s="2089"/>
      <c r="K38" s="3891"/>
      <c r="L38" s="2388"/>
      <c r="M38" s="2381"/>
      <c r="N38" s="2381"/>
      <c r="O38" s="2381"/>
      <c r="P38" s="2381"/>
      <c r="Q38" s="2381"/>
      <c r="R38" s="2381"/>
      <c r="S38" s="2381"/>
      <c r="T38" s="2381"/>
    </row>
    <row r="39" spans="1:20" ht="24.75" customHeight="1">
      <c r="A39" s="792"/>
      <c r="B39" s="792"/>
      <c r="C39" s="792"/>
      <c r="D39" s="976"/>
      <c r="G39" s="3307" t="s">
        <v>1913</v>
      </c>
      <c r="H39" s="3307"/>
      <c r="K39" s="2389"/>
      <c r="L39" s="2390"/>
      <c r="M39" s="2381"/>
      <c r="N39" s="2381"/>
      <c r="O39" s="2381"/>
      <c r="P39" s="2381"/>
      <c r="Q39" s="2381"/>
      <c r="R39" s="2381"/>
      <c r="S39" s="2381"/>
      <c r="T39" s="2381"/>
    </row>
    <row r="40" spans="1:20" s="766" customFormat="1" ht="26.25" customHeight="1">
      <c r="A40" s="3269" t="s">
        <v>1742</v>
      </c>
      <c r="B40" s="3273"/>
      <c r="C40" s="3269"/>
      <c r="D40" s="3269"/>
      <c r="G40" s="3269"/>
      <c r="H40" s="3269"/>
      <c r="J40" s="1332"/>
      <c r="K40" s="2391"/>
      <c r="L40" s="2959"/>
      <c r="M40" s="2391"/>
      <c r="N40" s="2392"/>
      <c r="O40" s="2392"/>
      <c r="P40" s="2392"/>
      <c r="Q40" s="2392"/>
      <c r="R40" s="2392"/>
      <c r="S40" s="2392"/>
      <c r="T40" s="2392"/>
    </row>
    <row r="41" spans="1:20">
      <c r="A41" s="792"/>
      <c r="B41" s="792"/>
      <c r="C41" s="792"/>
      <c r="D41" s="976"/>
      <c r="H41" s="793"/>
      <c r="I41" s="984"/>
      <c r="K41" s="2393"/>
      <c r="L41" s="2381"/>
      <c r="M41" s="2381"/>
      <c r="N41" s="2381"/>
      <c r="O41" s="2381"/>
      <c r="P41" s="2381"/>
      <c r="Q41" s="2381"/>
      <c r="R41" s="2381"/>
      <c r="S41" s="2381"/>
      <c r="T41" s="2381"/>
    </row>
    <row r="42" spans="1:20">
      <c r="A42" s="792"/>
      <c r="B42" s="792"/>
      <c r="C42" s="792"/>
      <c r="D42" s="976"/>
      <c r="G42" s="766"/>
      <c r="H42" s="793"/>
      <c r="I42" s="984"/>
      <c r="N42" s="2969"/>
    </row>
    <row r="43" spans="1:20">
      <c r="A43" s="792"/>
      <c r="B43" s="792"/>
      <c r="C43" s="792"/>
      <c r="D43" s="976"/>
      <c r="F43" s="766"/>
      <c r="H43" s="793"/>
      <c r="I43" s="984"/>
    </row>
    <row r="44" spans="1:20">
      <c r="A44" s="792"/>
      <c r="B44" s="792"/>
      <c r="C44" s="792"/>
      <c r="D44" s="976"/>
      <c r="H44" s="793"/>
      <c r="I44" s="984"/>
    </row>
    <row r="45" spans="1:20">
      <c r="A45" s="792"/>
      <c r="B45" s="792"/>
      <c r="C45" s="792"/>
      <c r="D45" s="976"/>
      <c r="F45" s="2947"/>
      <c r="G45" s="2947"/>
      <c r="H45" s="2947"/>
      <c r="I45" s="2947"/>
    </row>
    <row r="46" spans="1:20">
      <c r="A46" s="792"/>
      <c r="B46" s="792"/>
      <c r="C46" s="792"/>
      <c r="D46" s="976"/>
      <c r="E46" s="792"/>
      <c r="F46" s="793"/>
      <c r="G46" s="793"/>
      <c r="H46" s="793"/>
      <c r="I46" s="984"/>
    </row>
    <row r="47" spans="1:20">
      <c r="A47" s="792"/>
      <c r="B47" s="794"/>
      <c r="C47" s="792"/>
      <c r="D47" s="976"/>
      <c r="E47" s="794"/>
      <c r="F47" s="795"/>
      <c r="G47" s="795"/>
      <c r="H47" s="795"/>
      <c r="I47" s="985"/>
    </row>
  </sheetData>
  <mergeCells count="9">
    <mergeCell ref="A2:I2"/>
    <mergeCell ref="A37:I37"/>
    <mergeCell ref="A1:I1"/>
    <mergeCell ref="A36:B36"/>
    <mergeCell ref="A5:C5"/>
    <mergeCell ref="A4:C4"/>
    <mergeCell ref="A3:I3"/>
    <mergeCell ref="A8:I8"/>
    <mergeCell ref="A9:I9"/>
  </mergeCells>
  <printOptions horizontalCentered="1"/>
  <pageMargins left="0.11811023622047245" right="0.11811023622047245" top="0.59055118110236227" bottom="0.59055118110236227" header="0.19685039370078741" footer="0.19685039370078741"/>
  <pageSetup paperSize="9" scale="80" orientation="landscape" r:id="rId1"/>
  <colBreaks count="1" manualBreakCount="1">
    <brk id="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2"/>
  <sheetViews>
    <sheetView workbookViewId="0">
      <selection activeCell="I23" sqref="I22:I23"/>
    </sheetView>
  </sheetViews>
  <sheetFormatPr defaultRowHeight="12.75"/>
  <cols>
    <col min="1" max="1" width="3.875" style="246" customWidth="1"/>
    <col min="2" max="2" width="19.375" style="246" customWidth="1"/>
    <col min="3" max="3" width="12.25" style="246" customWidth="1"/>
    <col min="4" max="4" width="10" style="246" customWidth="1"/>
    <col min="5" max="5" width="11.125" style="246" customWidth="1"/>
    <col min="6" max="6" width="11.5" style="1042" customWidth="1"/>
    <col min="7" max="7" width="22.25" style="1042" customWidth="1"/>
    <col min="8" max="8" width="11.75" style="1042" customWidth="1"/>
    <col min="9" max="9" width="13.75" style="1042" customWidth="1"/>
    <col min="10" max="10" width="9.875" style="1042" customWidth="1"/>
    <col min="11" max="11" width="19.625" style="1042" customWidth="1"/>
    <col min="12" max="12" width="14.75" style="1042" customWidth="1"/>
    <col min="13" max="13" width="11.75" style="1043" customWidth="1"/>
    <col min="14" max="14" width="13.625" style="246" customWidth="1"/>
    <col min="15" max="15" width="15.125" style="246" customWidth="1"/>
    <col min="16" max="17" width="14.375" style="246" customWidth="1"/>
    <col min="18" max="18" width="12.625" style="246" hidden="1" customWidth="1"/>
    <col min="19" max="19" width="13" style="989" customWidth="1"/>
    <col min="20" max="20" width="16.75" style="246" customWidth="1"/>
    <col min="21" max="22" width="22.25" style="246" customWidth="1"/>
    <col min="23" max="23" width="36.625" style="246" customWidth="1"/>
    <col min="24" max="24" width="26.25" style="246" customWidth="1"/>
    <col min="25" max="25" width="19.875" style="246" customWidth="1"/>
    <col min="26" max="26" width="24" style="246" customWidth="1"/>
    <col min="27" max="27" width="22" style="246" customWidth="1"/>
    <col min="28" max="28" width="20" style="246" customWidth="1"/>
    <col min="29" max="260" width="9" style="246"/>
    <col min="261" max="261" width="9" style="246" customWidth="1"/>
    <col min="262" max="262" width="23.125" style="246" customWidth="1"/>
    <col min="263" max="263" width="14" style="246" customWidth="1"/>
    <col min="264" max="264" width="11.75" style="246" customWidth="1"/>
    <col min="265" max="265" width="14.125" style="246" customWidth="1"/>
    <col min="266" max="266" width="16.125" style="246" customWidth="1"/>
    <col min="267" max="267" width="17.375" style="246" customWidth="1"/>
    <col min="268" max="268" width="24.375" style="246" customWidth="1"/>
    <col min="269" max="269" width="11.75" style="246" customWidth="1"/>
    <col min="270" max="270" width="13.625" style="246" customWidth="1"/>
    <col min="271" max="271" width="15.125" style="246" customWidth="1"/>
    <col min="272" max="273" width="14.375" style="246" customWidth="1"/>
    <col min="274" max="274" width="0" style="246" hidden="1" customWidth="1"/>
    <col min="275" max="275" width="13" style="246" customWidth="1"/>
    <col min="276" max="276" width="16.75" style="246" customWidth="1"/>
    <col min="277" max="278" width="22.25" style="246" customWidth="1"/>
    <col min="279" max="279" width="36.625" style="246" customWidth="1"/>
    <col min="280" max="280" width="26.25" style="246" customWidth="1"/>
    <col min="281" max="281" width="19.875" style="246" customWidth="1"/>
    <col min="282" max="282" width="24" style="246" customWidth="1"/>
    <col min="283" max="283" width="22" style="246" customWidth="1"/>
    <col min="284" max="284" width="20" style="246" customWidth="1"/>
    <col min="285" max="516" width="9" style="246"/>
    <col min="517" max="517" width="9" style="246" customWidth="1"/>
    <col min="518" max="518" width="23.125" style="246" customWidth="1"/>
    <col min="519" max="519" width="14" style="246" customWidth="1"/>
    <col min="520" max="520" width="11.75" style="246" customWidth="1"/>
    <col min="521" max="521" width="14.125" style="246" customWidth="1"/>
    <col min="522" max="522" width="16.125" style="246" customWidth="1"/>
    <col min="523" max="523" width="17.375" style="246" customWidth="1"/>
    <col min="524" max="524" width="24.375" style="246" customWidth="1"/>
    <col min="525" max="525" width="11.75" style="246" customWidth="1"/>
    <col min="526" max="526" width="13.625" style="246" customWidth="1"/>
    <col min="527" max="527" width="15.125" style="246" customWidth="1"/>
    <col min="528" max="529" width="14.375" style="246" customWidth="1"/>
    <col min="530" max="530" width="0" style="246" hidden="1" customWidth="1"/>
    <col min="531" max="531" width="13" style="246" customWidth="1"/>
    <col min="532" max="532" width="16.75" style="246" customWidth="1"/>
    <col min="533" max="534" width="22.25" style="246" customWidth="1"/>
    <col min="535" max="535" width="36.625" style="246" customWidth="1"/>
    <col min="536" max="536" width="26.25" style="246" customWidth="1"/>
    <col min="537" max="537" width="19.875" style="246" customWidth="1"/>
    <col min="538" max="538" width="24" style="246" customWidth="1"/>
    <col min="539" max="539" width="22" style="246" customWidth="1"/>
    <col min="540" max="540" width="20" style="246" customWidth="1"/>
    <col min="541" max="772" width="9" style="246"/>
    <col min="773" max="773" width="9" style="246" customWidth="1"/>
    <col min="774" max="774" width="23.125" style="246" customWidth="1"/>
    <col min="775" max="775" width="14" style="246" customWidth="1"/>
    <col min="776" max="776" width="11.75" style="246" customWidth="1"/>
    <col min="777" max="777" width="14.125" style="246" customWidth="1"/>
    <col min="778" max="778" width="16.125" style="246" customWidth="1"/>
    <col min="779" max="779" width="17.375" style="246" customWidth="1"/>
    <col min="780" max="780" width="24.375" style="246" customWidth="1"/>
    <col min="781" max="781" width="11.75" style="246" customWidth="1"/>
    <col min="782" max="782" width="13.625" style="246" customWidth="1"/>
    <col min="783" max="783" width="15.125" style="246" customWidth="1"/>
    <col min="784" max="785" width="14.375" style="246" customWidth="1"/>
    <col min="786" max="786" width="0" style="246" hidden="1" customWidth="1"/>
    <col min="787" max="787" width="13" style="246" customWidth="1"/>
    <col min="788" max="788" width="16.75" style="246" customWidth="1"/>
    <col min="789" max="790" width="22.25" style="246" customWidth="1"/>
    <col min="791" max="791" width="36.625" style="246" customWidth="1"/>
    <col min="792" max="792" width="26.25" style="246" customWidth="1"/>
    <col min="793" max="793" width="19.875" style="246" customWidth="1"/>
    <col min="794" max="794" width="24" style="246" customWidth="1"/>
    <col min="795" max="795" width="22" style="246" customWidth="1"/>
    <col min="796" max="796" width="20" style="246" customWidth="1"/>
    <col min="797" max="1028" width="9" style="246"/>
    <col min="1029" max="1029" width="9" style="246" customWidth="1"/>
    <col min="1030" max="1030" width="23.125" style="246" customWidth="1"/>
    <col min="1031" max="1031" width="14" style="246" customWidth="1"/>
    <col min="1032" max="1032" width="11.75" style="246" customWidth="1"/>
    <col min="1033" max="1033" width="14.125" style="246" customWidth="1"/>
    <col min="1034" max="1034" width="16.125" style="246" customWidth="1"/>
    <col min="1035" max="1035" width="17.375" style="246" customWidth="1"/>
    <col min="1036" max="1036" width="24.375" style="246" customWidth="1"/>
    <col min="1037" max="1037" width="11.75" style="246" customWidth="1"/>
    <col min="1038" max="1038" width="13.625" style="246" customWidth="1"/>
    <col min="1039" max="1039" width="15.125" style="246" customWidth="1"/>
    <col min="1040" max="1041" width="14.375" style="246" customWidth="1"/>
    <col min="1042" max="1042" width="0" style="246" hidden="1" customWidth="1"/>
    <col min="1043" max="1043" width="13" style="246" customWidth="1"/>
    <col min="1044" max="1044" width="16.75" style="246" customWidth="1"/>
    <col min="1045" max="1046" width="22.25" style="246" customWidth="1"/>
    <col min="1047" max="1047" width="36.625" style="246" customWidth="1"/>
    <col min="1048" max="1048" width="26.25" style="246" customWidth="1"/>
    <col min="1049" max="1049" width="19.875" style="246" customWidth="1"/>
    <col min="1050" max="1050" width="24" style="246" customWidth="1"/>
    <col min="1051" max="1051" width="22" style="246" customWidth="1"/>
    <col min="1052" max="1052" width="20" style="246" customWidth="1"/>
    <col min="1053" max="1284" width="9" style="246"/>
    <col min="1285" max="1285" width="9" style="246" customWidth="1"/>
    <col min="1286" max="1286" width="23.125" style="246" customWidth="1"/>
    <col min="1287" max="1287" width="14" style="246" customWidth="1"/>
    <col min="1288" max="1288" width="11.75" style="246" customWidth="1"/>
    <col min="1289" max="1289" width="14.125" style="246" customWidth="1"/>
    <col min="1290" max="1290" width="16.125" style="246" customWidth="1"/>
    <col min="1291" max="1291" width="17.375" style="246" customWidth="1"/>
    <col min="1292" max="1292" width="24.375" style="246" customWidth="1"/>
    <col min="1293" max="1293" width="11.75" style="246" customWidth="1"/>
    <col min="1294" max="1294" width="13.625" style="246" customWidth="1"/>
    <col min="1295" max="1295" width="15.125" style="246" customWidth="1"/>
    <col min="1296" max="1297" width="14.375" style="246" customWidth="1"/>
    <col min="1298" max="1298" width="0" style="246" hidden="1" customWidth="1"/>
    <col min="1299" max="1299" width="13" style="246" customWidth="1"/>
    <col min="1300" max="1300" width="16.75" style="246" customWidth="1"/>
    <col min="1301" max="1302" width="22.25" style="246" customWidth="1"/>
    <col min="1303" max="1303" width="36.625" style="246" customWidth="1"/>
    <col min="1304" max="1304" width="26.25" style="246" customWidth="1"/>
    <col min="1305" max="1305" width="19.875" style="246" customWidth="1"/>
    <col min="1306" max="1306" width="24" style="246" customWidth="1"/>
    <col min="1307" max="1307" width="22" style="246" customWidth="1"/>
    <col min="1308" max="1308" width="20" style="246" customWidth="1"/>
    <col min="1309" max="1540" width="9" style="246"/>
    <col min="1541" max="1541" width="9" style="246" customWidth="1"/>
    <col min="1542" max="1542" width="23.125" style="246" customWidth="1"/>
    <col min="1543" max="1543" width="14" style="246" customWidth="1"/>
    <col min="1544" max="1544" width="11.75" style="246" customWidth="1"/>
    <col min="1545" max="1545" width="14.125" style="246" customWidth="1"/>
    <col min="1546" max="1546" width="16.125" style="246" customWidth="1"/>
    <col min="1547" max="1547" width="17.375" style="246" customWidth="1"/>
    <col min="1548" max="1548" width="24.375" style="246" customWidth="1"/>
    <col min="1549" max="1549" width="11.75" style="246" customWidth="1"/>
    <col min="1550" max="1550" width="13.625" style="246" customWidth="1"/>
    <col min="1551" max="1551" width="15.125" style="246" customWidth="1"/>
    <col min="1552" max="1553" width="14.375" style="246" customWidth="1"/>
    <col min="1554" max="1554" width="0" style="246" hidden="1" customWidth="1"/>
    <col min="1555" max="1555" width="13" style="246" customWidth="1"/>
    <col min="1556" max="1556" width="16.75" style="246" customWidth="1"/>
    <col min="1557" max="1558" width="22.25" style="246" customWidth="1"/>
    <col min="1559" max="1559" width="36.625" style="246" customWidth="1"/>
    <col min="1560" max="1560" width="26.25" style="246" customWidth="1"/>
    <col min="1561" max="1561" width="19.875" style="246" customWidth="1"/>
    <col min="1562" max="1562" width="24" style="246" customWidth="1"/>
    <col min="1563" max="1563" width="22" style="246" customWidth="1"/>
    <col min="1564" max="1564" width="20" style="246" customWidth="1"/>
    <col min="1565" max="1796" width="9" style="246"/>
    <col min="1797" max="1797" width="9" style="246" customWidth="1"/>
    <col min="1798" max="1798" width="23.125" style="246" customWidth="1"/>
    <col min="1799" max="1799" width="14" style="246" customWidth="1"/>
    <col min="1800" max="1800" width="11.75" style="246" customWidth="1"/>
    <col min="1801" max="1801" width="14.125" style="246" customWidth="1"/>
    <col min="1802" max="1802" width="16.125" style="246" customWidth="1"/>
    <col min="1803" max="1803" width="17.375" style="246" customWidth="1"/>
    <col min="1804" max="1804" width="24.375" style="246" customWidth="1"/>
    <col min="1805" max="1805" width="11.75" style="246" customWidth="1"/>
    <col min="1806" max="1806" width="13.625" style="246" customWidth="1"/>
    <col min="1807" max="1807" width="15.125" style="246" customWidth="1"/>
    <col min="1808" max="1809" width="14.375" style="246" customWidth="1"/>
    <col min="1810" max="1810" width="0" style="246" hidden="1" customWidth="1"/>
    <col min="1811" max="1811" width="13" style="246" customWidth="1"/>
    <col min="1812" max="1812" width="16.75" style="246" customWidth="1"/>
    <col min="1813" max="1814" width="22.25" style="246" customWidth="1"/>
    <col min="1815" max="1815" width="36.625" style="246" customWidth="1"/>
    <col min="1816" max="1816" width="26.25" style="246" customWidth="1"/>
    <col min="1817" max="1817" width="19.875" style="246" customWidth="1"/>
    <col min="1818" max="1818" width="24" style="246" customWidth="1"/>
    <col min="1819" max="1819" width="22" style="246" customWidth="1"/>
    <col min="1820" max="1820" width="20" style="246" customWidth="1"/>
    <col min="1821" max="2052" width="9" style="246"/>
    <col min="2053" max="2053" width="9" style="246" customWidth="1"/>
    <col min="2054" max="2054" width="23.125" style="246" customWidth="1"/>
    <col min="2055" max="2055" width="14" style="246" customWidth="1"/>
    <col min="2056" max="2056" width="11.75" style="246" customWidth="1"/>
    <col min="2057" max="2057" width="14.125" style="246" customWidth="1"/>
    <col min="2058" max="2058" width="16.125" style="246" customWidth="1"/>
    <col min="2059" max="2059" width="17.375" style="246" customWidth="1"/>
    <col min="2060" max="2060" width="24.375" style="246" customWidth="1"/>
    <col min="2061" max="2061" width="11.75" style="246" customWidth="1"/>
    <col min="2062" max="2062" width="13.625" style="246" customWidth="1"/>
    <col min="2063" max="2063" width="15.125" style="246" customWidth="1"/>
    <col min="2064" max="2065" width="14.375" style="246" customWidth="1"/>
    <col min="2066" max="2066" width="0" style="246" hidden="1" customWidth="1"/>
    <col min="2067" max="2067" width="13" style="246" customWidth="1"/>
    <col min="2068" max="2068" width="16.75" style="246" customWidth="1"/>
    <col min="2069" max="2070" width="22.25" style="246" customWidth="1"/>
    <col min="2071" max="2071" width="36.625" style="246" customWidth="1"/>
    <col min="2072" max="2072" width="26.25" style="246" customWidth="1"/>
    <col min="2073" max="2073" width="19.875" style="246" customWidth="1"/>
    <col min="2074" max="2074" width="24" style="246" customWidth="1"/>
    <col min="2075" max="2075" width="22" style="246" customWidth="1"/>
    <col min="2076" max="2076" width="20" style="246" customWidth="1"/>
    <col min="2077" max="2308" width="9" style="246"/>
    <col min="2309" max="2309" width="9" style="246" customWidth="1"/>
    <col min="2310" max="2310" width="23.125" style="246" customWidth="1"/>
    <col min="2311" max="2311" width="14" style="246" customWidth="1"/>
    <col min="2312" max="2312" width="11.75" style="246" customWidth="1"/>
    <col min="2313" max="2313" width="14.125" style="246" customWidth="1"/>
    <col min="2314" max="2314" width="16.125" style="246" customWidth="1"/>
    <col min="2315" max="2315" width="17.375" style="246" customWidth="1"/>
    <col min="2316" max="2316" width="24.375" style="246" customWidth="1"/>
    <col min="2317" max="2317" width="11.75" style="246" customWidth="1"/>
    <col min="2318" max="2318" width="13.625" style="246" customWidth="1"/>
    <col min="2319" max="2319" width="15.125" style="246" customWidth="1"/>
    <col min="2320" max="2321" width="14.375" style="246" customWidth="1"/>
    <col min="2322" max="2322" width="0" style="246" hidden="1" customWidth="1"/>
    <col min="2323" max="2323" width="13" style="246" customWidth="1"/>
    <col min="2324" max="2324" width="16.75" style="246" customWidth="1"/>
    <col min="2325" max="2326" width="22.25" style="246" customWidth="1"/>
    <col min="2327" max="2327" width="36.625" style="246" customWidth="1"/>
    <col min="2328" max="2328" width="26.25" style="246" customWidth="1"/>
    <col min="2329" max="2329" width="19.875" style="246" customWidth="1"/>
    <col min="2330" max="2330" width="24" style="246" customWidth="1"/>
    <col min="2331" max="2331" width="22" style="246" customWidth="1"/>
    <col min="2332" max="2332" width="20" style="246" customWidth="1"/>
    <col min="2333" max="2564" width="9" style="246"/>
    <col min="2565" max="2565" width="9" style="246" customWidth="1"/>
    <col min="2566" max="2566" width="23.125" style="246" customWidth="1"/>
    <col min="2567" max="2567" width="14" style="246" customWidth="1"/>
    <col min="2568" max="2568" width="11.75" style="246" customWidth="1"/>
    <col min="2569" max="2569" width="14.125" style="246" customWidth="1"/>
    <col min="2570" max="2570" width="16.125" style="246" customWidth="1"/>
    <col min="2571" max="2571" width="17.375" style="246" customWidth="1"/>
    <col min="2572" max="2572" width="24.375" style="246" customWidth="1"/>
    <col min="2573" max="2573" width="11.75" style="246" customWidth="1"/>
    <col min="2574" max="2574" width="13.625" style="246" customWidth="1"/>
    <col min="2575" max="2575" width="15.125" style="246" customWidth="1"/>
    <col min="2576" max="2577" width="14.375" style="246" customWidth="1"/>
    <col min="2578" max="2578" width="0" style="246" hidden="1" customWidth="1"/>
    <col min="2579" max="2579" width="13" style="246" customWidth="1"/>
    <col min="2580" max="2580" width="16.75" style="246" customWidth="1"/>
    <col min="2581" max="2582" width="22.25" style="246" customWidth="1"/>
    <col min="2583" max="2583" width="36.625" style="246" customWidth="1"/>
    <col min="2584" max="2584" width="26.25" style="246" customWidth="1"/>
    <col min="2585" max="2585" width="19.875" style="246" customWidth="1"/>
    <col min="2586" max="2586" width="24" style="246" customWidth="1"/>
    <col min="2587" max="2587" width="22" style="246" customWidth="1"/>
    <col min="2588" max="2588" width="20" style="246" customWidth="1"/>
    <col min="2589" max="2820" width="9" style="246"/>
    <col min="2821" max="2821" width="9" style="246" customWidth="1"/>
    <col min="2822" max="2822" width="23.125" style="246" customWidth="1"/>
    <col min="2823" max="2823" width="14" style="246" customWidth="1"/>
    <col min="2824" max="2824" width="11.75" style="246" customWidth="1"/>
    <col min="2825" max="2825" width="14.125" style="246" customWidth="1"/>
    <col min="2826" max="2826" width="16.125" style="246" customWidth="1"/>
    <col min="2827" max="2827" width="17.375" style="246" customWidth="1"/>
    <col min="2828" max="2828" width="24.375" style="246" customWidth="1"/>
    <col min="2829" max="2829" width="11.75" style="246" customWidth="1"/>
    <col min="2830" max="2830" width="13.625" style="246" customWidth="1"/>
    <col min="2831" max="2831" width="15.125" style="246" customWidth="1"/>
    <col min="2832" max="2833" width="14.375" style="246" customWidth="1"/>
    <col min="2834" max="2834" width="0" style="246" hidden="1" customWidth="1"/>
    <col min="2835" max="2835" width="13" style="246" customWidth="1"/>
    <col min="2836" max="2836" width="16.75" style="246" customWidth="1"/>
    <col min="2837" max="2838" width="22.25" style="246" customWidth="1"/>
    <col min="2839" max="2839" width="36.625" style="246" customWidth="1"/>
    <col min="2840" max="2840" width="26.25" style="246" customWidth="1"/>
    <col min="2841" max="2841" width="19.875" style="246" customWidth="1"/>
    <col min="2842" max="2842" width="24" style="246" customWidth="1"/>
    <col min="2843" max="2843" width="22" style="246" customWidth="1"/>
    <col min="2844" max="2844" width="20" style="246" customWidth="1"/>
    <col min="2845" max="3076" width="9" style="246"/>
    <col min="3077" max="3077" width="9" style="246" customWidth="1"/>
    <col min="3078" max="3078" width="23.125" style="246" customWidth="1"/>
    <col min="3079" max="3079" width="14" style="246" customWidth="1"/>
    <col min="3080" max="3080" width="11.75" style="246" customWidth="1"/>
    <col min="3081" max="3081" width="14.125" style="246" customWidth="1"/>
    <col min="3082" max="3082" width="16.125" style="246" customWidth="1"/>
    <col min="3083" max="3083" width="17.375" style="246" customWidth="1"/>
    <col min="3084" max="3084" width="24.375" style="246" customWidth="1"/>
    <col min="3085" max="3085" width="11.75" style="246" customWidth="1"/>
    <col min="3086" max="3086" width="13.625" style="246" customWidth="1"/>
    <col min="3087" max="3087" width="15.125" style="246" customWidth="1"/>
    <col min="3088" max="3089" width="14.375" style="246" customWidth="1"/>
    <col min="3090" max="3090" width="0" style="246" hidden="1" customWidth="1"/>
    <col min="3091" max="3091" width="13" style="246" customWidth="1"/>
    <col min="3092" max="3092" width="16.75" style="246" customWidth="1"/>
    <col min="3093" max="3094" width="22.25" style="246" customWidth="1"/>
    <col min="3095" max="3095" width="36.625" style="246" customWidth="1"/>
    <col min="3096" max="3096" width="26.25" style="246" customWidth="1"/>
    <col min="3097" max="3097" width="19.875" style="246" customWidth="1"/>
    <col min="3098" max="3098" width="24" style="246" customWidth="1"/>
    <col min="3099" max="3099" width="22" style="246" customWidth="1"/>
    <col min="3100" max="3100" width="20" style="246" customWidth="1"/>
    <col min="3101" max="3332" width="9" style="246"/>
    <col min="3333" max="3333" width="9" style="246" customWidth="1"/>
    <col min="3334" max="3334" width="23.125" style="246" customWidth="1"/>
    <col min="3335" max="3335" width="14" style="246" customWidth="1"/>
    <col min="3336" max="3336" width="11.75" style="246" customWidth="1"/>
    <col min="3337" max="3337" width="14.125" style="246" customWidth="1"/>
    <col min="3338" max="3338" width="16.125" style="246" customWidth="1"/>
    <col min="3339" max="3339" width="17.375" style="246" customWidth="1"/>
    <col min="3340" max="3340" width="24.375" style="246" customWidth="1"/>
    <col min="3341" max="3341" width="11.75" style="246" customWidth="1"/>
    <col min="3342" max="3342" width="13.625" style="246" customWidth="1"/>
    <col min="3343" max="3343" width="15.125" style="246" customWidth="1"/>
    <col min="3344" max="3345" width="14.375" style="246" customWidth="1"/>
    <col min="3346" max="3346" width="0" style="246" hidden="1" customWidth="1"/>
    <col min="3347" max="3347" width="13" style="246" customWidth="1"/>
    <col min="3348" max="3348" width="16.75" style="246" customWidth="1"/>
    <col min="3349" max="3350" width="22.25" style="246" customWidth="1"/>
    <col min="3351" max="3351" width="36.625" style="246" customWidth="1"/>
    <col min="3352" max="3352" width="26.25" style="246" customWidth="1"/>
    <col min="3353" max="3353" width="19.875" style="246" customWidth="1"/>
    <col min="3354" max="3354" width="24" style="246" customWidth="1"/>
    <col min="3355" max="3355" width="22" style="246" customWidth="1"/>
    <col min="3356" max="3356" width="20" style="246" customWidth="1"/>
    <col min="3357" max="3588" width="9" style="246"/>
    <col min="3589" max="3589" width="9" style="246" customWidth="1"/>
    <col min="3590" max="3590" width="23.125" style="246" customWidth="1"/>
    <col min="3591" max="3591" width="14" style="246" customWidth="1"/>
    <col min="3592" max="3592" width="11.75" style="246" customWidth="1"/>
    <col min="3593" max="3593" width="14.125" style="246" customWidth="1"/>
    <col min="3594" max="3594" width="16.125" style="246" customWidth="1"/>
    <col min="3595" max="3595" width="17.375" style="246" customWidth="1"/>
    <col min="3596" max="3596" width="24.375" style="246" customWidth="1"/>
    <col min="3597" max="3597" width="11.75" style="246" customWidth="1"/>
    <col min="3598" max="3598" width="13.625" style="246" customWidth="1"/>
    <col min="3599" max="3599" width="15.125" style="246" customWidth="1"/>
    <col min="3600" max="3601" width="14.375" style="246" customWidth="1"/>
    <col min="3602" max="3602" width="0" style="246" hidden="1" customWidth="1"/>
    <col min="3603" max="3603" width="13" style="246" customWidth="1"/>
    <col min="3604" max="3604" width="16.75" style="246" customWidth="1"/>
    <col min="3605" max="3606" width="22.25" style="246" customWidth="1"/>
    <col min="3607" max="3607" width="36.625" style="246" customWidth="1"/>
    <col min="3608" max="3608" width="26.25" style="246" customWidth="1"/>
    <col min="3609" max="3609" width="19.875" style="246" customWidth="1"/>
    <col min="3610" max="3610" width="24" style="246" customWidth="1"/>
    <col min="3611" max="3611" width="22" style="246" customWidth="1"/>
    <col min="3612" max="3612" width="20" style="246" customWidth="1"/>
    <col min="3613" max="3844" width="9" style="246"/>
    <col min="3845" max="3845" width="9" style="246" customWidth="1"/>
    <col min="3846" max="3846" width="23.125" style="246" customWidth="1"/>
    <col min="3847" max="3847" width="14" style="246" customWidth="1"/>
    <col min="3848" max="3848" width="11.75" style="246" customWidth="1"/>
    <col min="3849" max="3849" width="14.125" style="246" customWidth="1"/>
    <col min="3850" max="3850" width="16.125" style="246" customWidth="1"/>
    <col min="3851" max="3851" width="17.375" style="246" customWidth="1"/>
    <col min="3852" max="3852" width="24.375" style="246" customWidth="1"/>
    <col min="3853" max="3853" width="11.75" style="246" customWidth="1"/>
    <col min="3854" max="3854" width="13.625" style="246" customWidth="1"/>
    <col min="3855" max="3855" width="15.125" style="246" customWidth="1"/>
    <col min="3856" max="3857" width="14.375" style="246" customWidth="1"/>
    <col min="3858" max="3858" width="0" style="246" hidden="1" customWidth="1"/>
    <col min="3859" max="3859" width="13" style="246" customWidth="1"/>
    <col min="3860" max="3860" width="16.75" style="246" customWidth="1"/>
    <col min="3861" max="3862" width="22.25" style="246" customWidth="1"/>
    <col min="3863" max="3863" width="36.625" style="246" customWidth="1"/>
    <col min="3864" max="3864" width="26.25" style="246" customWidth="1"/>
    <col min="3865" max="3865" width="19.875" style="246" customWidth="1"/>
    <col min="3866" max="3866" width="24" style="246" customWidth="1"/>
    <col min="3867" max="3867" width="22" style="246" customWidth="1"/>
    <col min="3868" max="3868" width="20" style="246" customWidth="1"/>
    <col min="3869" max="4100" width="9" style="246"/>
    <col min="4101" max="4101" width="9" style="246" customWidth="1"/>
    <col min="4102" max="4102" width="23.125" style="246" customWidth="1"/>
    <col min="4103" max="4103" width="14" style="246" customWidth="1"/>
    <col min="4104" max="4104" width="11.75" style="246" customWidth="1"/>
    <col min="4105" max="4105" width="14.125" style="246" customWidth="1"/>
    <col min="4106" max="4106" width="16.125" style="246" customWidth="1"/>
    <col min="4107" max="4107" width="17.375" style="246" customWidth="1"/>
    <col min="4108" max="4108" width="24.375" style="246" customWidth="1"/>
    <col min="4109" max="4109" width="11.75" style="246" customWidth="1"/>
    <col min="4110" max="4110" width="13.625" style="246" customWidth="1"/>
    <col min="4111" max="4111" width="15.125" style="246" customWidth="1"/>
    <col min="4112" max="4113" width="14.375" style="246" customWidth="1"/>
    <col min="4114" max="4114" width="0" style="246" hidden="1" customWidth="1"/>
    <col min="4115" max="4115" width="13" style="246" customWidth="1"/>
    <col min="4116" max="4116" width="16.75" style="246" customWidth="1"/>
    <col min="4117" max="4118" width="22.25" style="246" customWidth="1"/>
    <col min="4119" max="4119" width="36.625" style="246" customWidth="1"/>
    <col min="4120" max="4120" width="26.25" style="246" customWidth="1"/>
    <col min="4121" max="4121" width="19.875" style="246" customWidth="1"/>
    <col min="4122" max="4122" width="24" style="246" customWidth="1"/>
    <col min="4123" max="4123" width="22" style="246" customWidth="1"/>
    <col min="4124" max="4124" width="20" style="246" customWidth="1"/>
    <col min="4125" max="4356" width="9" style="246"/>
    <col min="4357" max="4357" width="9" style="246" customWidth="1"/>
    <col min="4358" max="4358" width="23.125" style="246" customWidth="1"/>
    <col min="4359" max="4359" width="14" style="246" customWidth="1"/>
    <col min="4360" max="4360" width="11.75" style="246" customWidth="1"/>
    <col min="4361" max="4361" width="14.125" style="246" customWidth="1"/>
    <col min="4362" max="4362" width="16.125" style="246" customWidth="1"/>
    <col min="4363" max="4363" width="17.375" style="246" customWidth="1"/>
    <col min="4364" max="4364" width="24.375" style="246" customWidth="1"/>
    <col min="4365" max="4365" width="11.75" style="246" customWidth="1"/>
    <col min="4366" max="4366" width="13.625" style="246" customWidth="1"/>
    <col min="4367" max="4367" width="15.125" style="246" customWidth="1"/>
    <col min="4368" max="4369" width="14.375" style="246" customWidth="1"/>
    <col min="4370" max="4370" width="0" style="246" hidden="1" customWidth="1"/>
    <col min="4371" max="4371" width="13" style="246" customWidth="1"/>
    <col min="4372" max="4372" width="16.75" style="246" customWidth="1"/>
    <col min="4373" max="4374" width="22.25" style="246" customWidth="1"/>
    <col min="4375" max="4375" width="36.625" style="246" customWidth="1"/>
    <col min="4376" max="4376" width="26.25" style="246" customWidth="1"/>
    <col min="4377" max="4377" width="19.875" style="246" customWidth="1"/>
    <col min="4378" max="4378" width="24" style="246" customWidth="1"/>
    <col min="4379" max="4379" width="22" style="246" customWidth="1"/>
    <col min="4380" max="4380" width="20" style="246" customWidth="1"/>
    <col min="4381" max="4612" width="9" style="246"/>
    <col min="4613" max="4613" width="9" style="246" customWidth="1"/>
    <col min="4614" max="4614" width="23.125" style="246" customWidth="1"/>
    <col min="4615" max="4615" width="14" style="246" customWidth="1"/>
    <col min="4616" max="4616" width="11.75" style="246" customWidth="1"/>
    <col min="4617" max="4617" width="14.125" style="246" customWidth="1"/>
    <col min="4618" max="4618" width="16.125" style="246" customWidth="1"/>
    <col min="4619" max="4619" width="17.375" style="246" customWidth="1"/>
    <col min="4620" max="4620" width="24.375" style="246" customWidth="1"/>
    <col min="4621" max="4621" width="11.75" style="246" customWidth="1"/>
    <col min="4622" max="4622" width="13.625" style="246" customWidth="1"/>
    <col min="4623" max="4623" width="15.125" style="246" customWidth="1"/>
    <col min="4624" max="4625" width="14.375" style="246" customWidth="1"/>
    <col min="4626" max="4626" width="0" style="246" hidden="1" customWidth="1"/>
    <col min="4627" max="4627" width="13" style="246" customWidth="1"/>
    <col min="4628" max="4628" width="16.75" style="246" customWidth="1"/>
    <col min="4629" max="4630" width="22.25" style="246" customWidth="1"/>
    <col min="4631" max="4631" width="36.625" style="246" customWidth="1"/>
    <col min="4632" max="4632" width="26.25" style="246" customWidth="1"/>
    <col min="4633" max="4633" width="19.875" style="246" customWidth="1"/>
    <col min="4634" max="4634" width="24" style="246" customWidth="1"/>
    <col min="4635" max="4635" width="22" style="246" customWidth="1"/>
    <col min="4636" max="4636" width="20" style="246" customWidth="1"/>
    <col min="4637" max="4868" width="9" style="246"/>
    <col min="4869" max="4869" width="9" style="246" customWidth="1"/>
    <col min="4870" max="4870" width="23.125" style="246" customWidth="1"/>
    <col min="4871" max="4871" width="14" style="246" customWidth="1"/>
    <col min="4872" max="4872" width="11.75" style="246" customWidth="1"/>
    <col min="4873" max="4873" width="14.125" style="246" customWidth="1"/>
    <col min="4874" max="4874" width="16.125" style="246" customWidth="1"/>
    <col min="4875" max="4875" width="17.375" style="246" customWidth="1"/>
    <col min="4876" max="4876" width="24.375" style="246" customWidth="1"/>
    <col min="4877" max="4877" width="11.75" style="246" customWidth="1"/>
    <col min="4878" max="4878" width="13.625" style="246" customWidth="1"/>
    <col min="4879" max="4879" width="15.125" style="246" customWidth="1"/>
    <col min="4880" max="4881" width="14.375" style="246" customWidth="1"/>
    <col min="4882" max="4882" width="0" style="246" hidden="1" customWidth="1"/>
    <col min="4883" max="4883" width="13" style="246" customWidth="1"/>
    <col min="4884" max="4884" width="16.75" style="246" customWidth="1"/>
    <col min="4885" max="4886" width="22.25" style="246" customWidth="1"/>
    <col min="4887" max="4887" width="36.625" style="246" customWidth="1"/>
    <col min="4888" max="4888" width="26.25" style="246" customWidth="1"/>
    <col min="4889" max="4889" width="19.875" style="246" customWidth="1"/>
    <col min="4890" max="4890" width="24" style="246" customWidth="1"/>
    <col min="4891" max="4891" width="22" style="246" customWidth="1"/>
    <col min="4892" max="4892" width="20" style="246" customWidth="1"/>
    <col min="4893" max="5124" width="9" style="246"/>
    <col min="5125" max="5125" width="9" style="246" customWidth="1"/>
    <col min="5126" max="5126" width="23.125" style="246" customWidth="1"/>
    <col min="5127" max="5127" width="14" style="246" customWidth="1"/>
    <col min="5128" max="5128" width="11.75" style="246" customWidth="1"/>
    <col min="5129" max="5129" width="14.125" style="246" customWidth="1"/>
    <col min="5130" max="5130" width="16.125" style="246" customWidth="1"/>
    <col min="5131" max="5131" width="17.375" style="246" customWidth="1"/>
    <col min="5132" max="5132" width="24.375" style="246" customWidth="1"/>
    <col min="5133" max="5133" width="11.75" style="246" customWidth="1"/>
    <col min="5134" max="5134" width="13.625" style="246" customWidth="1"/>
    <col min="5135" max="5135" width="15.125" style="246" customWidth="1"/>
    <col min="5136" max="5137" width="14.375" style="246" customWidth="1"/>
    <col min="5138" max="5138" width="0" style="246" hidden="1" customWidth="1"/>
    <col min="5139" max="5139" width="13" style="246" customWidth="1"/>
    <col min="5140" max="5140" width="16.75" style="246" customWidth="1"/>
    <col min="5141" max="5142" width="22.25" style="246" customWidth="1"/>
    <col min="5143" max="5143" width="36.625" style="246" customWidth="1"/>
    <col min="5144" max="5144" width="26.25" style="246" customWidth="1"/>
    <col min="5145" max="5145" width="19.875" style="246" customWidth="1"/>
    <col min="5146" max="5146" width="24" style="246" customWidth="1"/>
    <col min="5147" max="5147" width="22" style="246" customWidth="1"/>
    <col min="5148" max="5148" width="20" style="246" customWidth="1"/>
    <col min="5149" max="5380" width="9" style="246"/>
    <col min="5381" max="5381" width="9" style="246" customWidth="1"/>
    <col min="5382" max="5382" width="23.125" style="246" customWidth="1"/>
    <col min="5383" max="5383" width="14" style="246" customWidth="1"/>
    <col min="5384" max="5384" width="11.75" style="246" customWidth="1"/>
    <col min="5385" max="5385" width="14.125" style="246" customWidth="1"/>
    <col min="5386" max="5386" width="16.125" style="246" customWidth="1"/>
    <col min="5387" max="5387" width="17.375" style="246" customWidth="1"/>
    <col min="5388" max="5388" width="24.375" style="246" customWidth="1"/>
    <col min="5389" max="5389" width="11.75" style="246" customWidth="1"/>
    <col min="5390" max="5390" width="13.625" style="246" customWidth="1"/>
    <col min="5391" max="5391" width="15.125" style="246" customWidth="1"/>
    <col min="5392" max="5393" width="14.375" style="246" customWidth="1"/>
    <col min="5394" max="5394" width="0" style="246" hidden="1" customWidth="1"/>
    <col min="5395" max="5395" width="13" style="246" customWidth="1"/>
    <col min="5396" max="5396" width="16.75" style="246" customWidth="1"/>
    <col min="5397" max="5398" width="22.25" style="246" customWidth="1"/>
    <col min="5399" max="5399" width="36.625" style="246" customWidth="1"/>
    <col min="5400" max="5400" width="26.25" style="246" customWidth="1"/>
    <col min="5401" max="5401" width="19.875" style="246" customWidth="1"/>
    <col min="5402" max="5402" width="24" style="246" customWidth="1"/>
    <col min="5403" max="5403" width="22" style="246" customWidth="1"/>
    <col min="5404" max="5404" width="20" style="246" customWidth="1"/>
    <col min="5405" max="5636" width="9" style="246"/>
    <col min="5637" max="5637" width="9" style="246" customWidth="1"/>
    <col min="5638" max="5638" width="23.125" style="246" customWidth="1"/>
    <col min="5639" max="5639" width="14" style="246" customWidth="1"/>
    <col min="5640" max="5640" width="11.75" style="246" customWidth="1"/>
    <col min="5641" max="5641" width="14.125" style="246" customWidth="1"/>
    <col min="5642" max="5642" width="16.125" style="246" customWidth="1"/>
    <col min="5643" max="5643" width="17.375" style="246" customWidth="1"/>
    <col min="5644" max="5644" width="24.375" style="246" customWidth="1"/>
    <col min="5645" max="5645" width="11.75" style="246" customWidth="1"/>
    <col min="5646" max="5646" width="13.625" style="246" customWidth="1"/>
    <col min="5647" max="5647" width="15.125" style="246" customWidth="1"/>
    <col min="5648" max="5649" width="14.375" style="246" customWidth="1"/>
    <col min="5650" max="5650" width="0" style="246" hidden="1" customWidth="1"/>
    <col min="5651" max="5651" width="13" style="246" customWidth="1"/>
    <col min="5652" max="5652" width="16.75" style="246" customWidth="1"/>
    <col min="5653" max="5654" width="22.25" style="246" customWidth="1"/>
    <col min="5655" max="5655" width="36.625" style="246" customWidth="1"/>
    <col min="5656" max="5656" width="26.25" style="246" customWidth="1"/>
    <col min="5657" max="5657" width="19.875" style="246" customWidth="1"/>
    <col min="5658" max="5658" width="24" style="246" customWidth="1"/>
    <col min="5659" max="5659" width="22" style="246" customWidth="1"/>
    <col min="5660" max="5660" width="20" style="246" customWidth="1"/>
    <col min="5661" max="5892" width="9" style="246"/>
    <col min="5893" max="5893" width="9" style="246" customWidth="1"/>
    <col min="5894" max="5894" width="23.125" style="246" customWidth="1"/>
    <col min="5895" max="5895" width="14" style="246" customWidth="1"/>
    <col min="5896" max="5896" width="11.75" style="246" customWidth="1"/>
    <col min="5897" max="5897" width="14.125" style="246" customWidth="1"/>
    <col min="5898" max="5898" width="16.125" style="246" customWidth="1"/>
    <col min="5899" max="5899" width="17.375" style="246" customWidth="1"/>
    <col min="5900" max="5900" width="24.375" style="246" customWidth="1"/>
    <col min="5901" max="5901" width="11.75" style="246" customWidth="1"/>
    <col min="5902" max="5902" width="13.625" style="246" customWidth="1"/>
    <col min="5903" max="5903" width="15.125" style="246" customWidth="1"/>
    <col min="5904" max="5905" width="14.375" style="246" customWidth="1"/>
    <col min="5906" max="5906" width="0" style="246" hidden="1" customWidth="1"/>
    <col min="5907" max="5907" width="13" style="246" customWidth="1"/>
    <col min="5908" max="5908" width="16.75" style="246" customWidth="1"/>
    <col min="5909" max="5910" width="22.25" style="246" customWidth="1"/>
    <col min="5911" max="5911" width="36.625" style="246" customWidth="1"/>
    <col min="5912" max="5912" width="26.25" style="246" customWidth="1"/>
    <col min="5913" max="5913" width="19.875" style="246" customWidth="1"/>
    <col min="5914" max="5914" width="24" style="246" customWidth="1"/>
    <col min="5915" max="5915" width="22" style="246" customWidth="1"/>
    <col min="5916" max="5916" width="20" style="246" customWidth="1"/>
    <col min="5917" max="6148" width="9" style="246"/>
    <col min="6149" max="6149" width="9" style="246" customWidth="1"/>
    <col min="6150" max="6150" width="23.125" style="246" customWidth="1"/>
    <col min="6151" max="6151" width="14" style="246" customWidth="1"/>
    <col min="6152" max="6152" width="11.75" style="246" customWidth="1"/>
    <col min="6153" max="6153" width="14.125" style="246" customWidth="1"/>
    <col min="6154" max="6154" width="16.125" style="246" customWidth="1"/>
    <col min="6155" max="6155" width="17.375" style="246" customWidth="1"/>
    <col min="6156" max="6156" width="24.375" style="246" customWidth="1"/>
    <col min="6157" max="6157" width="11.75" style="246" customWidth="1"/>
    <col min="6158" max="6158" width="13.625" style="246" customWidth="1"/>
    <col min="6159" max="6159" width="15.125" style="246" customWidth="1"/>
    <col min="6160" max="6161" width="14.375" style="246" customWidth="1"/>
    <col min="6162" max="6162" width="0" style="246" hidden="1" customWidth="1"/>
    <col min="6163" max="6163" width="13" style="246" customWidth="1"/>
    <col min="6164" max="6164" width="16.75" style="246" customWidth="1"/>
    <col min="6165" max="6166" width="22.25" style="246" customWidth="1"/>
    <col min="6167" max="6167" width="36.625" style="246" customWidth="1"/>
    <col min="6168" max="6168" width="26.25" style="246" customWidth="1"/>
    <col min="6169" max="6169" width="19.875" style="246" customWidth="1"/>
    <col min="6170" max="6170" width="24" style="246" customWidth="1"/>
    <col min="6171" max="6171" width="22" style="246" customWidth="1"/>
    <col min="6172" max="6172" width="20" style="246" customWidth="1"/>
    <col min="6173" max="6404" width="9" style="246"/>
    <col min="6405" max="6405" width="9" style="246" customWidth="1"/>
    <col min="6406" max="6406" width="23.125" style="246" customWidth="1"/>
    <col min="6407" max="6407" width="14" style="246" customWidth="1"/>
    <col min="6408" max="6408" width="11.75" style="246" customWidth="1"/>
    <col min="6409" max="6409" width="14.125" style="246" customWidth="1"/>
    <col min="6410" max="6410" width="16.125" style="246" customWidth="1"/>
    <col min="6411" max="6411" width="17.375" style="246" customWidth="1"/>
    <col min="6412" max="6412" width="24.375" style="246" customWidth="1"/>
    <col min="6413" max="6413" width="11.75" style="246" customWidth="1"/>
    <col min="6414" max="6414" width="13.625" style="246" customWidth="1"/>
    <col min="6415" max="6415" width="15.125" style="246" customWidth="1"/>
    <col min="6416" max="6417" width="14.375" style="246" customWidth="1"/>
    <col min="6418" max="6418" width="0" style="246" hidden="1" customWidth="1"/>
    <col min="6419" max="6419" width="13" style="246" customWidth="1"/>
    <col min="6420" max="6420" width="16.75" style="246" customWidth="1"/>
    <col min="6421" max="6422" width="22.25" style="246" customWidth="1"/>
    <col min="6423" max="6423" width="36.625" style="246" customWidth="1"/>
    <col min="6424" max="6424" width="26.25" style="246" customWidth="1"/>
    <col min="6425" max="6425" width="19.875" style="246" customWidth="1"/>
    <col min="6426" max="6426" width="24" style="246" customWidth="1"/>
    <col min="6427" max="6427" width="22" style="246" customWidth="1"/>
    <col min="6428" max="6428" width="20" style="246" customWidth="1"/>
    <col min="6429" max="6660" width="9" style="246"/>
    <col min="6661" max="6661" width="9" style="246" customWidth="1"/>
    <col min="6662" max="6662" width="23.125" style="246" customWidth="1"/>
    <col min="6663" max="6663" width="14" style="246" customWidth="1"/>
    <col min="6664" max="6664" width="11.75" style="246" customWidth="1"/>
    <col min="6665" max="6665" width="14.125" style="246" customWidth="1"/>
    <col min="6666" max="6666" width="16.125" style="246" customWidth="1"/>
    <col min="6667" max="6667" width="17.375" style="246" customWidth="1"/>
    <col min="6668" max="6668" width="24.375" style="246" customWidth="1"/>
    <col min="6669" max="6669" width="11.75" style="246" customWidth="1"/>
    <col min="6670" max="6670" width="13.625" style="246" customWidth="1"/>
    <col min="6671" max="6671" width="15.125" style="246" customWidth="1"/>
    <col min="6672" max="6673" width="14.375" style="246" customWidth="1"/>
    <col min="6674" max="6674" width="0" style="246" hidden="1" customWidth="1"/>
    <col min="6675" max="6675" width="13" style="246" customWidth="1"/>
    <col min="6676" max="6676" width="16.75" style="246" customWidth="1"/>
    <col min="6677" max="6678" width="22.25" style="246" customWidth="1"/>
    <col min="6679" max="6679" width="36.625" style="246" customWidth="1"/>
    <col min="6680" max="6680" width="26.25" style="246" customWidth="1"/>
    <col min="6681" max="6681" width="19.875" style="246" customWidth="1"/>
    <col min="6682" max="6682" width="24" style="246" customWidth="1"/>
    <col min="6683" max="6683" width="22" style="246" customWidth="1"/>
    <col min="6684" max="6684" width="20" style="246" customWidth="1"/>
    <col min="6685" max="6916" width="9" style="246"/>
    <col min="6917" max="6917" width="9" style="246" customWidth="1"/>
    <col min="6918" max="6918" width="23.125" style="246" customWidth="1"/>
    <col min="6919" max="6919" width="14" style="246" customWidth="1"/>
    <col min="6920" max="6920" width="11.75" style="246" customWidth="1"/>
    <col min="6921" max="6921" width="14.125" style="246" customWidth="1"/>
    <col min="6922" max="6922" width="16.125" style="246" customWidth="1"/>
    <col min="6923" max="6923" width="17.375" style="246" customWidth="1"/>
    <col min="6924" max="6924" width="24.375" style="246" customWidth="1"/>
    <col min="6925" max="6925" width="11.75" style="246" customWidth="1"/>
    <col min="6926" max="6926" width="13.625" style="246" customWidth="1"/>
    <col min="6927" max="6927" width="15.125" style="246" customWidth="1"/>
    <col min="6928" max="6929" width="14.375" style="246" customWidth="1"/>
    <col min="6930" max="6930" width="0" style="246" hidden="1" customWidth="1"/>
    <col min="6931" max="6931" width="13" style="246" customWidth="1"/>
    <col min="6932" max="6932" width="16.75" style="246" customWidth="1"/>
    <col min="6933" max="6934" width="22.25" style="246" customWidth="1"/>
    <col min="6935" max="6935" width="36.625" style="246" customWidth="1"/>
    <col min="6936" max="6936" width="26.25" style="246" customWidth="1"/>
    <col min="6937" max="6937" width="19.875" style="246" customWidth="1"/>
    <col min="6938" max="6938" width="24" style="246" customWidth="1"/>
    <col min="6939" max="6939" width="22" style="246" customWidth="1"/>
    <col min="6940" max="6940" width="20" style="246" customWidth="1"/>
    <col min="6941" max="7172" width="9" style="246"/>
    <col min="7173" max="7173" width="9" style="246" customWidth="1"/>
    <col min="7174" max="7174" width="23.125" style="246" customWidth="1"/>
    <col min="7175" max="7175" width="14" style="246" customWidth="1"/>
    <col min="7176" max="7176" width="11.75" style="246" customWidth="1"/>
    <col min="7177" max="7177" width="14.125" style="246" customWidth="1"/>
    <col min="7178" max="7178" width="16.125" style="246" customWidth="1"/>
    <col min="7179" max="7179" width="17.375" style="246" customWidth="1"/>
    <col min="7180" max="7180" width="24.375" style="246" customWidth="1"/>
    <col min="7181" max="7181" width="11.75" style="246" customWidth="1"/>
    <col min="7182" max="7182" width="13.625" style="246" customWidth="1"/>
    <col min="7183" max="7183" width="15.125" style="246" customWidth="1"/>
    <col min="7184" max="7185" width="14.375" style="246" customWidth="1"/>
    <col min="7186" max="7186" width="0" style="246" hidden="1" customWidth="1"/>
    <col min="7187" max="7187" width="13" style="246" customWidth="1"/>
    <col min="7188" max="7188" width="16.75" style="246" customWidth="1"/>
    <col min="7189" max="7190" width="22.25" style="246" customWidth="1"/>
    <col min="7191" max="7191" width="36.625" style="246" customWidth="1"/>
    <col min="7192" max="7192" width="26.25" style="246" customWidth="1"/>
    <col min="7193" max="7193" width="19.875" style="246" customWidth="1"/>
    <col min="7194" max="7194" width="24" style="246" customWidth="1"/>
    <col min="7195" max="7195" width="22" style="246" customWidth="1"/>
    <col min="7196" max="7196" width="20" style="246" customWidth="1"/>
    <col min="7197" max="7428" width="9" style="246"/>
    <col min="7429" max="7429" width="9" style="246" customWidth="1"/>
    <col min="7430" max="7430" width="23.125" style="246" customWidth="1"/>
    <col min="7431" max="7431" width="14" style="246" customWidth="1"/>
    <col min="7432" max="7432" width="11.75" style="246" customWidth="1"/>
    <col min="7433" max="7433" width="14.125" style="246" customWidth="1"/>
    <col min="7434" max="7434" width="16.125" style="246" customWidth="1"/>
    <col min="7435" max="7435" width="17.375" style="246" customWidth="1"/>
    <col min="7436" max="7436" width="24.375" style="246" customWidth="1"/>
    <col min="7437" max="7437" width="11.75" style="246" customWidth="1"/>
    <col min="7438" max="7438" width="13.625" style="246" customWidth="1"/>
    <col min="7439" max="7439" width="15.125" style="246" customWidth="1"/>
    <col min="7440" max="7441" width="14.375" style="246" customWidth="1"/>
    <col min="7442" max="7442" width="0" style="246" hidden="1" customWidth="1"/>
    <col min="7443" max="7443" width="13" style="246" customWidth="1"/>
    <col min="7444" max="7444" width="16.75" style="246" customWidth="1"/>
    <col min="7445" max="7446" width="22.25" style="246" customWidth="1"/>
    <col min="7447" max="7447" width="36.625" style="246" customWidth="1"/>
    <col min="7448" max="7448" width="26.25" style="246" customWidth="1"/>
    <col min="7449" max="7449" width="19.875" style="246" customWidth="1"/>
    <col min="7450" max="7450" width="24" style="246" customWidth="1"/>
    <col min="7451" max="7451" width="22" style="246" customWidth="1"/>
    <col min="7452" max="7452" width="20" style="246" customWidth="1"/>
    <col min="7453" max="7684" width="9" style="246"/>
    <col min="7685" max="7685" width="9" style="246" customWidth="1"/>
    <col min="7686" max="7686" width="23.125" style="246" customWidth="1"/>
    <col min="7687" max="7687" width="14" style="246" customWidth="1"/>
    <col min="7688" max="7688" width="11.75" style="246" customWidth="1"/>
    <col min="7689" max="7689" width="14.125" style="246" customWidth="1"/>
    <col min="7690" max="7690" width="16.125" style="246" customWidth="1"/>
    <col min="7691" max="7691" width="17.375" style="246" customWidth="1"/>
    <col min="7692" max="7692" width="24.375" style="246" customWidth="1"/>
    <col min="7693" max="7693" width="11.75" style="246" customWidth="1"/>
    <col min="7694" max="7694" width="13.625" style="246" customWidth="1"/>
    <col min="7695" max="7695" width="15.125" style="246" customWidth="1"/>
    <col min="7696" max="7697" width="14.375" style="246" customWidth="1"/>
    <col min="7698" max="7698" width="0" style="246" hidden="1" customWidth="1"/>
    <col min="7699" max="7699" width="13" style="246" customWidth="1"/>
    <col min="7700" max="7700" width="16.75" style="246" customWidth="1"/>
    <col min="7701" max="7702" width="22.25" style="246" customWidth="1"/>
    <col min="7703" max="7703" width="36.625" style="246" customWidth="1"/>
    <col min="7704" max="7704" width="26.25" style="246" customWidth="1"/>
    <col min="7705" max="7705" width="19.875" style="246" customWidth="1"/>
    <col min="7706" max="7706" width="24" style="246" customWidth="1"/>
    <col min="7707" max="7707" width="22" style="246" customWidth="1"/>
    <col min="7708" max="7708" width="20" style="246" customWidth="1"/>
    <col min="7709" max="7940" width="9" style="246"/>
    <col min="7941" max="7941" width="9" style="246" customWidth="1"/>
    <col min="7942" max="7942" width="23.125" style="246" customWidth="1"/>
    <col min="7943" max="7943" width="14" style="246" customWidth="1"/>
    <col min="7944" max="7944" width="11.75" style="246" customWidth="1"/>
    <col min="7945" max="7945" width="14.125" style="246" customWidth="1"/>
    <col min="7946" max="7946" width="16.125" style="246" customWidth="1"/>
    <col min="7947" max="7947" width="17.375" style="246" customWidth="1"/>
    <col min="7948" max="7948" width="24.375" style="246" customWidth="1"/>
    <col min="7949" max="7949" width="11.75" style="246" customWidth="1"/>
    <col min="7950" max="7950" width="13.625" style="246" customWidth="1"/>
    <col min="7951" max="7951" width="15.125" style="246" customWidth="1"/>
    <col min="7952" max="7953" width="14.375" style="246" customWidth="1"/>
    <col min="7954" max="7954" width="0" style="246" hidden="1" customWidth="1"/>
    <col min="7955" max="7955" width="13" style="246" customWidth="1"/>
    <col min="7956" max="7956" width="16.75" style="246" customWidth="1"/>
    <col min="7957" max="7958" width="22.25" style="246" customWidth="1"/>
    <col min="7959" max="7959" width="36.625" style="246" customWidth="1"/>
    <col min="7960" max="7960" width="26.25" style="246" customWidth="1"/>
    <col min="7961" max="7961" width="19.875" style="246" customWidth="1"/>
    <col min="7962" max="7962" width="24" style="246" customWidth="1"/>
    <col min="7963" max="7963" width="22" style="246" customWidth="1"/>
    <col min="7964" max="7964" width="20" style="246" customWidth="1"/>
    <col min="7965" max="8196" width="9" style="246"/>
    <col min="8197" max="8197" width="9" style="246" customWidth="1"/>
    <col min="8198" max="8198" width="23.125" style="246" customWidth="1"/>
    <col min="8199" max="8199" width="14" style="246" customWidth="1"/>
    <col min="8200" max="8200" width="11.75" style="246" customWidth="1"/>
    <col min="8201" max="8201" width="14.125" style="246" customWidth="1"/>
    <col min="8202" max="8202" width="16.125" style="246" customWidth="1"/>
    <col min="8203" max="8203" width="17.375" style="246" customWidth="1"/>
    <col min="8204" max="8204" width="24.375" style="246" customWidth="1"/>
    <col min="8205" max="8205" width="11.75" style="246" customWidth="1"/>
    <col min="8206" max="8206" width="13.625" style="246" customWidth="1"/>
    <col min="8207" max="8207" width="15.125" style="246" customWidth="1"/>
    <col min="8208" max="8209" width="14.375" style="246" customWidth="1"/>
    <col min="8210" max="8210" width="0" style="246" hidden="1" customWidth="1"/>
    <col min="8211" max="8211" width="13" style="246" customWidth="1"/>
    <col min="8212" max="8212" width="16.75" style="246" customWidth="1"/>
    <col min="8213" max="8214" width="22.25" style="246" customWidth="1"/>
    <col min="8215" max="8215" width="36.625" style="246" customWidth="1"/>
    <col min="8216" max="8216" width="26.25" style="246" customWidth="1"/>
    <col min="8217" max="8217" width="19.875" style="246" customWidth="1"/>
    <col min="8218" max="8218" width="24" style="246" customWidth="1"/>
    <col min="8219" max="8219" width="22" style="246" customWidth="1"/>
    <col min="8220" max="8220" width="20" style="246" customWidth="1"/>
    <col min="8221" max="8452" width="9" style="246"/>
    <col min="8453" max="8453" width="9" style="246" customWidth="1"/>
    <col min="8454" max="8454" width="23.125" style="246" customWidth="1"/>
    <col min="8455" max="8455" width="14" style="246" customWidth="1"/>
    <col min="8456" max="8456" width="11.75" style="246" customWidth="1"/>
    <col min="8457" max="8457" width="14.125" style="246" customWidth="1"/>
    <col min="8458" max="8458" width="16.125" style="246" customWidth="1"/>
    <col min="8459" max="8459" width="17.375" style="246" customWidth="1"/>
    <col min="8460" max="8460" width="24.375" style="246" customWidth="1"/>
    <col min="8461" max="8461" width="11.75" style="246" customWidth="1"/>
    <col min="8462" max="8462" width="13.625" style="246" customWidth="1"/>
    <col min="8463" max="8463" width="15.125" style="246" customWidth="1"/>
    <col min="8464" max="8465" width="14.375" style="246" customWidth="1"/>
    <col min="8466" max="8466" width="0" style="246" hidden="1" customWidth="1"/>
    <col min="8467" max="8467" width="13" style="246" customWidth="1"/>
    <col min="8468" max="8468" width="16.75" style="246" customWidth="1"/>
    <col min="8469" max="8470" width="22.25" style="246" customWidth="1"/>
    <col min="8471" max="8471" width="36.625" style="246" customWidth="1"/>
    <col min="8472" max="8472" width="26.25" style="246" customWidth="1"/>
    <col min="8473" max="8473" width="19.875" style="246" customWidth="1"/>
    <col min="8474" max="8474" width="24" style="246" customWidth="1"/>
    <col min="8475" max="8475" width="22" style="246" customWidth="1"/>
    <col min="8476" max="8476" width="20" style="246" customWidth="1"/>
    <col min="8477" max="8708" width="9" style="246"/>
    <col min="8709" max="8709" width="9" style="246" customWidth="1"/>
    <col min="8710" max="8710" width="23.125" style="246" customWidth="1"/>
    <col min="8711" max="8711" width="14" style="246" customWidth="1"/>
    <col min="8712" max="8712" width="11.75" style="246" customWidth="1"/>
    <col min="8713" max="8713" width="14.125" style="246" customWidth="1"/>
    <col min="8714" max="8714" width="16.125" style="246" customWidth="1"/>
    <col min="8715" max="8715" width="17.375" style="246" customWidth="1"/>
    <col min="8716" max="8716" width="24.375" style="246" customWidth="1"/>
    <col min="8717" max="8717" width="11.75" style="246" customWidth="1"/>
    <col min="8718" max="8718" width="13.625" style="246" customWidth="1"/>
    <col min="8719" max="8719" width="15.125" style="246" customWidth="1"/>
    <col min="8720" max="8721" width="14.375" style="246" customWidth="1"/>
    <col min="8722" max="8722" width="0" style="246" hidden="1" customWidth="1"/>
    <col min="8723" max="8723" width="13" style="246" customWidth="1"/>
    <col min="8724" max="8724" width="16.75" style="246" customWidth="1"/>
    <col min="8725" max="8726" width="22.25" style="246" customWidth="1"/>
    <col min="8727" max="8727" width="36.625" style="246" customWidth="1"/>
    <col min="8728" max="8728" width="26.25" style="246" customWidth="1"/>
    <col min="8729" max="8729" width="19.875" style="246" customWidth="1"/>
    <col min="8730" max="8730" width="24" style="246" customWidth="1"/>
    <col min="8731" max="8731" width="22" style="246" customWidth="1"/>
    <col min="8732" max="8732" width="20" style="246" customWidth="1"/>
    <col min="8733" max="8964" width="9" style="246"/>
    <col min="8965" max="8965" width="9" style="246" customWidth="1"/>
    <col min="8966" max="8966" width="23.125" style="246" customWidth="1"/>
    <col min="8967" max="8967" width="14" style="246" customWidth="1"/>
    <col min="8968" max="8968" width="11.75" style="246" customWidth="1"/>
    <col min="8969" max="8969" width="14.125" style="246" customWidth="1"/>
    <col min="8970" max="8970" width="16.125" style="246" customWidth="1"/>
    <col min="8971" max="8971" width="17.375" style="246" customWidth="1"/>
    <col min="8972" max="8972" width="24.375" style="246" customWidth="1"/>
    <col min="8973" max="8973" width="11.75" style="246" customWidth="1"/>
    <col min="8974" max="8974" width="13.625" style="246" customWidth="1"/>
    <col min="8975" max="8975" width="15.125" style="246" customWidth="1"/>
    <col min="8976" max="8977" width="14.375" style="246" customWidth="1"/>
    <col min="8978" max="8978" width="0" style="246" hidden="1" customWidth="1"/>
    <col min="8979" max="8979" width="13" style="246" customWidth="1"/>
    <col min="8980" max="8980" width="16.75" style="246" customWidth="1"/>
    <col min="8981" max="8982" width="22.25" style="246" customWidth="1"/>
    <col min="8983" max="8983" width="36.625" style="246" customWidth="1"/>
    <col min="8984" max="8984" width="26.25" style="246" customWidth="1"/>
    <col min="8985" max="8985" width="19.875" style="246" customWidth="1"/>
    <col min="8986" max="8986" width="24" style="246" customWidth="1"/>
    <col min="8987" max="8987" width="22" style="246" customWidth="1"/>
    <col min="8988" max="8988" width="20" style="246" customWidth="1"/>
    <col min="8989" max="9220" width="9" style="246"/>
    <col min="9221" max="9221" width="9" style="246" customWidth="1"/>
    <col min="9222" max="9222" width="23.125" style="246" customWidth="1"/>
    <col min="9223" max="9223" width="14" style="246" customWidth="1"/>
    <col min="9224" max="9224" width="11.75" style="246" customWidth="1"/>
    <col min="9225" max="9225" width="14.125" style="246" customWidth="1"/>
    <col min="9226" max="9226" width="16.125" style="246" customWidth="1"/>
    <col min="9227" max="9227" width="17.375" style="246" customWidth="1"/>
    <col min="9228" max="9228" width="24.375" style="246" customWidth="1"/>
    <col min="9229" max="9229" width="11.75" style="246" customWidth="1"/>
    <col min="9230" max="9230" width="13.625" style="246" customWidth="1"/>
    <col min="9231" max="9231" width="15.125" style="246" customWidth="1"/>
    <col min="9232" max="9233" width="14.375" style="246" customWidth="1"/>
    <col min="9234" max="9234" width="0" style="246" hidden="1" customWidth="1"/>
    <col min="9235" max="9235" width="13" style="246" customWidth="1"/>
    <col min="9236" max="9236" width="16.75" style="246" customWidth="1"/>
    <col min="9237" max="9238" width="22.25" style="246" customWidth="1"/>
    <col min="9239" max="9239" width="36.625" style="246" customWidth="1"/>
    <col min="9240" max="9240" width="26.25" style="246" customWidth="1"/>
    <col min="9241" max="9241" width="19.875" style="246" customWidth="1"/>
    <col min="9242" max="9242" width="24" style="246" customWidth="1"/>
    <col min="9243" max="9243" width="22" style="246" customWidth="1"/>
    <col min="9244" max="9244" width="20" style="246" customWidth="1"/>
    <col min="9245" max="9476" width="9" style="246"/>
    <col min="9477" max="9477" width="9" style="246" customWidth="1"/>
    <col min="9478" max="9478" width="23.125" style="246" customWidth="1"/>
    <col min="9479" max="9479" width="14" style="246" customWidth="1"/>
    <col min="9480" max="9480" width="11.75" style="246" customWidth="1"/>
    <col min="9481" max="9481" width="14.125" style="246" customWidth="1"/>
    <col min="9482" max="9482" width="16.125" style="246" customWidth="1"/>
    <col min="9483" max="9483" width="17.375" style="246" customWidth="1"/>
    <col min="9484" max="9484" width="24.375" style="246" customWidth="1"/>
    <col min="9485" max="9485" width="11.75" style="246" customWidth="1"/>
    <col min="9486" max="9486" width="13.625" style="246" customWidth="1"/>
    <col min="9487" max="9487" width="15.125" style="246" customWidth="1"/>
    <col min="9488" max="9489" width="14.375" style="246" customWidth="1"/>
    <col min="9490" max="9490" width="0" style="246" hidden="1" customWidth="1"/>
    <col min="9491" max="9491" width="13" style="246" customWidth="1"/>
    <col min="9492" max="9492" width="16.75" style="246" customWidth="1"/>
    <col min="9493" max="9494" width="22.25" style="246" customWidth="1"/>
    <col min="9495" max="9495" width="36.625" style="246" customWidth="1"/>
    <col min="9496" max="9496" width="26.25" style="246" customWidth="1"/>
    <col min="9497" max="9497" width="19.875" style="246" customWidth="1"/>
    <col min="9498" max="9498" width="24" style="246" customWidth="1"/>
    <col min="9499" max="9499" width="22" style="246" customWidth="1"/>
    <col min="9500" max="9500" width="20" style="246" customWidth="1"/>
    <col min="9501" max="9732" width="9" style="246"/>
    <col min="9733" max="9733" width="9" style="246" customWidth="1"/>
    <col min="9734" max="9734" width="23.125" style="246" customWidth="1"/>
    <col min="9735" max="9735" width="14" style="246" customWidth="1"/>
    <col min="9736" max="9736" width="11.75" style="246" customWidth="1"/>
    <col min="9737" max="9737" width="14.125" style="246" customWidth="1"/>
    <col min="9738" max="9738" width="16.125" style="246" customWidth="1"/>
    <col min="9739" max="9739" width="17.375" style="246" customWidth="1"/>
    <col min="9740" max="9740" width="24.375" style="246" customWidth="1"/>
    <col min="9741" max="9741" width="11.75" style="246" customWidth="1"/>
    <col min="9742" max="9742" width="13.625" style="246" customWidth="1"/>
    <col min="9743" max="9743" width="15.125" style="246" customWidth="1"/>
    <col min="9744" max="9745" width="14.375" style="246" customWidth="1"/>
    <col min="9746" max="9746" width="0" style="246" hidden="1" customWidth="1"/>
    <col min="9747" max="9747" width="13" style="246" customWidth="1"/>
    <col min="9748" max="9748" width="16.75" style="246" customWidth="1"/>
    <col min="9749" max="9750" width="22.25" style="246" customWidth="1"/>
    <col min="9751" max="9751" width="36.625" style="246" customWidth="1"/>
    <col min="9752" max="9752" width="26.25" style="246" customWidth="1"/>
    <col min="9753" max="9753" width="19.875" style="246" customWidth="1"/>
    <col min="9754" max="9754" width="24" style="246" customWidth="1"/>
    <col min="9755" max="9755" width="22" style="246" customWidth="1"/>
    <col min="9756" max="9756" width="20" style="246" customWidth="1"/>
    <col min="9757" max="9988" width="9" style="246"/>
    <col min="9989" max="9989" width="9" style="246" customWidth="1"/>
    <col min="9990" max="9990" width="23.125" style="246" customWidth="1"/>
    <col min="9991" max="9991" width="14" style="246" customWidth="1"/>
    <col min="9992" max="9992" width="11.75" style="246" customWidth="1"/>
    <col min="9993" max="9993" width="14.125" style="246" customWidth="1"/>
    <col min="9994" max="9994" width="16.125" style="246" customWidth="1"/>
    <col min="9995" max="9995" width="17.375" style="246" customWidth="1"/>
    <col min="9996" max="9996" width="24.375" style="246" customWidth="1"/>
    <col min="9997" max="9997" width="11.75" style="246" customWidth="1"/>
    <col min="9998" max="9998" width="13.625" style="246" customWidth="1"/>
    <col min="9999" max="9999" width="15.125" style="246" customWidth="1"/>
    <col min="10000" max="10001" width="14.375" style="246" customWidth="1"/>
    <col min="10002" max="10002" width="0" style="246" hidden="1" customWidth="1"/>
    <col min="10003" max="10003" width="13" style="246" customWidth="1"/>
    <col min="10004" max="10004" width="16.75" style="246" customWidth="1"/>
    <col min="10005" max="10006" width="22.25" style="246" customWidth="1"/>
    <col min="10007" max="10007" width="36.625" style="246" customWidth="1"/>
    <col min="10008" max="10008" width="26.25" style="246" customWidth="1"/>
    <col min="10009" max="10009" width="19.875" style="246" customWidth="1"/>
    <col min="10010" max="10010" width="24" style="246" customWidth="1"/>
    <col min="10011" max="10011" width="22" style="246" customWidth="1"/>
    <col min="10012" max="10012" width="20" style="246" customWidth="1"/>
    <col min="10013" max="10244" width="9" style="246"/>
    <col min="10245" max="10245" width="9" style="246" customWidth="1"/>
    <col min="10246" max="10246" width="23.125" style="246" customWidth="1"/>
    <col min="10247" max="10247" width="14" style="246" customWidth="1"/>
    <col min="10248" max="10248" width="11.75" style="246" customWidth="1"/>
    <col min="10249" max="10249" width="14.125" style="246" customWidth="1"/>
    <col min="10250" max="10250" width="16.125" style="246" customWidth="1"/>
    <col min="10251" max="10251" width="17.375" style="246" customWidth="1"/>
    <col min="10252" max="10252" width="24.375" style="246" customWidth="1"/>
    <col min="10253" max="10253" width="11.75" style="246" customWidth="1"/>
    <col min="10254" max="10254" width="13.625" style="246" customWidth="1"/>
    <col min="10255" max="10255" width="15.125" style="246" customWidth="1"/>
    <col min="10256" max="10257" width="14.375" style="246" customWidth="1"/>
    <col min="10258" max="10258" width="0" style="246" hidden="1" customWidth="1"/>
    <col min="10259" max="10259" width="13" style="246" customWidth="1"/>
    <col min="10260" max="10260" width="16.75" style="246" customWidth="1"/>
    <col min="10261" max="10262" width="22.25" style="246" customWidth="1"/>
    <col min="10263" max="10263" width="36.625" style="246" customWidth="1"/>
    <col min="10264" max="10264" width="26.25" style="246" customWidth="1"/>
    <col min="10265" max="10265" width="19.875" style="246" customWidth="1"/>
    <col min="10266" max="10266" width="24" style="246" customWidth="1"/>
    <col min="10267" max="10267" width="22" style="246" customWidth="1"/>
    <col min="10268" max="10268" width="20" style="246" customWidth="1"/>
    <col min="10269" max="10500" width="9" style="246"/>
    <col min="10501" max="10501" width="9" style="246" customWidth="1"/>
    <col min="10502" max="10502" width="23.125" style="246" customWidth="1"/>
    <col min="10503" max="10503" width="14" style="246" customWidth="1"/>
    <col min="10504" max="10504" width="11.75" style="246" customWidth="1"/>
    <col min="10505" max="10505" width="14.125" style="246" customWidth="1"/>
    <col min="10506" max="10506" width="16.125" style="246" customWidth="1"/>
    <col min="10507" max="10507" width="17.375" style="246" customWidth="1"/>
    <col min="10508" max="10508" width="24.375" style="246" customWidth="1"/>
    <col min="10509" max="10509" width="11.75" style="246" customWidth="1"/>
    <col min="10510" max="10510" width="13.625" style="246" customWidth="1"/>
    <col min="10511" max="10511" width="15.125" style="246" customWidth="1"/>
    <col min="10512" max="10513" width="14.375" style="246" customWidth="1"/>
    <col min="10514" max="10514" width="0" style="246" hidden="1" customWidth="1"/>
    <col min="10515" max="10515" width="13" style="246" customWidth="1"/>
    <col min="10516" max="10516" width="16.75" style="246" customWidth="1"/>
    <col min="10517" max="10518" width="22.25" style="246" customWidth="1"/>
    <col min="10519" max="10519" width="36.625" style="246" customWidth="1"/>
    <col min="10520" max="10520" width="26.25" style="246" customWidth="1"/>
    <col min="10521" max="10521" width="19.875" style="246" customWidth="1"/>
    <col min="10522" max="10522" width="24" style="246" customWidth="1"/>
    <col min="10523" max="10523" width="22" style="246" customWidth="1"/>
    <col min="10524" max="10524" width="20" style="246" customWidth="1"/>
    <col min="10525" max="10756" width="9" style="246"/>
    <col min="10757" max="10757" width="9" style="246" customWidth="1"/>
    <col min="10758" max="10758" width="23.125" style="246" customWidth="1"/>
    <col min="10759" max="10759" width="14" style="246" customWidth="1"/>
    <col min="10760" max="10760" width="11.75" style="246" customWidth="1"/>
    <col min="10761" max="10761" width="14.125" style="246" customWidth="1"/>
    <col min="10762" max="10762" width="16.125" style="246" customWidth="1"/>
    <col min="10763" max="10763" width="17.375" style="246" customWidth="1"/>
    <col min="10764" max="10764" width="24.375" style="246" customWidth="1"/>
    <col min="10765" max="10765" width="11.75" style="246" customWidth="1"/>
    <col min="10766" max="10766" width="13.625" style="246" customWidth="1"/>
    <col min="10767" max="10767" width="15.125" style="246" customWidth="1"/>
    <col min="10768" max="10769" width="14.375" style="246" customWidth="1"/>
    <col min="10770" max="10770" width="0" style="246" hidden="1" customWidth="1"/>
    <col min="10771" max="10771" width="13" style="246" customWidth="1"/>
    <col min="10772" max="10772" width="16.75" style="246" customWidth="1"/>
    <col min="10773" max="10774" width="22.25" style="246" customWidth="1"/>
    <col min="10775" max="10775" width="36.625" style="246" customWidth="1"/>
    <col min="10776" max="10776" width="26.25" style="246" customWidth="1"/>
    <col min="10777" max="10777" width="19.875" style="246" customWidth="1"/>
    <col min="10778" max="10778" width="24" style="246" customWidth="1"/>
    <col min="10779" max="10779" width="22" style="246" customWidth="1"/>
    <col min="10780" max="10780" width="20" style="246" customWidth="1"/>
    <col min="10781" max="11012" width="9" style="246"/>
    <col min="11013" max="11013" width="9" style="246" customWidth="1"/>
    <col min="11014" max="11014" width="23.125" style="246" customWidth="1"/>
    <col min="11015" max="11015" width="14" style="246" customWidth="1"/>
    <col min="11016" max="11016" width="11.75" style="246" customWidth="1"/>
    <col min="11017" max="11017" width="14.125" style="246" customWidth="1"/>
    <col min="11018" max="11018" width="16.125" style="246" customWidth="1"/>
    <col min="11019" max="11019" width="17.375" style="246" customWidth="1"/>
    <col min="11020" max="11020" width="24.375" style="246" customWidth="1"/>
    <col min="11021" max="11021" width="11.75" style="246" customWidth="1"/>
    <col min="11022" max="11022" width="13.625" style="246" customWidth="1"/>
    <col min="11023" max="11023" width="15.125" style="246" customWidth="1"/>
    <col min="11024" max="11025" width="14.375" style="246" customWidth="1"/>
    <col min="11026" max="11026" width="0" style="246" hidden="1" customWidth="1"/>
    <col min="11027" max="11027" width="13" style="246" customWidth="1"/>
    <col min="11028" max="11028" width="16.75" style="246" customWidth="1"/>
    <col min="11029" max="11030" width="22.25" style="246" customWidth="1"/>
    <col min="11031" max="11031" width="36.625" style="246" customWidth="1"/>
    <col min="11032" max="11032" width="26.25" style="246" customWidth="1"/>
    <col min="11033" max="11033" width="19.875" style="246" customWidth="1"/>
    <col min="11034" max="11034" width="24" style="246" customWidth="1"/>
    <col min="11035" max="11035" width="22" style="246" customWidth="1"/>
    <col min="11036" max="11036" width="20" style="246" customWidth="1"/>
    <col min="11037" max="11268" width="9" style="246"/>
    <col min="11269" max="11269" width="9" style="246" customWidth="1"/>
    <col min="11270" max="11270" width="23.125" style="246" customWidth="1"/>
    <col min="11271" max="11271" width="14" style="246" customWidth="1"/>
    <col min="11272" max="11272" width="11.75" style="246" customWidth="1"/>
    <col min="11273" max="11273" width="14.125" style="246" customWidth="1"/>
    <col min="11274" max="11274" width="16.125" style="246" customWidth="1"/>
    <col min="11275" max="11275" width="17.375" style="246" customWidth="1"/>
    <col min="11276" max="11276" width="24.375" style="246" customWidth="1"/>
    <col min="11277" max="11277" width="11.75" style="246" customWidth="1"/>
    <col min="11278" max="11278" width="13.625" style="246" customWidth="1"/>
    <col min="11279" max="11279" width="15.125" style="246" customWidth="1"/>
    <col min="11280" max="11281" width="14.375" style="246" customWidth="1"/>
    <col min="11282" max="11282" width="0" style="246" hidden="1" customWidth="1"/>
    <col min="11283" max="11283" width="13" style="246" customWidth="1"/>
    <col min="11284" max="11284" width="16.75" style="246" customWidth="1"/>
    <col min="11285" max="11286" width="22.25" style="246" customWidth="1"/>
    <col min="11287" max="11287" width="36.625" style="246" customWidth="1"/>
    <col min="11288" max="11288" width="26.25" style="246" customWidth="1"/>
    <col min="11289" max="11289" width="19.875" style="246" customWidth="1"/>
    <col min="11290" max="11290" width="24" style="246" customWidth="1"/>
    <col min="11291" max="11291" width="22" style="246" customWidth="1"/>
    <col min="11292" max="11292" width="20" style="246" customWidth="1"/>
    <col min="11293" max="11524" width="9" style="246"/>
    <col min="11525" max="11525" width="9" style="246" customWidth="1"/>
    <col min="11526" max="11526" width="23.125" style="246" customWidth="1"/>
    <col min="11527" max="11527" width="14" style="246" customWidth="1"/>
    <col min="11528" max="11528" width="11.75" style="246" customWidth="1"/>
    <col min="11529" max="11529" width="14.125" style="246" customWidth="1"/>
    <col min="11530" max="11530" width="16.125" style="246" customWidth="1"/>
    <col min="11531" max="11531" width="17.375" style="246" customWidth="1"/>
    <col min="11532" max="11532" width="24.375" style="246" customWidth="1"/>
    <col min="11533" max="11533" width="11.75" style="246" customWidth="1"/>
    <col min="11534" max="11534" width="13.625" style="246" customWidth="1"/>
    <col min="11535" max="11535" width="15.125" style="246" customWidth="1"/>
    <col min="11536" max="11537" width="14.375" style="246" customWidth="1"/>
    <col min="11538" max="11538" width="0" style="246" hidden="1" customWidth="1"/>
    <col min="11539" max="11539" width="13" style="246" customWidth="1"/>
    <col min="11540" max="11540" width="16.75" style="246" customWidth="1"/>
    <col min="11541" max="11542" width="22.25" style="246" customWidth="1"/>
    <col min="11543" max="11543" width="36.625" style="246" customWidth="1"/>
    <col min="11544" max="11544" width="26.25" style="246" customWidth="1"/>
    <col min="11545" max="11545" width="19.875" style="246" customWidth="1"/>
    <col min="11546" max="11546" width="24" style="246" customWidth="1"/>
    <col min="11547" max="11547" width="22" style="246" customWidth="1"/>
    <col min="11548" max="11548" width="20" style="246" customWidth="1"/>
    <col min="11549" max="11780" width="9" style="246"/>
    <col min="11781" max="11781" width="9" style="246" customWidth="1"/>
    <col min="11782" max="11782" width="23.125" style="246" customWidth="1"/>
    <col min="11783" max="11783" width="14" style="246" customWidth="1"/>
    <col min="11784" max="11784" width="11.75" style="246" customWidth="1"/>
    <col min="11785" max="11785" width="14.125" style="246" customWidth="1"/>
    <col min="11786" max="11786" width="16.125" style="246" customWidth="1"/>
    <col min="11787" max="11787" width="17.375" style="246" customWidth="1"/>
    <col min="11788" max="11788" width="24.375" style="246" customWidth="1"/>
    <col min="11789" max="11789" width="11.75" style="246" customWidth="1"/>
    <col min="11790" max="11790" width="13.625" style="246" customWidth="1"/>
    <col min="11791" max="11791" width="15.125" style="246" customWidth="1"/>
    <col min="11792" max="11793" width="14.375" style="246" customWidth="1"/>
    <col min="11794" max="11794" width="0" style="246" hidden="1" customWidth="1"/>
    <col min="11795" max="11795" width="13" style="246" customWidth="1"/>
    <col min="11796" max="11796" width="16.75" style="246" customWidth="1"/>
    <col min="11797" max="11798" width="22.25" style="246" customWidth="1"/>
    <col min="11799" max="11799" width="36.625" style="246" customWidth="1"/>
    <col min="11800" max="11800" width="26.25" style="246" customWidth="1"/>
    <col min="11801" max="11801" width="19.875" style="246" customWidth="1"/>
    <col min="11802" max="11802" width="24" style="246" customWidth="1"/>
    <col min="11803" max="11803" width="22" style="246" customWidth="1"/>
    <col min="11804" max="11804" width="20" style="246" customWidth="1"/>
    <col min="11805" max="12036" width="9" style="246"/>
    <col min="12037" max="12037" width="9" style="246" customWidth="1"/>
    <col min="12038" max="12038" width="23.125" style="246" customWidth="1"/>
    <col min="12039" max="12039" width="14" style="246" customWidth="1"/>
    <col min="12040" max="12040" width="11.75" style="246" customWidth="1"/>
    <col min="12041" max="12041" width="14.125" style="246" customWidth="1"/>
    <col min="12042" max="12042" width="16.125" style="246" customWidth="1"/>
    <col min="12043" max="12043" width="17.375" style="246" customWidth="1"/>
    <col min="12044" max="12044" width="24.375" style="246" customWidth="1"/>
    <col min="12045" max="12045" width="11.75" style="246" customWidth="1"/>
    <col min="12046" max="12046" width="13.625" style="246" customWidth="1"/>
    <col min="12047" max="12047" width="15.125" style="246" customWidth="1"/>
    <col min="12048" max="12049" width="14.375" style="246" customWidth="1"/>
    <col min="12050" max="12050" width="0" style="246" hidden="1" customWidth="1"/>
    <col min="12051" max="12051" width="13" style="246" customWidth="1"/>
    <col min="12052" max="12052" width="16.75" style="246" customWidth="1"/>
    <col min="12053" max="12054" width="22.25" style="246" customWidth="1"/>
    <col min="12055" max="12055" width="36.625" style="246" customWidth="1"/>
    <col min="12056" max="12056" width="26.25" style="246" customWidth="1"/>
    <col min="12057" max="12057" width="19.875" style="246" customWidth="1"/>
    <col min="12058" max="12058" width="24" style="246" customWidth="1"/>
    <col min="12059" max="12059" width="22" style="246" customWidth="1"/>
    <col min="12060" max="12060" width="20" style="246" customWidth="1"/>
    <col min="12061" max="12292" width="9" style="246"/>
    <col min="12293" max="12293" width="9" style="246" customWidth="1"/>
    <col min="12294" max="12294" width="23.125" style="246" customWidth="1"/>
    <col min="12295" max="12295" width="14" style="246" customWidth="1"/>
    <col min="12296" max="12296" width="11.75" style="246" customWidth="1"/>
    <col min="12297" max="12297" width="14.125" style="246" customWidth="1"/>
    <col min="12298" max="12298" width="16.125" style="246" customWidth="1"/>
    <col min="12299" max="12299" width="17.375" style="246" customWidth="1"/>
    <col min="12300" max="12300" width="24.375" style="246" customWidth="1"/>
    <col min="12301" max="12301" width="11.75" style="246" customWidth="1"/>
    <col min="12302" max="12302" width="13.625" style="246" customWidth="1"/>
    <col min="12303" max="12303" width="15.125" style="246" customWidth="1"/>
    <col min="12304" max="12305" width="14.375" style="246" customWidth="1"/>
    <col min="12306" max="12306" width="0" style="246" hidden="1" customWidth="1"/>
    <col min="12307" max="12307" width="13" style="246" customWidth="1"/>
    <col min="12308" max="12308" width="16.75" style="246" customWidth="1"/>
    <col min="12309" max="12310" width="22.25" style="246" customWidth="1"/>
    <col min="12311" max="12311" width="36.625" style="246" customWidth="1"/>
    <col min="12312" max="12312" width="26.25" style="246" customWidth="1"/>
    <col min="12313" max="12313" width="19.875" style="246" customWidth="1"/>
    <col min="12314" max="12314" width="24" style="246" customWidth="1"/>
    <col min="12315" max="12315" width="22" style="246" customWidth="1"/>
    <col min="12316" max="12316" width="20" style="246" customWidth="1"/>
    <col min="12317" max="12548" width="9" style="246"/>
    <col min="12549" max="12549" width="9" style="246" customWidth="1"/>
    <col min="12550" max="12550" width="23.125" style="246" customWidth="1"/>
    <col min="12551" max="12551" width="14" style="246" customWidth="1"/>
    <col min="12552" max="12552" width="11.75" style="246" customWidth="1"/>
    <col min="12553" max="12553" width="14.125" style="246" customWidth="1"/>
    <col min="12554" max="12554" width="16.125" style="246" customWidth="1"/>
    <col min="12555" max="12555" width="17.375" style="246" customWidth="1"/>
    <col min="12556" max="12556" width="24.375" style="246" customWidth="1"/>
    <col min="12557" max="12557" width="11.75" style="246" customWidth="1"/>
    <col min="12558" max="12558" width="13.625" style="246" customWidth="1"/>
    <col min="12559" max="12559" width="15.125" style="246" customWidth="1"/>
    <col min="12560" max="12561" width="14.375" style="246" customWidth="1"/>
    <col min="12562" max="12562" width="0" style="246" hidden="1" customWidth="1"/>
    <col min="12563" max="12563" width="13" style="246" customWidth="1"/>
    <col min="12564" max="12564" width="16.75" style="246" customWidth="1"/>
    <col min="12565" max="12566" width="22.25" style="246" customWidth="1"/>
    <col min="12567" max="12567" width="36.625" style="246" customWidth="1"/>
    <col min="12568" max="12568" width="26.25" style="246" customWidth="1"/>
    <col min="12569" max="12569" width="19.875" style="246" customWidth="1"/>
    <col min="12570" max="12570" width="24" style="246" customWidth="1"/>
    <col min="12571" max="12571" width="22" style="246" customWidth="1"/>
    <col min="12572" max="12572" width="20" style="246" customWidth="1"/>
    <col min="12573" max="12804" width="9" style="246"/>
    <col min="12805" max="12805" width="9" style="246" customWidth="1"/>
    <col min="12806" max="12806" width="23.125" style="246" customWidth="1"/>
    <col min="12807" max="12807" width="14" style="246" customWidth="1"/>
    <col min="12808" max="12808" width="11.75" style="246" customWidth="1"/>
    <col min="12809" max="12809" width="14.125" style="246" customWidth="1"/>
    <col min="12810" max="12810" width="16.125" style="246" customWidth="1"/>
    <col min="12811" max="12811" width="17.375" style="246" customWidth="1"/>
    <col min="12812" max="12812" width="24.375" style="246" customWidth="1"/>
    <col min="12813" max="12813" width="11.75" style="246" customWidth="1"/>
    <col min="12814" max="12814" width="13.625" style="246" customWidth="1"/>
    <col min="12815" max="12815" width="15.125" style="246" customWidth="1"/>
    <col min="12816" max="12817" width="14.375" style="246" customWidth="1"/>
    <col min="12818" max="12818" width="0" style="246" hidden="1" customWidth="1"/>
    <col min="12819" max="12819" width="13" style="246" customWidth="1"/>
    <col min="12820" max="12820" width="16.75" style="246" customWidth="1"/>
    <col min="12821" max="12822" width="22.25" style="246" customWidth="1"/>
    <col min="12823" max="12823" width="36.625" style="246" customWidth="1"/>
    <col min="12824" max="12824" width="26.25" style="246" customWidth="1"/>
    <col min="12825" max="12825" width="19.875" style="246" customWidth="1"/>
    <col min="12826" max="12826" width="24" style="246" customWidth="1"/>
    <col min="12827" max="12827" width="22" style="246" customWidth="1"/>
    <col min="12828" max="12828" width="20" style="246" customWidth="1"/>
    <col min="12829" max="13060" width="9" style="246"/>
    <col min="13061" max="13061" width="9" style="246" customWidth="1"/>
    <col min="13062" max="13062" width="23.125" style="246" customWidth="1"/>
    <col min="13063" max="13063" width="14" style="246" customWidth="1"/>
    <col min="13064" max="13064" width="11.75" style="246" customWidth="1"/>
    <col min="13065" max="13065" width="14.125" style="246" customWidth="1"/>
    <col min="13066" max="13066" width="16.125" style="246" customWidth="1"/>
    <col min="13067" max="13067" width="17.375" style="246" customWidth="1"/>
    <col min="13068" max="13068" width="24.375" style="246" customWidth="1"/>
    <col min="13069" max="13069" width="11.75" style="246" customWidth="1"/>
    <col min="13070" max="13070" width="13.625" style="246" customWidth="1"/>
    <col min="13071" max="13071" width="15.125" style="246" customWidth="1"/>
    <col min="13072" max="13073" width="14.375" style="246" customWidth="1"/>
    <col min="13074" max="13074" width="0" style="246" hidden="1" customWidth="1"/>
    <col min="13075" max="13075" width="13" style="246" customWidth="1"/>
    <col min="13076" max="13076" width="16.75" style="246" customWidth="1"/>
    <col min="13077" max="13078" width="22.25" style="246" customWidth="1"/>
    <col min="13079" max="13079" width="36.625" style="246" customWidth="1"/>
    <col min="13080" max="13080" width="26.25" style="246" customWidth="1"/>
    <col min="13081" max="13081" width="19.875" style="246" customWidth="1"/>
    <col min="13082" max="13082" width="24" style="246" customWidth="1"/>
    <col min="13083" max="13083" width="22" style="246" customWidth="1"/>
    <col min="13084" max="13084" width="20" style="246" customWidth="1"/>
    <col min="13085" max="13316" width="9" style="246"/>
    <col min="13317" max="13317" width="9" style="246" customWidth="1"/>
    <col min="13318" max="13318" width="23.125" style="246" customWidth="1"/>
    <col min="13319" max="13319" width="14" style="246" customWidth="1"/>
    <col min="13320" max="13320" width="11.75" style="246" customWidth="1"/>
    <col min="13321" max="13321" width="14.125" style="246" customWidth="1"/>
    <col min="13322" max="13322" width="16.125" style="246" customWidth="1"/>
    <col min="13323" max="13323" width="17.375" style="246" customWidth="1"/>
    <col min="13324" max="13324" width="24.375" style="246" customWidth="1"/>
    <col min="13325" max="13325" width="11.75" style="246" customWidth="1"/>
    <col min="13326" max="13326" width="13.625" style="246" customWidth="1"/>
    <col min="13327" max="13327" width="15.125" style="246" customWidth="1"/>
    <col min="13328" max="13329" width="14.375" style="246" customWidth="1"/>
    <col min="13330" max="13330" width="0" style="246" hidden="1" customWidth="1"/>
    <col min="13331" max="13331" width="13" style="246" customWidth="1"/>
    <col min="13332" max="13332" width="16.75" style="246" customWidth="1"/>
    <col min="13333" max="13334" width="22.25" style="246" customWidth="1"/>
    <col min="13335" max="13335" width="36.625" style="246" customWidth="1"/>
    <col min="13336" max="13336" width="26.25" style="246" customWidth="1"/>
    <col min="13337" max="13337" width="19.875" style="246" customWidth="1"/>
    <col min="13338" max="13338" width="24" style="246" customWidth="1"/>
    <col min="13339" max="13339" width="22" style="246" customWidth="1"/>
    <col min="13340" max="13340" width="20" style="246" customWidth="1"/>
    <col min="13341" max="13572" width="9" style="246"/>
    <col min="13573" max="13573" width="9" style="246" customWidth="1"/>
    <col min="13574" max="13574" width="23.125" style="246" customWidth="1"/>
    <col min="13575" max="13575" width="14" style="246" customWidth="1"/>
    <col min="13576" max="13576" width="11.75" style="246" customWidth="1"/>
    <col min="13577" max="13577" width="14.125" style="246" customWidth="1"/>
    <col min="13578" max="13578" width="16.125" style="246" customWidth="1"/>
    <col min="13579" max="13579" width="17.375" style="246" customWidth="1"/>
    <col min="13580" max="13580" width="24.375" style="246" customWidth="1"/>
    <col min="13581" max="13581" width="11.75" style="246" customWidth="1"/>
    <col min="13582" max="13582" width="13.625" style="246" customWidth="1"/>
    <col min="13583" max="13583" width="15.125" style="246" customWidth="1"/>
    <col min="13584" max="13585" width="14.375" style="246" customWidth="1"/>
    <col min="13586" max="13586" width="0" style="246" hidden="1" customWidth="1"/>
    <col min="13587" max="13587" width="13" style="246" customWidth="1"/>
    <col min="13588" max="13588" width="16.75" style="246" customWidth="1"/>
    <col min="13589" max="13590" width="22.25" style="246" customWidth="1"/>
    <col min="13591" max="13591" width="36.625" style="246" customWidth="1"/>
    <col min="13592" max="13592" width="26.25" style="246" customWidth="1"/>
    <col min="13593" max="13593" width="19.875" style="246" customWidth="1"/>
    <col min="13594" max="13594" width="24" style="246" customWidth="1"/>
    <col min="13595" max="13595" width="22" style="246" customWidth="1"/>
    <col min="13596" max="13596" width="20" style="246" customWidth="1"/>
    <col min="13597" max="13828" width="9" style="246"/>
    <col min="13829" max="13829" width="9" style="246" customWidth="1"/>
    <col min="13830" max="13830" width="23.125" style="246" customWidth="1"/>
    <col min="13831" max="13831" width="14" style="246" customWidth="1"/>
    <col min="13832" max="13832" width="11.75" style="246" customWidth="1"/>
    <col min="13833" max="13833" width="14.125" style="246" customWidth="1"/>
    <col min="13834" max="13834" width="16.125" style="246" customWidth="1"/>
    <col min="13835" max="13835" width="17.375" style="246" customWidth="1"/>
    <col min="13836" max="13836" width="24.375" style="246" customWidth="1"/>
    <col min="13837" max="13837" width="11.75" style="246" customWidth="1"/>
    <col min="13838" max="13838" width="13.625" style="246" customWidth="1"/>
    <col min="13839" max="13839" width="15.125" style="246" customWidth="1"/>
    <col min="13840" max="13841" width="14.375" style="246" customWidth="1"/>
    <col min="13842" max="13842" width="0" style="246" hidden="1" customWidth="1"/>
    <col min="13843" max="13843" width="13" style="246" customWidth="1"/>
    <col min="13844" max="13844" width="16.75" style="246" customWidth="1"/>
    <col min="13845" max="13846" width="22.25" style="246" customWidth="1"/>
    <col min="13847" max="13847" width="36.625" style="246" customWidth="1"/>
    <col min="13848" max="13848" width="26.25" style="246" customWidth="1"/>
    <col min="13849" max="13849" width="19.875" style="246" customWidth="1"/>
    <col min="13850" max="13850" width="24" style="246" customWidth="1"/>
    <col min="13851" max="13851" width="22" style="246" customWidth="1"/>
    <col min="13852" max="13852" width="20" style="246" customWidth="1"/>
    <col min="13853" max="14084" width="9" style="246"/>
    <col min="14085" max="14085" width="9" style="246" customWidth="1"/>
    <col min="14086" max="14086" width="23.125" style="246" customWidth="1"/>
    <col min="14087" max="14087" width="14" style="246" customWidth="1"/>
    <col min="14088" max="14088" width="11.75" style="246" customWidth="1"/>
    <col min="14089" max="14089" width="14.125" style="246" customWidth="1"/>
    <col min="14090" max="14090" width="16.125" style="246" customWidth="1"/>
    <col min="14091" max="14091" width="17.375" style="246" customWidth="1"/>
    <col min="14092" max="14092" width="24.375" style="246" customWidth="1"/>
    <col min="14093" max="14093" width="11.75" style="246" customWidth="1"/>
    <col min="14094" max="14094" width="13.625" style="246" customWidth="1"/>
    <col min="14095" max="14095" width="15.125" style="246" customWidth="1"/>
    <col min="14096" max="14097" width="14.375" style="246" customWidth="1"/>
    <col min="14098" max="14098" width="0" style="246" hidden="1" customWidth="1"/>
    <col min="14099" max="14099" width="13" style="246" customWidth="1"/>
    <col min="14100" max="14100" width="16.75" style="246" customWidth="1"/>
    <col min="14101" max="14102" width="22.25" style="246" customWidth="1"/>
    <col min="14103" max="14103" width="36.625" style="246" customWidth="1"/>
    <col min="14104" max="14104" width="26.25" style="246" customWidth="1"/>
    <col min="14105" max="14105" width="19.875" style="246" customWidth="1"/>
    <col min="14106" max="14106" width="24" style="246" customWidth="1"/>
    <col min="14107" max="14107" width="22" style="246" customWidth="1"/>
    <col min="14108" max="14108" width="20" style="246" customWidth="1"/>
    <col min="14109" max="14340" width="9" style="246"/>
    <col min="14341" max="14341" width="9" style="246" customWidth="1"/>
    <col min="14342" max="14342" width="23.125" style="246" customWidth="1"/>
    <col min="14343" max="14343" width="14" style="246" customWidth="1"/>
    <col min="14344" max="14344" width="11.75" style="246" customWidth="1"/>
    <col min="14345" max="14345" width="14.125" style="246" customWidth="1"/>
    <col min="14346" max="14346" width="16.125" style="246" customWidth="1"/>
    <col min="14347" max="14347" width="17.375" style="246" customWidth="1"/>
    <col min="14348" max="14348" width="24.375" style="246" customWidth="1"/>
    <col min="14349" max="14349" width="11.75" style="246" customWidth="1"/>
    <col min="14350" max="14350" width="13.625" style="246" customWidth="1"/>
    <col min="14351" max="14351" width="15.125" style="246" customWidth="1"/>
    <col min="14352" max="14353" width="14.375" style="246" customWidth="1"/>
    <col min="14354" max="14354" width="0" style="246" hidden="1" customWidth="1"/>
    <col min="14355" max="14355" width="13" style="246" customWidth="1"/>
    <col min="14356" max="14356" width="16.75" style="246" customWidth="1"/>
    <col min="14357" max="14358" width="22.25" style="246" customWidth="1"/>
    <col min="14359" max="14359" width="36.625" style="246" customWidth="1"/>
    <col min="14360" max="14360" width="26.25" style="246" customWidth="1"/>
    <col min="14361" max="14361" width="19.875" style="246" customWidth="1"/>
    <col min="14362" max="14362" width="24" style="246" customWidth="1"/>
    <col min="14363" max="14363" width="22" style="246" customWidth="1"/>
    <col min="14364" max="14364" width="20" style="246" customWidth="1"/>
    <col min="14365" max="14596" width="9" style="246"/>
    <col min="14597" max="14597" width="9" style="246" customWidth="1"/>
    <col min="14598" max="14598" width="23.125" style="246" customWidth="1"/>
    <col min="14599" max="14599" width="14" style="246" customWidth="1"/>
    <col min="14600" max="14600" width="11.75" style="246" customWidth="1"/>
    <col min="14601" max="14601" width="14.125" style="246" customWidth="1"/>
    <col min="14602" max="14602" width="16.125" style="246" customWidth="1"/>
    <col min="14603" max="14603" width="17.375" style="246" customWidth="1"/>
    <col min="14604" max="14604" width="24.375" style="246" customWidth="1"/>
    <col min="14605" max="14605" width="11.75" style="246" customWidth="1"/>
    <col min="14606" max="14606" width="13.625" style="246" customWidth="1"/>
    <col min="14607" max="14607" width="15.125" style="246" customWidth="1"/>
    <col min="14608" max="14609" width="14.375" style="246" customWidth="1"/>
    <col min="14610" max="14610" width="0" style="246" hidden="1" customWidth="1"/>
    <col min="14611" max="14611" width="13" style="246" customWidth="1"/>
    <col min="14612" max="14612" width="16.75" style="246" customWidth="1"/>
    <col min="14613" max="14614" width="22.25" style="246" customWidth="1"/>
    <col min="14615" max="14615" width="36.625" style="246" customWidth="1"/>
    <col min="14616" max="14616" width="26.25" style="246" customWidth="1"/>
    <col min="14617" max="14617" width="19.875" style="246" customWidth="1"/>
    <col min="14618" max="14618" width="24" style="246" customWidth="1"/>
    <col min="14619" max="14619" width="22" style="246" customWidth="1"/>
    <col min="14620" max="14620" width="20" style="246" customWidth="1"/>
    <col min="14621" max="14852" width="9" style="246"/>
    <col min="14853" max="14853" width="9" style="246" customWidth="1"/>
    <col min="14854" max="14854" width="23.125" style="246" customWidth="1"/>
    <col min="14855" max="14855" width="14" style="246" customWidth="1"/>
    <col min="14856" max="14856" width="11.75" style="246" customWidth="1"/>
    <col min="14857" max="14857" width="14.125" style="246" customWidth="1"/>
    <col min="14858" max="14858" width="16.125" style="246" customWidth="1"/>
    <col min="14859" max="14859" width="17.375" style="246" customWidth="1"/>
    <col min="14860" max="14860" width="24.375" style="246" customWidth="1"/>
    <col min="14861" max="14861" width="11.75" style="246" customWidth="1"/>
    <col min="14862" max="14862" width="13.625" style="246" customWidth="1"/>
    <col min="14863" max="14863" width="15.125" style="246" customWidth="1"/>
    <col min="14864" max="14865" width="14.375" style="246" customWidth="1"/>
    <col min="14866" max="14866" width="0" style="246" hidden="1" customWidth="1"/>
    <col min="14867" max="14867" width="13" style="246" customWidth="1"/>
    <col min="14868" max="14868" width="16.75" style="246" customWidth="1"/>
    <col min="14869" max="14870" width="22.25" style="246" customWidth="1"/>
    <col min="14871" max="14871" width="36.625" style="246" customWidth="1"/>
    <col min="14872" max="14872" width="26.25" style="246" customWidth="1"/>
    <col min="14873" max="14873" width="19.875" style="246" customWidth="1"/>
    <col min="14874" max="14874" width="24" style="246" customWidth="1"/>
    <col min="14875" max="14875" width="22" style="246" customWidth="1"/>
    <col min="14876" max="14876" width="20" style="246" customWidth="1"/>
    <col min="14877" max="15108" width="9" style="246"/>
    <col min="15109" max="15109" width="9" style="246" customWidth="1"/>
    <col min="15110" max="15110" width="23.125" style="246" customWidth="1"/>
    <col min="15111" max="15111" width="14" style="246" customWidth="1"/>
    <col min="15112" max="15112" width="11.75" style="246" customWidth="1"/>
    <col min="15113" max="15113" width="14.125" style="246" customWidth="1"/>
    <col min="15114" max="15114" width="16.125" style="246" customWidth="1"/>
    <col min="15115" max="15115" width="17.375" style="246" customWidth="1"/>
    <col min="15116" max="15116" width="24.375" style="246" customWidth="1"/>
    <col min="15117" max="15117" width="11.75" style="246" customWidth="1"/>
    <col min="15118" max="15118" width="13.625" style="246" customWidth="1"/>
    <col min="15119" max="15119" width="15.125" style="246" customWidth="1"/>
    <col min="15120" max="15121" width="14.375" style="246" customWidth="1"/>
    <col min="15122" max="15122" width="0" style="246" hidden="1" customWidth="1"/>
    <col min="15123" max="15123" width="13" style="246" customWidth="1"/>
    <col min="15124" max="15124" width="16.75" style="246" customWidth="1"/>
    <col min="15125" max="15126" width="22.25" style="246" customWidth="1"/>
    <col min="15127" max="15127" width="36.625" style="246" customWidth="1"/>
    <col min="15128" max="15128" width="26.25" style="246" customWidth="1"/>
    <col min="15129" max="15129" width="19.875" style="246" customWidth="1"/>
    <col min="15130" max="15130" width="24" style="246" customWidth="1"/>
    <col min="15131" max="15131" width="22" style="246" customWidth="1"/>
    <col min="15132" max="15132" width="20" style="246" customWidth="1"/>
    <col min="15133" max="15364" width="9" style="246"/>
    <col min="15365" max="15365" width="9" style="246" customWidth="1"/>
    <col min="15366" max="15366" width="23.125" style="246" customWidth="1"/>
    <col min="15367" max="15367" width="14" style="246" customWidth="1"/>
    <col min="15368" max="15368" width="11.75" style="246" customWidth="1"/>
    <col min="15369" max="15369" width="14.125" style="246" customWidth="1"/>
    <col min="15370" max="15370" width="16.125" style="246" customWidth="1"/>
    <col min="15371" max="15371" width="17.375" style="246" customWidth="1"/>
    <col min="15372" max="15372" width="24.375" style="246" customWidth="1"/>
    <col min="15373" max="15373" width="11.75" style="246" customWidth="1"/>
    <col min="15374" max="15374" width="13.625" style="246" customWidth="1"/>
    <col min="15375" max="15375" width="15.125" style="246" customWidth="1"/>
    <col min="15376" max="15377" width="14.375" style="246" customWidth="1"/>
    <col min="15378" max="15378" width="0" style="246" hidden="1" customWidth="1"/>
    <col min="15379" max="15379" width="13" style="246" customWidth="1"/>
    <col min="15380" max="15380" width="16.75" style="246" customWidth="1"/>
    <col min="15381" max="15382" width="22.25" style="246" customWidth="1"/>
    <col min="15383" max="15383" width="36.625" style="246" customWidth="1"/>
    <col min="15384" max="15384" width="26.25" style="246" customWidth="1"/>
    <col min="15385" max="15385" width="19.875" style="246" customWidth="1"/>
    <col min="15386" max="15386" width="24" style="246" customWidth="1"/>
    <col min="15387" max="15387" width="22" style="246" customWidth="1"/>
    <col min="15388" max="15388" width="20" style="246" customWidth="1"/>
    <col min="15389" max="15620" width="9" style="246"/>
    <col min="15621" max="15621" width="9" style="246" customWidth="1"/>
    <col min="15622" max="15622" width="23.125" style="246" customWidth="1"/>
    <col min="15623" max="15623" width="14" style="246" customWidth="1"/>
    <col min="15624" max="15624" width="11.75" style="246" customWidth="1"/>
    <col min="15625" max="15625" width="14.125" style="246" customWidth="1"/>
    <col min="15626" max="15626" width="16.125" style="246" customWidth="1"/>
    <col min="15627" max="15627" width="17.375" style="246" customWidth="1"/>
    <col min="15628" max="15628" width="24.375" style="246" customWidth="1"/>
    <col min="15629" max="15629" width="11.75" style="246" customWidth="1"/>
    <col min="15630" max="15630" width="13.625" style="246" customWidth="1"/>
    <col min="15631" max="15631" width="15.125" style="246" customWidth="1"/>
    <col min="15632" max="15633" width="14.375" style="246" customWidth="1"/>
    <col min="15634" max="15634" width="0" style="246" hidden="1" customWidth="1"/>
    <col min="15635" max="15635" width="13" style="246" customWidth="1"/>
    <col min="15636" max="15636" width="16.75" style="246" customWidth="1"/>
    <col min="15637" max="15638" width="22.25" style="246" customWidth="1"/>
    <col min="15639" max="15639" width="36.625" style="246" customWidth="1"/>
    <col min="15640" max="15640" width="26.25" style="246" customWidth="1"/>
    <col min="15641" max="15641" width="19.875" style="246" customWidth="1"/>
    <col min="15642" max="15642" width="24" style="246" customWidth="1"/>
    <col min="15643" max="15643" width="22" style="246" customWidth="1"/>
    <col min="15644" max="15644" width="20" style="246" customWidth="1"/>
    <col min="15645" max="15876" width="9" style="246"/>
    <col min="15877" max="15877" width="9" style="246" customWidth="1"/>
    <col min="15878" max="15878" width="23.125" style="246" customWidth="1"/>
    <col min="15879" max="15879" width="14" style="246" customWidth="1"/>
    <col min="15880" max="15880" width="11.75" style="246" customWidth="1"/>
    <col min="15881" max="15881" width="14.125" style="246" customWidth="1"/>
    <col min="15882" max="15882" width="16.125" style="246" customWidth="1"/>
    <col min="15883" max="15883" width="17.375" style="246" customWidth="1"/>
    <col min="15884" max="15884" width="24.375" style="246" customWidth="1"/>
    <col min="15885" max="15885" width="11.75" style="246" customWidth="1"/>
    <col min="15886" max="15886" width="13.625" style="246" customWidth="1"/>
    <col min="15887" max="15887" width="15.125" style="246" customWidth="1"/>
    <col min="15888" max="15889" width="14.375" style="246" customWidth="1"/>
    <col min="15890" max="15890" width="0" style="246" hidden="1" customWidth="1"/>
    <col min="15891" max="15891" width="13" style="246" customWidth="1"/>
    <col min="15892" max="15892" width="16.75" style="246" customWidth="1"/>
    <col min="15893" max="15894" width="22.25" style="246" customWidth="1"/>
    <col min="15895" max="15895" width="36.625" style="246" customWidth="1"/>
    <col min="15896" max="15896" width="26.25" style="246" customWidth="1"/>
    <col min="15897" max="15897" width="19.875" style="246" customWidth="1"/>
    <col min="15898" max="15898" width="24" style="246" customWidth="1"/>
    <col min="15899" max="15899" width="22" style="246" customWidth="1"/>
    <col min="15900" max="15900" width="20" style="246" customWidth="1"/>
    <col min="15901" max="16132" width="9" style="246"/>
    <col min="16133" max="16133" width="9" style="246" customWidth="1"/>
    <col min="16134" max="16134" width="23.125" style="246" customWidth="1"/>
    <col min="16135" max="16135" width="14" style="246" customWidth="1"/>
    <col min="16136" max="16136" width="11.75" style="246" customWidth="1"/>
    <col min="16137" max="16137" width="14.125" style="246" customWidth="1"/>
    <col min="16138" max="16138" width="16.125" style="246" customWidth="1"/>
    <col min="16139" max="16139" width="17.375" style="246" customWidth="1"/>
    <col min="16140" max="16140" width="24.375" style="246" customWidth="1"/>
    <col min="16141" max="16141" width="11.75" style="246" customWidth="1"/>
    <col min="16142" max="16142" width="13.625" style="246" customWidth="1"/>
    <col min="16143" max="16143" width="15.125" style="246" customWidth="1"/>
    <col min="16144" max="16145" width="14.375" style="246" customWidth="1"/>
    <col min="16146" max="16146" width="0" style="246" hidden="1" customWidth="1"/>
    <col min="16147" max="16147" width="13" style="246" customWidth="1"/>
    <col min="16148" max="16148" width="16.75" style="246" customWidth="1"/>
    <col min="16149" max="16150" width="22.25" style="246" customWidth="1"/>
    <col min="16151" max="16151" width="36.625" style="246" customWidth="1"/>
    <col min="16152" max="16152" width="26.25" style="246" customWidth="1"/>
    <col min="16153" max="16153" width="19.875" style="246" customWidth="1"/>
    <col min="16154" max="16154" width="24" style="246" customWidth="1"/>
    <col min="16155" max="16155" width="22" style="246" customWidth="1"/>
    <col min="16156" max="16156" width="20" style="246" customWidth="1"/>
    <col min="16157" max="16384" width="9" style="246"/>
  </cols>
  <sheetData>
    <row r="1" spans="1:23" ht="18.75" customHeight="1">
      <c r="A1" s="3956" t="s">
        <v>165</v>
      </c>
      <c r="B1" s="3956"/>
      <c r="C1" s="3956"/>
      <c r="D1" s="3956"/>
      <c r="E1" s="3956"/>
      <c r="F1" s="3956"/>
      <c r="G1" s="3956"/>
      <c r="H1" s="3956"/>
      <c r="I1" s="3956"/>
      <c r="J1" s="3956"/>
      <c r="K1" s="3956"/>
      <c r="L1" s="3956"/>
      <c r="M1" s="1044"/>
      <c r="N1" s="1044"/>
      <c r="O1" s="1044"/>
      <c r="P1" s="1044"/>
      <c r="Q1" s="1044"/>
      <c r="R1" s="1044"/>
      <c r="S1" s="1044"/>
      <c r="T1" s="1044"/>
    </row>
    <row r="2" spans="1:23" ht="18.75" customHeight="1">
      <c r="A2" s="3957" t="s">
        <v>171</v>
      </c>
      <c r="B2" s="3957"/>
      <c r="C2" s="3957"/>
      <c r="D2" s="3957"/>
      <c r="E2" s="3957"/>
      <c r="F2" s="3957"/>
      <c r="G2" s="3957"/>
      <c r="H2" s="3957"/>
      <c r="I2" s="3957"/>
      <c r="J2" s="3957"/>
      <c r="K2" s="3957"/>
      <c r="L2" s="3957"/>
      <c r="M2" s="815"/>
      <c r="N2" s="815"/>
      <c r="O2" s="815"/>
      <c r="P2" s="815"/>
      <c r="Q2" s="815"/>
      <c r="R2" s="815"/>
      <c r="S2" s="815"/>
      <c r="T2" s="815"/>
    </row>
    <row r="3" spans="1:23" ht="13.5" customHeight="1">
      <c r="A3" s="3958" t="s">
        <v>726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992"/>
    </row>
    <row r="4" spans="1:23" ht="18.75" customHeight="1">
      <c r="A4" s="3959" t="s">
        <v>602</v>
      </c>
      <c r="B4" s="3959"/>
      <c r="C4" s="3959"/>
      <c r="D4" s="3959"/>
      <c r="E4" s="3959"/>
      <c r="F4" s="1003"/>
      <c r="G4" s="1003"/>
      <c r="H4" s="1003"/>
      <c r="I4" s="1003"/>
      <c r="J4" s="1003"/>
      <c r="K4" s="1003"/>
      <c r="L4" s="1003"/>
      <c r="M4" s="987"/>
      <c r="N4" s="3610"/>
      <c r="O4" s="3610"/>
      <c r="P4" s="3610"/>
      <c r="Q4" s="3610"/>
    </row>
    <row r="5" spans="1:23" ht="18.75" customHeight="1">
      <c r="A5" s="3957" t="s">
        <v>541</v>
      </c>
      <c r="B5" s="3957"/>
      <c r="C5" s="3957"/>
      <c r="D5" s="3957"/>
      <c r="E5" s="3957"/>
      <c r="F5" s="815"/>
      <c r="G5" s="815"/>
      <c r="H5" s="815"/>
      <c r="I5" s="815"/>
      <c r="J5" s="815"/>
      <c r="K5" s="815"/>
      <c r="L5" s="815"/>
      <c r="M5" s="990"/>
      <c r="N5" s="3609"/>
      <c r="O5" s="3609"/>
      <c r="P5" s="3609"/>
      <c r="Q5" s="3609"/>
    </row>
    <row r="6" spans="1:23" ht="18.75" customHeight="1">
      <c r="F6" s="991"/>
      <c r="G6" s="991"/>
      <c r="H6" s="991"/>
      <c r="I6" s="991"/>
      <c r="J6" s="991"/>
      <c r="K6" s="991"/>
      <c r="L6" s="991"/>
      <c r="M6" s="992"/>
    </row>
    <row r="7" spans="1:23" ht="9" customHeight="1">
      <c r="F7" s="991"/>
      <c r="G7" s="991"/>
      <c r="H7" s="991"/>
      <c r="I7" s="991"/>
      <c r="J7" s="991"/>
      <c r="K7" s="991"/>
      <c r="L7" s="991"/>
      <c r="M7" s="992"/>
    </row>
    <row r="8" spans="1:23" ht="22.5" customHeight="1">
      <c r="A8" s="3955" t="s">
        <v>1808</v>
      </c>
      <c r="B8" s="3955"/>
      <c r="C8" s="3955"/>
      <c r="D8" s="3955"/>
      <c r="E8" s="3955"/>
      <c r="F8" s="3955"/>
      <c r="G8" s="3955"/>
      <c r="H8" s="3955"/>
      <c r="I8" s="3955"/>
      <c r="J8" s="3955"/>
      <c r="K8" s="3955"/>
      <c r="L8" s="3955"/>
      <c r="M8" s="1045"/>
      <c r="N8" s="1045"/>
      <c r="O8" s="1045"/>
      <c r="P8" s="1045"/>
      <c r="Q8" s="1045"/>
      <c r="R8" s="1045"/>
      <c r="S8" s="1045"/>
      <c r="T8" s="1045"/>
    </row>
    <row r="9" spans="1:23" s="1023" customFormat="1" ht="17.25" customHeight="1">
      <c r="A9" s="3612"/>
      <c r="B9" s="1046"/>
      <c r="C9" s="1046"/>
      <c r="D9" s="1047"/>
      <c r="E9" s="1047"/>
      <c r="F9" s="1048"/>
      <c r="G9" s="1048"/>
      <c r="H9" s="1048"/>
      <c r="I9" s="1048"/>
      <c r="J9" s="1048"/>
      <c r="K9" s="3952" t="s">
        <v>1252</v>
      </c>
      <c r="L9" s="3952"/>
      <c r="M9" s="1054"/>
      <c r="N9" s="1054"/>
      <c r="O9" s="1055"/>
      <c r="P9" s="1056"/>
      <c r="Q9" s="1057"/>
      <c r="R9" s="1055"/>
      <c r="S9" s="1058"/>
      <c r="T9" s="1053"/>
      <c r="V9" s="1059"/>
      <c r="W9" s="1060"/>
    </row>
    <row r="10" spans="1:23" s="1026" customFormat="1" ht="85.5" customHeight="1">
      <c r="A10" s="3611" t="s">
        <v>1</v>
      </c>
      <c r="B10" s="3611" t="s">
        <v>20</v>
      </c>
      <c r="C10" s="3611" t="s">
        <v>5</v>
      </c>
      <c r="D10" s="3611" t="s">
        <v>773</v>
      </c>
      <c r="E10" s="3608" t="s">
        <v>794</v>
      </c>
      <c r="F10" s="1050" t="s">
        <v>795</v>
      </c>
      <c r="G10" s="1051" t="s">
        <v>1744</v>
      </c>
      <c r="H10" s="1051" t="s">
        <v>782</v>
      </c>
      <c r="I10" s="1051" t="s">
        <v>1745</v>
      </c>
      <c r="J10" s="1051" t="s">
        <v>23</v>
      </c>
      <c r="K10" s="1051" t="s">
        <v>931</v>
      </c>
      <c r="L10" s="1052" t="s">
        <v>345</v>
      </c>
      <c r="M10" s="1061"/>
      <c r="N10" s="1061"/>
      <c r="O10" s="1061"/>
      <c r="P10" s="1061"/>
      <c r="Q10" s="1061"/>
      <c r="R10" s="1061"/>
      <c r="S10" s="1061"/>
      <c r="T10" s="1061"/>
      <c r="U10" s="1062"/>
    </row>
    <row r="11" spans="1:23" s="1026" customFormat="1" ht="24" customHeight="1">
      <c r="A11" s="3611"/>
      <c r="B11" s="3611"/>
      <c r="C11" s="3611"/>
      <c r="D11" s="3611"/>
      <c r="E11" s="2026" t="s">
        <v>606</v>
      </c>
      <c r="F11" s="2027" t="s">
        <v>607</v>
      </c>
      <c r="G11" s="3885" t="s">
        <v>938</v>
      </c>
      <c r="H11" s="2028" t="s">
        <v>609</v>
      </c>
      <c r="I11" s="2028" t="s">
        <v>937</v>
      </c>
      <c r="J11" s="2028" t="s">
        <v>611</v>
      </c>
      <c r="K11" s="3615" t="s">
        <v>1746</v>
      </c>
      <c r="L11" s="1052"/>
      <c r="M11" s="1061"/>
      <c r="N11" s="1061"/>
      <c r="O11" s="1061"/>
      <c r="P11" s="1061"/>
      <c r="Q11" s="1061"/>
      <c r="R11" s="1061"/>
      <c r="S11" s="1061"/>
      <c r="T11" s="1061"/>
      <c r="U11" s="1062"/>
    </row>
    <row r="12" spans="1:23" s="3846" customFormat="1" ht="23.25" customHeight="1">
      <c r="A12" s="1478">
        <v>1</v>
      </c>
      <c r="B12" s="3839" t="s">
        <v>1857</v>
      </c>
      <c r="C12" s="3840" t="s">
        <v>162</v>
      </c>
      <c r="D12" s="1478" t="s">
        <v>272</v>
      </c>
      <c r="E12" s="3841">
        <v>6</v>
      </c>
      <c r="F12" s="3842">
        <f>Mủ!AJ12/1000</f>
        <v>3.2956709999999991</v>
      </c>
      <c r="G12" s="3843">
        <f>(F12/E12)*100</f>
        <v>54.927849999999992</v>
      </c>
      <c r="H12" s="3844">
        <v>250</v>
      </c>
      <c r="I12" s="3843">
        <f>250*G12/100</f>
        <v>137.31962499999997</v>
      </c>
      <c r="J12" s="3881"/>
      <c r="K12" s="3843">
        <f>+H12+I12+J12</f>
        <v>387.31962499999997</v>
      </c>
      <c r="L12" s="1537"/>
      <c r="M12" s="3845"/>
      <c r="S12" s="3847"/>
    </row>
    <row r="13" spans="1:23" s="3857" customFormat="1" ht="23.25" customHeight="1">
      <c r="A13" s="3848">
        <v>2</v>
      </c>
      <c r="B13" s="3849" t="s">
        <v>1858</v>
      </c>
      <c r="C13" s="3850" t="s">
        <v>162</v>
      </c>
      <c r="D13" s="3848" t="s">
        <v>273</v>
      </c>
      <c r="E13" s="3851">
        <v>2</v>
      </c>
      <c r="F13" s="3852">
        <f>Mủ!AJ50/1000</f>
        <v>1.3272060000000001</v>
      </c>
      <c r="G13" s="3853">
        <f>(F13/E13)*100</f>
        <v>66.360300000000009</v>
      </c>
      <c r="H13" s="3854">
        <v>250</v>
      </c>
      <c r="I13" s="3861">
        <f>250*G13/100</f>
        <v>165.90075000000002</v>
      </c>
      <c r="J13" s="3882"/>
      <c r="K13" s="3853">
        <f>+H13+I13+J13</f>
        <v>415.90075000000002</v>
      </c>
      <c r="L13" s="3855"/>
      <c r="M13" s="3856"/>
      <c r="S13" s="3858"/>
    </row>
    <row r="14" spans="1:23" ht="23.25" customHeight="1">
      <c r="A14" s="2271">
        <v>3</v>
      </c>
      <c r="B14" s="3849" t="s">
        <v>96</v>
      </c>
      <c r="C14" s="3859" t="s">
        <v>162</v>
      </c>
      <c r="D14" s="3848" t="s">
        <v>790</v>
      </c>
      <c r="E14" s="3836">
        <v>2</v>
      </c>
      <c r="F14" s="3057">
        <f>Mủ!AJ70/1000</f>
        <v>0.84268799999999977</v>
      </c>
      <c r="G14" s="3860">
        <f>(F14/E14)*100</f>
        <v>42.134399999999985</v>
      </c>
      <c r="H14" s="3837">
        <v>330</v>
      </c>
      <c r="I14" s="3860">
        <f>250*G14/100</f>
        <v>105.33599999999997</v>
      </c>
      <c r="J14" s="3883">
        <v>50</v>
      </c>
      <c r="K14" s="3860">
        <f>+H14+I14+J14</f>
        <v>485.33599999999996</v>
      </c>
      <c r="L14" s="3838"/>
      <c r="M14" s="992"/>
    </row>
    <row r="15" spans="1:23" s="815" customFormat="1" ht="18" customHeight="1">
      <c r="A15" s="1063"/>
      <c r="B15" s="1063" t="s">
        <v>21</v>
      </c>
      <c r="C15" s="1063"/>
      <c r="D15" s="1063"/>
      <c r="E15" s="2711">
        <f>SUM(E12:E14)</f>
        <v>10</v>
      </c>
      <c r="F15" s="2029">
        <f>SUM(F12:F14)</f>
        <v>5.4655649999999989</v>
      </c>
      <c r="G15" s="3071">
        <f>(F15/E15)*100</f>
        <v>54.655649999999987</v>
      </c>
      <c r="H15" s="2445">
        <f>SUM(H12:H14)</f>
        <v>830</v>
      </c>
      <c r="I15" s="3070">
        <f>SUM(I12:I14)</f>
        <v>408.55637499999995</v>
      </c>
      <c r="J15" s="2445">
        <f>SUM(J12:J14)</f>
        <v>50</v>
      </c>
      <c r="K15" s="3070">
        <f>SUM(K12:K14)</f>
        <v>1288.5563749999999</v>
      </c>
      <c r="L15" s="1064"/>
      <c r="M15" s="1065"/>
      <c r="O15" s="1066"/>
      <c r="S15" s="825"/>
    </row>
    <row r="16" spans="1:23" s="697" customFormat="1" ht="18" customHeight="1">
      <c r="E16" s="899"/>
      <c r="F16" s="1049"/>
      <c r="G16" s="1049"/>
      <c r="H16" s="1049"/>
      <c r="I16" s="1049"/>
      <c r="J16" s="1049"/>
      <c r="K16" s="1049"/>
      <c r="L16" s="1049"/>
      <c r="M16" s="1067"/>
      <c r="O16" s="1068"/>
      <c r="S16" s="831"/>
    </row>
    <row r="17" spans="1:25" s="697" customFormat="1" ht="18" customHeight="1">
      <c r="F17" s="1049"/>
      <c r="G17" s="1049"/>
      <c r="H17" s="1049"/>
      <c r="J17" s="2424"/>
      <c r="K17" s="2424" t="s">
        <v>1913</v>
      </c>
      <c r="L17" s="2424"/>
      <c r="M17" s="1067"/>
      <c r="S17" s="842"/>
      <c r="T17" s="1034"/>
    </row>
    <row r="18" spans="1:25" s="1866" customFormat="1" ht="18" customHeight="1">
      <c r="A18" s="3953" t="s">
        <v>46</v>
      </c>
      <c r="B18" s="3953"/>
      <c r="C18" s="3953"/>
      <c r="D18" s="3953" t="s">
        <v>936</v>
      </c>
      <c r="E18" s="3953"/>
      <c r="G18" s="3884" t="s">
        <v>934</v>
      </c>
      <c r="H18" s="3953" t="s">
        <v>935</v>
      </c>
      <c r="I18" s="3953"/>
      <c r="J18" s="3954" t="s">
        <v>1104</v>
      </c>
      <c r="K18" s="3954"/>
      <c r="L18" s="3954"/>
      <c r="M18" s="1867"/>
      <c r="O18" s="1868"/>
      <c r="S18" s="1869"/>
    </row>
    <row r="19" spans="1:25" s="697" customFormat="1" ht="18" customHeight="1">
      <c r="F19" s="1049"/>
      <c r="G19" s="1049"/>
      <c r="H19" s="1049"/>
      <c r="I19" s="1049"/>
      <c r="J19" s="1049"/>
      <c r="K19" s="1049"/>
      <c r="L19" s="1049"/>
      <c r="M19" s="1067"/>
      <c r="S19" s="831"/>
    </row>
    <row r="20" spans="1:25" s="697" customFormat="1" ht="18" customHeight="1">
      <c r="F20" s="1049"/>
      <c r="G20" s="1049"/>
      <c r="H20" s="1049"/>
      <c r="I20" s="1049"/>
      <c r="J20" s="1049"/>
      <c r="K20" s="1049"/>
      <c r="L20" s="1049"/>
      <c r="M20" s="1067"/>
      <c r="S20" s="831"/>
      <c r="T20" s="1034"/>
    </row>
    <row r="21" spans="1:25" s="697" customFormat="1" ht="18" customHeight="1">
      <c r="F21" s="1049"/>
      <c r="G21" s="1049"/>
      <c r="H21" s="1049"/>
      <c r="I21" s="1049"/>
      <c r="J21" s="1049"/>
      <c r="K21" s="1049"/>
      <c r="L21" s="1049"/>
      <c r="M21" s="1067"/>
      <c r="N21" s="899"/>
      <c r="O21" s="899"/>
      <c r="P21" s="899"/>
      <c r="Q21" s="899"/>
      <c r="S21" s="831"/>
    </row>
    <row r="22" spans="1:25" s="697" customFormat="1" ht="18" customHeight="1">
      <c r="F22" s="1049"/>
      <c r="G22" s="1049"/>
      <c r="H22" s="1049"/>
      <c r="I22" s="1049"/>
      <c r="J22" s="1049"/>
      <c r="K22" s="1049"/>
      <c r="L22" s="1049"/>
      <c r="M22" s="1067"/>
      <c r="S22" s="842"/>
      <c r="V22" s="246"/>
      <c r="W22" s="999"/>
      <c r="X22" s="999"/>
      <c r="Y22" s="999"/>
    </row>
    <row r="23" spans="1:25" s="697" customFormat="1" ht="18" customHeight="1">
      <c r="F23" s="1049"/>
      <c r="G23" s="1049"/>
      <c r="H23" s="1049"/>
      <c r="I23" s="1049"/>
      <c r="J23" s="1049"/>
      <c r="K23" s="1049"/>
      <c r="L23" s="1049"/>
      <c r="M23" s="1067"/>
      <c r="S23" s="831"/>
      <c r="V23" s="246"/>
      <c r="W23" s="999"/>
      <c r="X23" s="999"/>
      <c r="Y23" s="999"/>
    </row>
    <row r="24" spans="1:25" s="697" customFormat="1" ht="18" customHeight="1">
      <c r="F24" s="1049"/>
      <c r="G24" s="1049"/>
      <c r="H24" s="1049"/>
      <c r="I24" s="1049"/>
      <c r="J24" s="1049"/>
      <c r="K24" s="1049"/>
      <c r="L24" s="2043"/>
      <c r="M24" s="1067"/>
      <c r="S24" s="815"/>
      <c r="T24" s="815"/>
      <c r="V24" s="1023"/>
      <c r="W24" s="1029"/>
      <c r="X24" s="1029"/>
      <c r="Y24" s="1029"/>
    </row>
    <row r="25" spans="1:25" s="697" customFormat="1" ht="38.25" customHeight="1">
      <c r="F25" s="1049"/>
      <c r="G25" s="1049"/>
      <c r="H25" s="1049"/>
      <c r="I25" s="1049"/>
      <c r="J25" s="1049"/>
      <c r="K25" s="1049"/>
      <c r="L25" s="1049"/>
      <c r="M25" s="1067"/>
      <c r="S25" s="831"/>
      <c r="V25" s="3610"/>
      <c r="W25" s="1004"/>
      <c r="X25" s="1004"/>
      <c r="Y25" s="993"/>
    </row>
    <row r="26" spans="1:25" s="697" customFormat="1" ht="18" customHeight="1">
      <c r="F26" s="1049"/>
      <c r="G26" s="1049"/>
      <c r="H26" s="1049"/>
      <c r="I26" s="1049"/>
      <c r="J26" s="1049"/>
      <c r="K26" s="1049"/>
      <c r="L26" s="1049"/>
      <c r="M26" s="1067"/>
      <c r="S26" s="831"/>
      <c r="V26" s="3610"/>
      <c r="W26" s="3610"/>
      <c r="X26" s="3610"/>
      <c r="Y26" s="1037"/>
    </row>
    <row r="27" spans="1:25" s="697" customFormat="1" ht="18" customHeight="1">
      <c r="F27" s="1049"/>
      <c r="G27" s="1049"/>
      <c r="H27" s="1049"/>
      <c r="I27" s="1049"/>
      <c r="J27" s="1049"/>
      <c r="K27" s="1049"/>
      <c r="L27" s="1049"/>
      <c r="M27" s="1067"/>
      <c r="S27" s="831"/>
      <c r="V27" s="3610"/>
      <c r="W27" s="3610"/>
      <c r="X27" s="3610"/>
      <c r="Y27" s="1037"/>
    </row>
    <row r="28" spans="1:25" s="697" customFormat="1" ht="18" customHeight="1">
      <c r="F28" s="1049"/>
      <c r="G28" s="1049"/>
      <c r="H28" s="1049"/>
      <c r="I28" s="1049"/>
      <c r="J28" s="1049"/>
      <c r="K28" s="1049"/>
      <c r="L28" s="1049"/>
      <c r="M28" s="1067"/>
      <c r="S28" s="831"/>
      <c r="V28" s="3610"/>
      <c r="W28" s="3610"/>
      <c r="X28" s="3610"/>
      <c r="Y28" s="1037"/>
    </row>
    <row r="29" spans="1:25" s="697" customFormat="1" ht="18" customHeight="1">
      <c r="F29" s="1049"/>
      <c r="G29" s="1049"/>
      <c r="H29" s="1049"/>
      <c r="I29" s="1049"/>
      <c r="J29" s="1049"/>
      <c r="K29" s="1049"/>
      <c r="L29" s="1049"/>
      <c r="M29" s="1067"/>
      <c r="S29" s="831"/>
      <c r="V29" s="3610"/>
      <c r="W29" s="3610"/>
      <c r="X29" s="3610"/>
      <c r="Y29" s="1037"/>
    </row>
    <row r="30" spans="1:25" s="697" customFormat="1" ht="41.25" customHeight="1">
      <c r="F30" s="1049"/>
      <c r="G30" s="1049"/>
      <c r="H30" s="1049"/>
      <c r="I30" s="1049"/>
      <c r="J30" s="1049"/>
      <c r="K30" s="1049"/>
      <c r="L30" s="1049"/>
      <c r="M30" s="1067"/>
      <c r="S30" s="831"/>
      <c r="V30" s="1038"/>
      <c r="W30" s="1039"/>
      <c r="X30" s="1039"/>
      <c r="Y30" s="1039"/>
    </row>
    <row r="31" spans="1:25" s="697" customFormat="1" ht="51" customHeight="1">
      <c r="F31" s="1049"/>
      <c r="G31" s="1049"/>
      <c r="H31" s="1049"/>
      <c r="I31" s="1049"/>
      <c r="J31" s="1049"/>
      <c r="K31" s="1049"/>
      <c r="L31" s="1049"/>
      <c r="M31" s="1067"/>
      <c r="S31" s="831"/>
      <c r="V31" s="1025"/>
      <c r="W31" s="1040"/>
      <c r="X31" s="1040"/>
      <c r="Y31" s="1040"/>
    </row>
    <row r="32" spans="1:25" s="697" customFormat="1" ht="18" customHeight="1">
      <c r="F32" s="1049"/>
      <c r="G32" s="1049"/>
      <c r="H32" s="1049"/>
      <c r="I32" s="1049"/>
      <c r="J32" s="1049"/>
      <c r="K32" s="1049"/>
      <c r="L32" s="1049"/>
      <c r="M32" s="1067"/>
      <c r="S32" s="831"/>
      <c r="V32" s="3610"/>
      <c r="Y32" s="1041"/>
    </row>
    <row r="33" spans="6:25" s="697" customFormat="1" ht="18" customHeight="1">
      <c r="F33" s="1049"/>
      <c r="G33" s="1049"/>
      <c r="H33" s="1049"/>
      <c r="I33" s="1049"/>
      <c r="J33" s="1049"/>
      <c r="K33" s="1049"/>
      <c r="L33" s="1049"/>
      <c r="M33" s="1067"/>
      <c r="S33" s="831"/>
      <c r="V33" s="3610"/>
      <c r="Y33" s="1041"/>
    </row>
    <row r="34" spans="6:25" s="697" customFormat="1" ht="18" customHeight="1">
      <c r="F34" s="1049"/>
      <c r="G34" s="1049"/>
      <c r="H34" s="1049"/>
      <c r="I34" s="1049"/>
      <c r="J34" s="1049"/>
      <c r="K34" s="1049"/>
      <c r="L34" s="1049"/>
      <c r="M34" s="1067"/>
      <c r="S34" s="831"/>
      <c r="V34" s="3610"/>
      <c r="Y34" s="1041"/>
    </row>
    <row r="35" spans="6:25" s="697" customFormat="1" ht="18" customHeight="1">
      <c r="F35" s="1049"/>
      <c r="G35" s="1049"/>
      <c r="H35" s="1049"/>
      <c r="I35" s="1049"/>
      <c r="J35" s="1049"/>
      <c r="K35" s="1049"/>
      <c r="L35" s="1049"/>
      <c r="M35" s="1067"/>
      <c r="S35" s="831"/>
      <c r="V35" s="3610"/>
      <c r="Y35" s="1041"/>
    </row>
    <row r="36" spans="6:25" ht="18" customHeight="1"/>
    <row r="37" spans="6:25" ht="18" customHeight="1"/>
    <row r="38" spans="6:25" ht="18" customHeight="1"/>
    <row r="39" spans="6:25" ht="18" customHeight="1"/>
    <row r="40" spans="6:25" ht="18" customHeight="1"/>
    <row r="41" spans="6:25" ht="18" customHeight="1"/>
    <row r="42" spans="6:25" ht="18" customHeight="1"/>
  </sheetData>
  <mergeCells count="11">
    <mergeCell ref="A8:L8"/>
    <mergeCell ref="A1:L1"/>
    <mergeCell ref="A2:L2"/>
    <mergeCell ref="A3:L3"/>
    <mergeCell ref="A4:E4"/>
    <mergeCell ref="A5:E5"/>
    <mergeCell ref="K9:L9"/>
    <mergeCell ref="D18:E18"/>
    <mergeCell ref="H18:I18"/>
    <mergeCell ref="J18:L18"/>
    <mergeCell ref="A18:C18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D102"/>
  <sheetViews>
    <sheetView zoomScale="70" zoomScaleNormal="70" workbookViewId="0">
      <pane xSplit="1" ySplit="11" topLeftCell="B81" activePane="bottomRight" state="frozen"/>
      <selection pane="topRight" activeCell="B1" sqref="B1"/>
      <selection pane="bottomLeft" activeCell="A12" sqref="A12"/>
      <selection pane="bottomRight" activeCell="AJ87" sqref="AJ87"/>
    </sheetView>
  </sheetViews>
  <sheetFormatPr defaultColWidth="9.25" defaultRowHeight="15.75"/>
  <cols>
    <col min="1" max="1" width="3.625" style="2634" customWidth="1"/>
    <col min="2" max="2" width="4.375" style="2633" customWidth="1"/>
    <col min="3" max="3" width="16.5" style="2633" customWidth="1"/>
    <col min="4" max="4" width="5.5" style="2641" customWidth="1"/>
    <col min="5" max="5" width="5.875" style="2641" customWidth="1"/>
    <col min="6" max="6" width="6.125" style="2641" customWidth="1"/>
    <col min="7" max="7" width="6.375" style="2641" customWidth="1"/>
    <col min="8" max="8" width="6" style="2641" customWidth="1"/>
    <col min="9" max="9" width="5.875" style="2641" customWidth="1"/>
    <col min="10" max="10" width="6.25" style="2641" customWidth="1"/>
    <col min="11" max="11" width="6.75" style="2641" customWidth="1"/>
    <col min="12" max="12" width="5.75" style="2641" customWidth="1"/>
    <col min="13" max="13" width="5.875" style="2641" customWidth="1"/>
    <col min="14" max="14" width="5.625" style="2641" customWidth="1"/>
    <col min="15" max="15" width="6.25" style="2641" customWidth="1"/>
    <col min="16" max="16" width="6.375" style="2641" customWidth="1"/>
    <col min="17" max="18" width="6.25" style="2641" customWidth="1"/>
    <col min="19" max="19" width="5.875" style="2641" customWidth="1"/>
    <col min="20" max="20" width="5.5" style="2641" customWidth="1"/>
    <col min="21" max="21" width="6.5" style="2641" customWidth="1"/>
    <col min="22" max="22" width="6.25" style="2641" customWidth="1"/>
    <col min="23" max="23" width="5.5" style="2641" customWidth="1"/>
    <col min="24" max="24" width="5.875" style="2641" customWidth="1"/>
    <col min="25" max="25" width="6.25" style="2641" customWidth="1"/>
    <col min="26" max="26" width="5.75" style="2641" customWidth="1"/>
    <col min="27" max="33" width="6.75" style="2641" customWidth="1"/>
    <col min="34" max="34" width="6.75" style="2641" hidden="1" customWidth="1"/>
    <col min="35" max="35" width="9.125" style="3140" customWidth="1"/>
    <col min="36" max="36" width="9.25" style="3140" customWidth="1"/>
    <col min="37" max="37" width="9" style="2633" customWidth="1"/>
    <col min="38" max="38" width="11.625" style="2633" customWidth="1"/>
    <col min="39" max="39" width="10" style="2633" hidden="1" customWidth="1"/>
    <col min="40" max="41" width="0" style="2633" hidden="1" customWidth="1"/>
    <col min="42" max="42" width="14.875" style="2633" hidden="1" customWidth="1"/>
    <col min="43" max="45" width="0" style="2633" hidden="1" customWidth="1"/>
    <col min="46" max="46" width="1.375" style="2633" customWidth="1"/>
    <col min="47" max="47" width="1.625" style="2633" customWidth="1"/>
    <col min="48" max="48" width="2.875" style="2633" customWidth="1"/>
    <col min="49" max="49" width="9.25" style="2633"/>
    <col min="50" max="50" width="22.375" style="2633" bestFit="1" customWidth="1"/>
    <col min="51" max="16384" width="9.25" style="2633"/>
  </cols>
  <sheetData>
    <row r="1" spans="1:56" ht="21" customHeight="1">
      <c r="A1" s="3982" t="s">
        <v>165</v>
      </c>
      <c r="B1" s="3982"/>
      <c r="C1" s="3982"/>
      <c r="D1" s="3982"/>
      <c r="E1" s="3982"/>
      <c r="F1" s="3982"/>
      <c r="G1" s="3982"/>
      <c r="H1" s="3982"/>
      <c r="I1" s="3982"/>
      <c r="J1" s="3982"/>
      <c r="K1" s="3982"/>
      <c r="L1" s="3982"/>
      <c r="M1" s="3982"/>
      <c r="N1" s="3982"/>
      <c r="O1" s="3982"/>
      <c r="P1" s="3982"/>
      <c r="Q1" s="3982"/>
      <c r="R1" s="3982"/>
      <c r="S1" s="3982"/>
      <c r="T1" s="3982"/>
      <c r="U1" s="3982"/>
      <c r="V1" s="3982"/>
      <c r="W1" s="3982"/>
      <c r="X1" s="3982"/>
      <c r="Y1" s="3982"/>
      <c r="Z1" s="3982"/>
      <c r="AA1" s="3982"/>
      <c r="AB1" s="3982"/>
      <c r="AC1" s="3982"/>
      <c r="AD1" s="3982"/>
      <c r="AE1" s="3982"/>
      <c r="AF1" s="3982"/>
      <c r="AG1" s="3982"/>
      <c r="AH1" s="3982"/>
      <c r="AI1" s="3982"/>
      <c r="AJ1" s="3982"/>
      <c r="AK1" s="3982"/>
      <c r="AL1" s="3982"/>
      <c r="AM1" s="2632"/>
      <c r="AN1" s="2632"/>
      <c r="AO1" s="2632"/>
      <c r="AP1" s="2632"/>
      <c r="AQ1" s="2632"/>
      <c r="AR1" s="2632"/>
      <c r="AS1" s="2632"/>
      <c r="AT1" s="2632"/>
      <c r="AU1" s="2632"/>
      <c r="AV1" s="2632"/>
      <c r="AW1" s="2632"/>
      <c r="AX1" s="2632"/>
      <c r="AY1" s="2632"/>
    </row>
    <row r="2" spans="1:56" ht="21" customHeight="1">
      <c r="A2" s="3982" t="s">
        <v>171</v>
      </c>
      <c r="B2" s="3982"/>
      <c r="C2" s="3982"/>
      <c r="D2" s="3982"/>
      <c r="E2" s="3982"/>
      <c r="F2" s="3982"/>
      <c r="G2" s="3982"/>
      <c r="H2" s="3982"/>
      <c r="I2" s="3982"/>
      <c r="J2" s="3982"/>
      <c r="K2" s="3982"/>
      <c r="L2" s="3982"/>
      <c r="M2" s="3982"/>
      <c r="N2" s="3982"/>
      <c r="O2" s="3982"/>
      <c r="P2" s="3982"/>
      <c r="Q2" s="3982"/>
      <c r="R2" s="3982"/>
      <c r="S2" s="3982"/>
      <c r="T2" s="3982"/>
      <c r="U2" s="3982"/>
      <c r="V2" s="3982"/>
      <c r="W2" s="3982"/>
      <c r="X2" s="3982"/>
      <c r="Y2" s="3982"/>
      <c r="Z2" s="3982"/>
      <c r="AA2" s="3982"/>
      <c r="AB2" s="3982"/>
      <c r="AC2" s="3982"/>
      <c r="AD2" s="3982"/>
      <c r="AE2" s="3982"/>
      <c r="AF2" s="3982"/>
      <c r="AG2" s="3982"/>
      <c r="AH2" s="3982"/>
      <c r="AI2" s="3982"/>
      <c r="AJ2" s="3982"/>
      <c r="AK2" s="3982"/>
      <c r="AL2" s="3982"/>
      <c r="AM2" s="2632"/>
      <c r="AN2" s="2632"/>
      <c r="AO2" s="2632"/>
      <c r="AP2" s="2632"/>
      <c r="AQ2" s="2632"/>
      <c r="AR2" s="2632"/>
      <c r="AS2" s="2632"/>
      <c r="AT2" s="2632"/>
      <c r="AU2" s="2632"/>
      <c r="AV2" s="2632"/>
      <c r="AW2" s="2632"/>
      <c r="AX2" s="2632"/>
      <c r="AY2" s="2632"/>
    </row>
    <row r="3" spans="1:56" ht="21" customHeight="1">
      <c r="A3" s="3981" t="s">
        <v>726</v>
      </c>
      <c r="B3" s="3981"/>
      <c r="C3" s="3981"/>
      <c r="D3" s="3981"/>
      <c r="E3" s="3981"/>
      <c r="F3" s="3981"/>
      <c r="G3" s="3981"/>
      <c r="H3" s="3981"/>
      <c r="I3" s="3981"/>
      <c r="J3" s="3981"/>
      <c r="K3" s="3981"/>
      <c r="L3" s="3981"/>
      <c r="M3" s="3981"/>
      <c r="N3" s="3981"/>
      <c r="O3" s="3981"/>
      <c r="P3" s="3981"/>
      <c r="Q3" s="3981"/>
      <c r="R3" s="3981"/>
      <c r="S3" s="3981"/>
      <c r="T3" s="3981"/>
      <c r="U3" s="3981"/>
      <c r="V3" s="3981"/>
      <c r="W3" s="3981"/>
      <c r="X3" s="3981"/>
      <c r="Y3" s="3981"/>
      <c r="Z3" s="3981"/>
      <c r="AA3" s="3981"/>
      <c r="AB3" s="3981"/>
      <c r="AC3" s="3981"/>
      <c r="AD3" s="3981"/>
      <c r="AE3" s="3981"/>
      <c r="AF3" s="3981"/>
      <c r="AG3" s="3981"/>
      <c r="AH3" s="3981"/>
      <c r="AI3" s="3981"/>
      <c r="AJ3" s="3981"/>
      <c r="AK3" s="3981"/>
      <c r="AL3" s="3981"/>
      <c r="AM3" s="2632"/>
      <c r="AN3" s="2632"/>
      <c r="AO3" s="2632"/>
      <c r="AP3" s="2632"/>
      <c r="AQ3" s="2632"/>
      <c r="AR3" s="2632"/>
      <c r="AS3" s="2632"/>
      <c r="AT3" s="2632"/>
      <c r="AU3" s="2632"/>
      <c r="AV3" s="2632"/>
      <c r="AW3" s="2632"/>
      <c r="AX3" s="2632"/>
      <c r="AY3" s="2632"/>
    </row>
    <row r="4" spans="1:56" ht="1.5" customHeight="1">
      <c r="B4" s="2635"/>
      <c r="C4" s="2635"/>
      <c r="D4" s="2635"/>
      <c r="E4" s="2635"/>
      <c r="F4" s="2635"/>
      <c r="G4" s="2635"/>
      <c r="H4" s="3658"/>
      <c r="I4" s="3658"/>
      <c r="J4" s="3658"/>
      <c r="K4" s="3658"/>
      <c r="L4" s="3658"/>
      <c r="M4" s="3658"/>
      <c r="N4" s="3658"/>
      <c r="O4" s="3658"/>
      <c r="P4" s="3658"/>
      <c r="Q4" s="3658"/>
      <c r="R4" s="3658"/>
      <c r="S4" s="3658"/>
      <c r="T4" s="3658"/>
      <c r="U4" s="2633"/>
      <c r="V4" s="2633"/>
      <c r="W4" s="2633"/>
      <c r="X4" s="2633"/>
      <c r="Y4" s="2633"/>
      <c r="Z4" s="2633"/>
      <c r="AA4" s="2633"/>
      <c r="AB4" s="2633"/>
      <c r="AC4" s="2633"/>
      <c r="AD4" s="2633"/>
      <c r="AE4" s="2633"/>
      <c r="AF4" s="2633"/>
      <c r="AG4" s="2633"/>
      <c r="AH4" s="2633"/>
    </row>
    <row r="5" spans="1:56" ht="26.25" customHeight="1">
      <c r="A5" s="3980" t="s">
        <v>602</v>
      </c>
      <c r="B5" s="3980"/>
      <c r="C5" s="3980"/>
      <c r="D5" s="3980"/>
      <c r="E5" s="3980"/>
      <c r="F5" s="3980"/>
      <c r="G5" s="3980"/>
      <c r="H5" s="3980"/>
      <c r="I5" s="3980"/>
      <c r="J5" s="3980"/>
      <c r="K5" s="3980"/>
      <c r="L5" s="3980"/>
      <c r="M5" s="3980"/>
      <c r="N5" s="3980"/>
      <c r="O5" s="2635"/>
      <c r="P5" s="2635"/>
      <c r="Q5" s="2635"/>
      <c r="R5" s="2635"/>
      <c r="S5" s="2635"/>
      <c r="T5" s="2635"/>
      <c r="U5" s="2635"/>
      <c r="V5" s="2635"/>
      <c r="W5" s="2633"/>
      <c r="X5" s="2633"/>
      <c r="Y5" s="2633"/>
      <c r="Z5" s="2633"/>
      <c r="AA5" s="2633"/>
      <c r="AB5" s="2633"/>
      <c r="AC5" s="2633"/>
      <c r="AD5" s="2633"/>
      <c r="AE5" s="2633"/>
      <c r="AF5" s="2633"/>
      <c r="AG5" s="2633"/>
      <c r="AH5" s="2633"/>
    </row>
    <row r="6" spans="1:56" s="2637" customFormat="1" ht="21" customHeight="1">
      <c r="A6" s="3981" t="s">
        <v>541</v>
      </c>
      <c r="B6" s="3981"/>
      <c r="C6" s="3981"/>
      <c r="D6" s="3981"/>
      <c r="E6" s="3981"/>
      <c r="F6" s="3981"/>
      <c r="G6" s="3981"/>
      <c r="H6" s="3981"/>
      <c r="I6" s="3981"/>
      <c r="J6" s="3981"/>
      <c r="K6" s="3981"/>
      <c r="L6" s="3981"/>
      <c r="M6" s="3981"/>
      <c r="N6" s="3981"/>
      <c r="O6" s="2636"/>
      <c r="P6" s="2636"/>
      <c r="Q6" s="2636"/>
      <c r="R6" s="2636"/>
      <c r="S6" s="2636"/>
      <c r="T6" s="2636"/>
      <c r="U6" s="2636"/>
      <c r="V6" s="2636"/>
      <c r="AI6" s="3141"/>
      <c r="AJ6" s="3141"/>
    </row>
    <row r="7" spans="1:56" ht="12.75" customHeight="1">
      <c r="B7" s="2638"/>
      <c r="C7" s="2638"/>
      <c r="D7" s="2638"/>
      <c r="E7" s="2638"/>
      <c r="F7" s="2638"/>
      <c r="G7" s="2638"/>
      <c r="H7" s="2638"/>
      <c r="I7" s="2638"/>
      <c r="J7" s="2639"/>
      <c r="K7" s="2639"/>
      <c r="L7" s="2640"/>
      <c r="N7" s="2639"/>
      <c r="O7" s="2639"/>
      <c r="P7" s="2639"/>
      <c r="Q7" s="2639"/>
      <c r="R7" s="2639"/>
      <c r="S7" s="2639"/>
      <c r="T7" s="2639"/>
      <c r="U7" s="2639"/>
      <c r="V7" s="2639"/>
      <c r="W7" s="2639"/>
      <c r="X7" s="2639"/>
      <c r="Y7" s="2639"/>
      <c r="Z7" s="2639"/>
      <c r="AA7" s="2639"/>
      <c r="AB7" s="2639"/>
      <c r="AC7" s="2639"/>
      <c r="AD7" s="2639"/>
      <c r="AE7" s="2639"/>
      <c r="AF7" s="2639"/>
      <c r="AG7" s="2639"/>
      <c r="AH7" s="2639"/>
      <c r="AI7" s="3142"/>
      <c r="AJ7" s="3143"/>
      <c r="AK7" s="2639"/>
      <c r="AL7" s="2639"/>
    </row>
    <row r="8" spans="1:56" s="2637" customFormat="1" ht="24" customHeight="1">
      <c r="A8" s="3960" t="s">
        <v>1805</v>
      </c>
      <c r="B8" s="3960"/>
      <c r="C8" s="3960"/>
      <c r="D8" s="3960"/>
      <c r="E8" s="3960"/>
      <c r="F8" s="3960"/>
      <c r="G8" s="3960"/>
      <c r="H8" s="3960"/>
      <c r="I8" s="3960"/>
      <c r="J8" s="3960"/>
      <c r="K8" s="3960"/>
      <c r="L8" s="3960"/>
      <c r="M8" s="3960"/>
      <c r="N8" s="3960"/>
      <c r="O8" s="3960"/>
      <c r="P8" s="3960"/>
      <c r="Q8" s="3960"/>
      <c r="R8" s="3960"/>
      <c r="S8" s="3960"/>
      <c r="T8" s="3960"/>
      <c r="U8" s="3960"/>
      <c r="V8" s="3960"/>
      <c r="W8" s="3960"/>
      <c r="X8" s="3960"/>
      <c r="Y8" s="3960"/>
      <c r="Z8" s="3960"/>
      <c r="AA8" s="3960"/>
      <c r="AB8" s="3960"/>
      <c r="AC8" s="3960"/>
      <c r="AD8" s="3960"/>
      <c r="AE8" s="3960"/>
      <c r="AF8" s="3960"/>
      <c r="AG8" s="3960"/>
      <c r="AH8" s="3960"/>
      <c r="AI8" s="3960"/>
      <c r="AJ8" s="3960"/>
      <c r="AK8" s="3960"/>
      <c r="AL8" s="3960"/>
    </row>
    <row r="9" spans="1:56">
      <c r="A9" s="2638"/>
      <c r="B9" s="2638"/>
      <c r="C9" s="2638"/>
      <c r="D9" s="2638"/>
      <c r="E9" s="2638"/>
      <c r="F9" s="2638"/>
      <c r="G9" s="2638"/>
      <c r="H9" s="2638"/>
      <c r="I9" s="2638"/>
      <c r="J9" s="2638"/>
      <c r="K9" s="2638"/>
      <c r="L9" s="2638"/>
      <c r="M9" s="2638"/>
      <c r="N9" s="2638"/>
      <c r="O9" s="2638"/>
      <c r="P9" s="2638"/>
      <c r="Q9" s="2638"/>
      <c r="R9" s="2638"/>
      <c r="S9" s="2638"/>
      <c r="T9" s="2638"/>
      <c r="U9" s="2638"/>
      <c r="V9" s="2638"/>
      <c r="W9" s="2638"/>
      <c r="X9" s="2638"/>
      <c r="Y9" s="2638"/>
      <c r="Z9" s="2638"/>
      <c r="AA9" s="2638"/>
      <c r="AB9" s="2638"/>
      <c r="AC9" s="2638"/>
      <c r="AD9" s="2638"/>
      <c r="AE9" s="2638"/>
      <c r="AF9" s="2638"/>
      <c r="AG9" s="2638"/>
      <c r="AH9" s="2638"/>
      <c r="AI9" s="3144"/>
      <c r="AJ9" s="3145"/>
      <c r="AK9" s="2638"/>
      <c r="AL9" s="2638"/>
    </row>
    <row r="10" spans="1:56" ht="19.5" customHeight="1">
      <c r="A10" s="3983" t="s">
        <v>1</v>
      </c>
      <c r="B10" s="3983" t="s">
        <v>1</v>
      </c>
      <c r="C10" s="3983" t="s">
        <v>805</v>
      </c>
      <c r="D10" s="3961" t="s">
        <v>1157</v>
      </c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  <c r="Y10" s="3962"/>
      <c r="Z10" s="3962"/>
      <c r="AA10" s="3962"/>
      <c r="AB10" s="3962"/>
      <c r="AC10" s="3962"/>
      <c r="AD10" s="3962"/>
      <c r="AE10" s="3962"/>
      <c r="AF10" s="3962"/>
      <c r="AG10" s="3962"/>
      <c r="AH10" s="3963"/>
      <c r="AI10" s="3966" t="s">
        <v>806</v>
      </c>
      <c r="AJ10" s="3968" t="s">
        <v>819</v>
      </c>
      <c r="AK10" s="3964" t="s">
        <v>1145</v>
      </c>
      <c r="AL10" s="3978" t="s">
        <v>1156</v>
      </c>
    </row>
    <row r="11" spans="1:56" ht="41.25" customHeight="1">
      <c r="A11" s="3983"/>
      <c r="B11" s="3983"/>
      <c r="C11" s="3983"/>
      <c r="D11" s="2642">
        <v>1</v>
      </c>
      <c r="E11" s="2642">
        <v>2</v>
      </c>
      <c r="F11" s="2642">
        <v>3</v>
      </c>
      <c r="G11" s="2642">
        <v>4</v>
      </c>
      <c r="H11" s="2642">
        <v>5</v>
      </c>
      <c r="I11" s="2642">
        <v>6</v>
      </c>
      <c r="J11" s="2642">
        <v>7</v>
      </c>
      <c r="K11" s="2642">
        <v>8</v>
      </c>
      <c r="L11" s="2642">
        <v>9</v>
      </c>
      <c r="M11" s="2642">
        <v>10</v>
      </c>
      <c r="N11" s="2642">
        <v>11</v>
      </c>
      <c r="O11" s="2642">
        <v>12</v>
      </c>
      <c r="P11" s="2642">
        <v>13</v>
      </c>
      <c r="Q11" s="2642">
        <v>14</v>
      </c>
      <c r="R11" s="2642">
        <v>15</v>
      </c>
      <c r="S11" s="2642">
        <v>16</v>
      </c>
      <c r="T11" s="2642">
        <v>17</v>
      </c>
      <c r="U11" s="2642">
        <v>18</v>
      </c>
      <c r="V11" s="2642">
        <v>19</v>
      </c>
      <c r="W11" s="2642">
        <v>20</v>
      </c>
      <c r="X11" s="2642">
        <v>21</v>
      </c>
      <c r="Y11" s="2642">
        <v>22</v>
      </c>
      <c r="Z11" s="2642">
        <v>23</v>
      </c>
      <c r="AA11" s="2642">
        <v>24</v>
      </c>
      <c r="AB11" s="2642">
        <v>25</v>
      </c>
      <c r="AC11" s="2642">
        <v>26</v>
      </c>
      <c r="AD11" s="2642">
        <v>27</v>
      </c>
      <c r="AE11" s="2642">
        <v>28</v>
      </c>
      <c r="AF11" s="2642">
        <v>29</v>
      </c>
      <c r="AG11" s="2642">
        <v>30</v>
      </c>
      <c r="AH11" s="2642">
        <v>31</v>
      </c>
      <c r="AI11" s="3966"/>
      <c r="AJ11" s="3968"/>
      <c r="AK11" s="3965"/>
      <c r="AL11" s="3978"/>
      <c r="AN11" s="2633" t="s">
        <v>977</v>
      </c>
    </row>
    <row r="12" spans="1:56" s="2643" customFormat="1" ht="36" customHeight="1">
      <c r="A12" s="3657" t="s">
        <v>52</v>
      </c>
      <c r="B12" s="3983" t="s">
        <v>321</v>
      </c>
      <c r="C12" s="3983"/>
      <c r="D12" s="3240">
        <f>SUM(D13:D49)</f>
        <v>0</v>
      </c>
      <c r="E12" s="3240">
        <f t="shared" ref="E12:AH12" si="0">SUM(E13:E49)</f>
        <v>0</v>
      </c>
      <c r="F12" s="3240">
        <f t="shared" si="0"/>
        <v>0</v>
      </c>
      <c r="G12" s="3240">
        <f t="shared" si="0"/>
        <v>0</v>
      </c>
      <c r="H12" s="3240">
        <f t="shared" si="0"/>
        <v>0</v>
      </c>
      <c r="I12" s="3240">
        <f t="shared" si="0"/>
        <v>0</v>
      </c>
      <c r="J12" s="3240">
        <f t="shared" si="0"/>
        <v>0</v>
      </c>
      <c r="K12" s="3240">
        <f t="shared" si="0"/>
        <v>0</v>
      </c>
      <c r="L12" s="3240">
        <f t="shared" si="0"/>
        <v>0</v>
      </c>
      <c r="M12" s="3240">
        <f t="shared" si="0"/>
        <v>0</v>
      </c>
      <c r="N12" s="3240">
        <f t="shared" si="0"/>
        <v>0</v>
      </c>
      <c r="O12" s="3240">
        <f t="shared" si="0"/>
        <v>0</v>
      </c>
      <c r="P12" s="3240">
        <f t="shared" si="0"/>
        <v>0</v>
      </c>
      <c r="Q12" s="3240">
        <f t="shared" si="0"/>
        <v>0</v>
      </c>
      <c r="R12" s="3240">
        <f t="shared" si="0"/>
        <v>0</v>
      </c>
      <c r="S12" s="3240">
        <f t="shared" si="0"/>
        <v>0</v>
      </c>
      <c r="T12" s="3240">
        <f t="shared" si="0"/>
        <v>0</v>
      </c>
      <c r="U12" s="3240">
        <f t="shared" si="0"/>
        <v>0</v>
      </c>
      <c r="V12" s="3240">
        <f t="shared" si="0"/>
        <v>0</v>
      </c>
      <c r="W12" s="3240">
        <f t="shared" si="0"/>
        <v>0</v>
      </c>
      <c r="X12" s="3240">
        <f t="shared" si="0"/>
        <v>0</v>
      </c>
      <c r="Y12" s="3240">
        <f t="shared" si="0"/>
        <v>0</v>
      </c>
      <c r="Z12" s="3240">
        <f t="shared" si="0"/>
        <v>0</v>
      </c>
      <c r="AA12" s="3240">
        <f t="shared" si="0"/>
        <v>851</v>
      </c>
      <c r="AB12" s="3240">
        <f t="shared" si="0"/>
        <v>744</v>
      </c>
      <c r="AC12" s="3240">
        <f t="shared" si="0"/>
        <v>1366</v>
      </c>
      <c r="AD12" s="3240">
        <f t="shared" si="0"/>
        <v>1126</v>
      </c>
      <c r="AE12" s="3240">
        <f t="shared" si="0"/>
        <v>1001</v>
      </c>
      <c r="AF12" s="3240">
        <f t="shared" si="0"/>
        <v>741</v>
      </c>
      <c r="AG12" s="3240">
        <f t="shared" si="0"/>
        <v>249</v>
      </c>
      <c r="AH12" s="3240">
        <f t="shared" si="0"/>
        <v>0</v>
      </c>
      <c r="AI12" s="3240">
        <f>SUM(AI13:AI49)</f>
        <v>6078</v>
      </c>
      <c r="AJ12" s="3240">
        <f>SUM(AJ13:AJ49)</f>
        <v>3295.6709999999989</v>
      </c>
      <c r="AK12" s="3659"/>
      <c r="AL12" s="3978"/>
      <c r="BA12" s="2643" t="s">
        <v>1553</v>
      </c>
      <c r="BB12" s="2643" t="s">
        <v>1552</v>
      </c>
      <c r="BC12" s="2643" t="s">
        <v>1909</v>
      </c>
    </row>
    <row r="13" spans="1:56" ht="33.75" customHeight="1">
      <c r="A13" s="2644">
        <v>1</v>
      </c>
      <c r="B13" s="2644">
        <v>1</v>
      </c>
      <c r="C13" s="3241" t="str">
        <f>'Chấm công công nhân'!L13</f>
        <v>Vắt Đi</v>
      </c>
      <c r="D13" s="3242">
        <v>0</v>
      </c>
      <c r="E13" s="3242">
        <v>0</v>
      </c>
      <c r="F13" s="3242">
        <v>0</v>
      </c>
      <c r="G13" s="3242">
        <v>0</v>
      </c>
      <c r="H13" s="3242">
        <v>0</v>
      </c>
      <c r="I13" s="3243">
        <v>0</v>
      </c>
      <c r="J13" s="3242">
        <v>0</v>
      </c>
      <c r="K13" s="3242">
        <v>0</v>
      </c>
      <c r="L13" s="3242">
        <v>0</v>
      </c>
      <c r="M13" s="3242">
        <v>0</v>
      </c>
      <c r="N13" s="3242">
        <v>0</v>
      </c>
      <c r="O13" s="3242">
        <v>0</v>
      </c>
      <c r="P13" s="3242">
        <v>0</v>
      </c>
      <c r="Q13" s="3242">
        <v>0</v>
      </c>
      <c r="R13" s="3242">
        <v>0</v>
      </c>
      <c r="S13" s="3242">
        <v>0</v>
      </c>
      <c r="T13" s="3242">
        <v>0</v>
      </c>
      <c r="U13" s="3242">
        <v>0</v>
      </c>
      <c r="V13" s="3242">
        <v>0</v>
      </c>
      <c r="W13" s="3242">
        <v>0</v>
      </c>
      <c r="X13" s="3242">
        <v>0</v>
      </c>
      <c r="Y13" s="3242">
        <v>0</v>
      </c>
      <c r="Z13" s="3242">
        <v>0</v>
      </c>
      <c r="AA13" s="3242">
        <v>0</v>
      </c>
      <c r="AB13" s="3242">
        <v>0</v>
      </c>
      <c r="AC13" s="3242">
        <v>0</v>
      </c>
      <c r="AD13" s="3242">
        <v>0</v>
      </c>
      <c r="AE13" s="3242">
        <v>0</v>
      </c>
      <c r="AF13" s="3242">
        <v>0</v>
      </c>
      <c r="AG13" s="3242">
        <v>0</v>
      </c>
      <c r="AH13" s="3242">
        <v>0</v>
      </c>
      <c r="AI13" s="3146">
        <f>SUM(D13:AH13)</f>
        <v>0</v>
      </c>
      <c r="AJ13" s="3146">
        <f>AI13*$AX$17/100</f>
        <v>0</v>
      </c>
      <c r="AK13" s="2631" t="s">
        <v>52</v>
      </c>
      <c r="AL13" s="2645"/>
      <c r="AM13" s="2646">
        <f t="shared" ref="AM13:AM24" si="1">IF(AJ13&gt;=3175,700000,IF(AJ13&gt;=2760,500000,IF(AJ13&gt;2400,300000,IF(AJ13&gt;=2400,0,0))))</f>
        <v>0</v>
      </c>
      <c r="AN13" s="2633">
        <v>2</v>
      </c>
      <c r="AO13" s="2633">
        <f>AN13/1.25</f>
        <v>1.6</v>
      </c>
      <c r="BA13" s="2633">
        <v>24072.188999999998</v>
      </c>
      <c r="BB13" s="2633">
        <v>35751.783999999992</v>
      </c>
      <c r="BC13" s="2633">
        <v>3295.6709999999989</v>
      </c>
      <c r="BD13" s="2633">
        <f>SUM(BA13:BC13)</f>
        <v>63119.643999999993</v>
      </c>
    </row>
    <row r="14" spans="1:56" ht="33.75" customHeight="1">
      <c r="A14" s="2644">
        <v>2</v>
      </c>
      <c r="B14" s="2644">
        <v>2</v>
      </c>
      <c r="C14" s="3241" t="str">
        <f>'Chấm công công nhân'!L14</f>
        <v>Mẹ Leo</v>
      </c>
      <c r="D14" s="3242">
        <v>0</v>
      </c>
      <c r="E14" s="3242">
        <v>0</v>
      </c>
      <c r="F14" s="3242">
        <v>0</v>
      </c>
      <c r="G14" s="3242">
        <v>0</v>
      </c>
      <c r="H14" s="3242">
        <v>0</v>
      </c>
      <c r="I14" s="3243">
        <v>0</v>
      </c>
      <c r="J14" s="3242">
        <v>0</v>
      </c>
      <c r="K14" s="3242">
        <v>0</v>
      </c>
      <c r="L14" s="3242">
        <v>0</v>
      </c>
      <c r="M14" s="3242">
        <v>0</v>
      </c>
      <c r="N14" s="3242">
        <v>0</v>
      </c>
      <c r="O14" s="3242">
        <v>0</v>
      </c>
      <c r="P14" s="3242">
        <v>0</v>
      </c>
      <c r="Q14" s="3242">
        <v>0</v>
      </c>
      <c r="R14" s="3242">
        <v>0</v>
      </c>
      <c r="S14" s="3242">
        <v>0</v>
      </c>
      <c r="T14" s="3242">
        <v>0</v>
      </c>
      <c r="U14" s="3242">
        <v>0</v>
      </c>
      <c r="V14" s="3242">
        <v>0</v>
      </c>
      <c r="W14" s="3242">
        <v>0</v>
      </c>
      <c r="X14" s="3242">
        <v>0</v>
      </c>
      <c r="Y14" s="3242">
        <v>0</v>
      </c>
      <c r="Z14" s="3242">
        <v>0</v>
      </c>
      <c r="AA14" s="3242">
        <v>0</v>
      </c>
      <c r="AB14" s="3242">
        <v>0</v>
      </c>
      <c r="AC14" s="3242">
        <v>74</v>
      </c>
      <c r="AD14" s="3242">
        <v>61</v>
      </c>
      <c r="AE14" s="3242">
        <v>111</v>
      </c>
      <c r="AF14" s="3242">
        <v>100</v>
      </c>
      <c r="AG14" s="3242">
        <v>0</v>
      </c>
      <c r="AH14" s="3242">
        <v>0</v>
      </c>
      <c r="AI14" s="3146">
        <f t="shared" ref="AI14:AI49" si="2">SUM(D14:AH14)</f>
        <v>346</v>
      </c>
      <c r="AJ14" s="3146">
        <f t="shared" ref="AJ14:AJ49" si="3">AI14*$AX$17/100</f>
        <v>187.61141263573541</v>
      </c>
      <c r="AK14" s="2631" t="s">
        <v>92</v>
      </c>
      <c r="AL14" s="2645"/>
      <c r="AM14" s="2646">
        <f t="shared" si="1"/>
        <v>0</v>
      </c>
      <c r="AN14" s="2633">
        <v>2</v>
      </c>
      <c r="AO14" s="2633">
        <f t="shared" ref="AO14:AO48" si="4">AN14/1.25</f>
        <v>1.6</v>
      </c>
      <c r="AX14" s="3244"/>
      <c r="BA14" s="2633">
        <v>11104.175000000003</v>
      </c>
      <c r="BB14" s="2633">
        <v>15912.768000000004</v>
      </c>
      <c r="BC14" s="2633">
        <v>1327.2060000000001</v>
      </c>
      <c r="BD14" s="2633">
        <f t="shared" ref="BD14:BD15" si="5">SUM(BA14:BC14)</f>
        <v>28344.149000000005</v>
      </c>
    </row>
    <row r="15" spans="1:56" ht="33.75" customHeight="1">
      <c r="A15" s="2644">
        <v>3</v>
      </c>
      <c r="B15" s="2644">
        <v>3</v>
      </c>
      <c r="C15" s="3241" t="str">
        <f>'Chấm công công nhân'!L15</f>
        <v xml:space="preserve">Thảo Ken </v>
      </c>
      <c r="D15" s="3242">
        <v>0</v>
      </c>
      <c r="E15" s="3242">
        <v>0</v>
      </c>
      <c r="F15" s="3242">
        <v>0</v>
      </c>
      <c r="G15" s="3242">
        <v>0</v>
      </c>
      <c r="H15" s="3242">
        <v>0</v>
      </c>
      <c r="I15" s="3243">
        <v>0</v>
      </c>
      <c r="J15" s="3242">
        <v>0</v>
      </c>
      <c r="K15" s="3242">
        <v>0</v>
      </c>
      <c r="L15" s="3242">
        <v>0</v>
      </c>
      <c r="M15" s="3242">
        <v>0</v>
      </c>
      <c r="N15" s="3242">
        <v>0</v>
      </c>
      <c r="O15" s="3242">
        <v>0</v>
      </c>
      <c r="P15" s="3242">
        <v>0</v>
      </c>
      <c r="Q15" s="3242">
        <v>0</v>
      </c>
      <c r="R15" s="3242">
        <v>0</v>
      </c>
      <c r="S15" s="3242">
        <v>0</v>
      </c>
      <c r="T15" s="3242">
        <v>0</v>
      </c>
      <c r="U15" s="3242">
        <v>0</v>
      </c>
      <c r="V15" s="3242">
        <v>0</v>
      </c>
      <c r="W15" s="3242">
        <v>0</v>
      </c>
      <c r="X15" s="3242">
        <v>0</v>
      </c>
      <c r="Y15" s="3242">
        <v>0</v>
      </c>
      <c r="Z15" s="3242">
        <v>0</v>
      </c>
      <c r="AA15" s="3242">
        <v>0</v>
      </c>
      <c r="AB15" s="3242">
        <v>0</v>
      </c>
      <c r="AC15" s="3242">
        <v>0</v>
      </c>
      <c r="AD15" s="3242">
        <v>0</v>
      </c>
      <c r="AE15" s="3242">
        <v>0</v>
      </c>
      <c r="AF15" s="3242">
        <v>0</v>
      </c>
      <c r="AG15" s="3242">
        <v>0</v>
      </c>
      <c r="AH15" s="3242">
        <v>0</v>
      </c>
      <c r="AI15" s="3146">
        <f t="shared" si="2"/>
        <v>0</v>
      </c>
      <c r="AJ15" s="3146">
        <f t="shared" si="3"/>
        <v>0</v>
      </c>
      <c r="AK15" s="2631" t="s">
        <v>52</v>
      </c>
      <c r="AL15" s="2645"/>
      <c r="AM15" s="2646">
        <f t="shared" si="1"/>
        <v>0</v>
      </c>
      <c r="AN15" s="2633">
        <v>2</v>
      </c>
      <c r="AO15" s="2633">
        <f t="shared" si="4"/>
        <v>1.6</v>
      </c>
      <c r="AX15" s="2647"/>
      <c r="BA15" s="2633">
        <v>5843.6859999999997</v>
      </c>
      <c r="BB15" s="2633">
        <v>11489.905999999999</v>
      </c>
      <c r="BC15" s="2633">
        <v>842.68799999999976</v>
      </c>
      <c r="BD15" s="2633">
        <f t="shared" si="5"/>
        <v>18176.279999999995</v>
      </c>
    </row>
    <row r="16" spans="1:56" ht="33.75" customHeight="1">
      <c r="A16" s="2644">
        <v>4</v>
      </c>
      <c r="B16" s="2644">
        <v>4</v>
      </c>
      <c r="C16" s="3241" t="str">
        <f>'Chấm công công nhân'!L16</f>
        <v>Thảo Phút</v>
      </c>
      <c r="D16" s="3242">
        <v>0</v>
      </c>
      <c r="E16" s="3242">
        <v>0</v>
      </c>
      <c r="F16" s="3242">
        <v>0</v>
      </c>
      <c r="G16" s="3242">
        <v>0</v>
      </c>
      <c r="H16" s="3242">
        <v>0</v>
      </c>
      <c r="I16" s="3243">
        <v>0</v>
      </c>
      <c r="J16" s="3242">
        <v>0</v>
      </c>
      <c r="K16" s="3242">
        <v>0</v>
      </c>
      <c r="L16" s="3242">
        <v>0</v>
      </c>
      <c r="M16" s="3242">
        <v>0</v>
      </c>
      <c r="N16" s="3242">
        <v>0</v>
      </c>
      <c r="O16" s="3242">
        <v>0</v>
      </c>
      <c r="P16" s="3242">
        <v>0</v>
      </c>
      <c r="Q16" s="3242">
        <v>0</v>
      </c>
      <c r="R16" s="3242">
        <v>0</v>
      </c>
      <c r="S16" s="3242">
        <v>0</v>
      </c>
      <c r="T16" s="3242">
        <v>0</v>
      </c>
      <c r="U16" s="3242">
        <v>0</v>
      </c>
      <c r="V16" s="3242">
        <v>0</v>
      </c>
      <c r="W16" s="3242">
        <v>0</v>
      </c>
      <c r="X16" s="3242">
        <v>0</v>
      </c>
      <c r="Y16" s="3242">
        <v>0</v>
      </c>
      <c r="Z16" s="3242">
        <v>0</v>
      </c>
      <c r="AA16" s="3242">
        <v>156</v>
      </c>
      <c r="AB16" s="3242">
        <v>87</v>
      </c>
      <c r="AC16" s="3242">
        <v>0</v>
      </c>
      <c r="AD16" s="3242">
        <v>75</v>
      </c>
      <c r="AE16" s="3242">
        <v>0</v>
      </c>
      <c r="AF16" s="3242">
        <v>0</v>
      </c>
      <c r="AG16" s="3242">
        <v>0</v>
      </c>
      <c r="AH16" s="3242">
        <v>0</v>
      </c>
      <c r="AI16" s="3146">
        <f t="shared" si="2"/>
        <v>318</v>
      </c>
      <c r="AJ16" s="3146">
        <f t="shared" si="3"/>
        <v>172.42898617966432</v>
      </c>
      <c r="AK16" s="2631" t="s">
        <v>52</v>
      </c>
      <c r="AL16" s="2645"/>
      <c r="AM16" s="2646">
        <f t="shared" si="1"/>
        <v>0</v>
      </c>
      <c r="AO16" s="2633">
        <f t="shared" si="4"/>
        <v>0</v>
      </c>
      <c r="AX16" s="2647"/>
      <c r="BD16" s="2633">
        <f>SUM(BD13:BD15)</f>
        <v>109640.073</v>
      </c>
    </row>
    <row r="17" spans="1:56" ht="33.75" customHeight="1">
      <c r="A17" s="2644">
        <v>5</v>
      </c>
      <c r="B17" s="2644">
        <v>5</v>
      </c>
      <c r="C17" s="3241" t="str">
        <f>'Chấm công công nhân'!L17</f>
        <v>Thảo Mằn</v>
      </c>
      <c r="D17" s="3242">
        <v>0</v>
      </c>
      <c r="E17" s="3242">
        <v>0</v>
      </c>
      <c r="F17" s="3242">
        <v>0</v>
      </c>
      <c r="G17" s="3242">
        <v>0</v>
      </c>
      <c r="H17" s="3242">
        <v>0</v>
      </c>
      <c r="I17" s="3243">
        <v>0</v>
      </c>
      <c r="J17" s="3242">
        <v>0</v>
      </c>
      <c r="K17" s="3242">
        <v>0</v>
      </c>
      <c r="L17" s="3242">
        <v>0</v>
      </c>
      <c r="M17" s="3242">
        <v>0</v>
      </c>
      <c r="N17" s="3242">
        <v>0</v>
      </c>
      <c r="O17" s="3242">
        <v>0</v>
      </c>
      <c r="P17" s="3242">
        <v>0</v>
      </c>
      <c r="Q17" s="3242">
        <v>0</v>
      </c>
      <c r="R17" s="3242">
        <v>0</v>
      </c>
      <c r="S17" s="3242">
        <v>0</v>
      </c>
      <c r="T17" s="3242">
        <v>0</v>
      </c>
      <c r="U17" s="3242">
        <v>0</v>
      </c>
      <c r="V17" s="3242">
        <v>0</v>
      </c>
      <c r="W17" s="3242">
        <v>0</v>
      </c>
      <c r="X17" s="3242">
        <v>0</v>
      </c>
      <c r="Y17" s="3242">
        <v>0</v>
      </c>
      <c r="Z17" s="3242">
        <v>0</v>
      </c>
      <c r="AA17" s="3242">
        <v>40</v>
      </c>
      <c r="AB17" s="3242">
        <v>0</v>
      </c>
      <c r="AC17" s="3242">
        <v>0</v>
      </c>
      <c r="AD17" s="3242">
        <v>0</v>
      </c>
      <c r="AE17" s="3242">
        <v>0</v>
      </c>
      <c r="AF17" s="3242">
        <v>0</v>
      </c>
      <c r="AG17" s="3242">
        <v>0</v>
      </c>
      <c r="AH17" s="3242">
        <v>0</v>
      </c>
      <c r="AI17" s="3146">
        <f t="shared" si="2"/>
        <v>40</v>
      </c>
      <c r="AJ17" s="3146">
        <f t="shared" si="3"/>
        <v>21.689180651530105</v>
      </c>
      <c r="AK17" s="2631" t="s">
        <v>92</v>
      </c>
      <c r="AL17" s="2645"/>
      <c r="AM17" s="2646">
        <f t="shared" si="1"/>
        <v>0</v>
      </c>
      <c r="AO17" s="2633">
        <f t="shared" si="4"/>
        <v>0</v>
      </c>
      <c r="AX17" s="2648">
        <v>54.222951628825257</v>
      </c>
    </row>
    <row r="18" spans="1:56" ht="33.75" customHeight="1">
      <c r="A18" s="2644">
        <v>6</v>
      </c>
      <c r="B18" s="2644">
        <v>6</v>
      </c>
      <c r="C18" s="3241" t="str">
        <f>'Chấm công công nhân'!L18</f>
        <v>Nàng Chay</v>
      </c>
      <c r="D18" s="3242">
        <v>0</v>
      </c>
      <c r="E18" s="3242">
        <v>0</v>
      </c>
      <c r="F18" s="3242">
        <v>0</v>
      </c>
      <c r="G18" s="3242">
        <v>0</v>
      </c>
      <c r="H18" s="3242">
        <v>0</v>
      </c>
      <c r="I18" s="3243">
        <v>0</v>
      </c>
      <c r="J18" s="3242">
        <v>0</v>
      </c>
      <c r="K18" s="3242">
        <v>0</v>
      </c>
      <c r="L18" s="3242">
        <v>0</v>
      </c>
      <c r="M18" s="3242">
        <v>0</v>
      </c>
      <c r="N18" s="3242">
        <v>0</v>
      </c>
      <c r="O18" s="3242">
        <v>0</v>
      </c>
      <c r="P18" s="3242">
        <v>0</v>
      </c>
      <c r="Q18" s="3242">
        <v>0</v>
      </c>
      <c r="R18" s="3242">
        <v>0</v>
      </c>
      <c r="S18" s="3242">
        <v>0</v>
      </c>
      <c r="T18" s="3242">
        <v>0</v>
      </c>
      <c r="U18" s="3242">
        <v>0</v>
      </c>
      <c r="V18" s="3242">
        <v>0</v>
      </c>
      <c r="W18" s="3242">
        <v>0</v>
      </c>
      <c r="X18" s="3242">
        <v>0</v>
      </c>
      <c r="Y18" s="3242">
        <v>0</v>
      </c>
      <c r="Z18" s="3242">
        <v>0</v>
      </c>
      <c r="AA18" s="3242">
        <v>0</v>
      </c>
      <c r="AB18" s="3242">
        <v>0</v>
      </c>
      <c r="AC18" s="3242">
        <v>0</v>
      </c>
      <c r="AD18" s="3242">
        <v>0</v>
      </c>
      <c r="AE18" s="3242">
        <v>0</v>
      </c>
      <c r="AF18" s="3242">
        <v>0</v>
      </c>
      <c r="AG18" s="3242">
        <v>0</v>
      </c>
      <c r="AH18" s="3242">
        <v>0</v>
      </c>
      <c r="AI18" s="3146">
        <f t="shared" si="2"/>
        <v>0</v>
      </c>
      <c r="AJ18" s="3146">
        <f t="shared" si="3"/>
        <v>0</v>
      </c>
      <c r="AK18" s="2631" t="s">
        <v>92</v>
      </c>
      <c r="AL18" s="2645"/>
      <c r="AM18" s="2646">
        <f t="shared" si="1"/>
        <v>0</v>
      </c>
      <c r="AN18" s="2633">
        <v>2</v>
      </c>
      <c r="AO18" s="2633">
        <f t="shared" si="4"/>
        <v>1.6</v>
      </c>
      <c r="AX18" s="2705"/>
      <c r="BD18" s="3919">
        <f>BD16/700000*100</f>
        <v>15.662867571428571</v>
      </c>
    </row>
    <row r="19" spans="1:56" ht="33.75" customHeight="1">
      <c r="A19" s="2644">
        <v>7</v>
      </c>
      <c r="B19" s="2644">
        <v>7</v>
      </c>
      <c r="C19" s="3241" t="str">
        <f>'Chấm công công nhân'!L19</f>
        <v>Thảo Sắp</v>
      </c>
      <c r="D19" s="3242">
        <v>0</v>
      </c>
      <c r="E19" s="3242">
        <v>0</v>
      </c>
      <c r="F19" s="3242">
        <v>0</v>
      </c>
      <c r="G19" s="3242">
        <v>0</v>
      </c>
      <c r="H19" s="3242">
        <v>0</v>
      </c>
      <c r="I19" s="3243">
        <v>0</v>
      </c>
      <c r="J19" s="3242">
        <v>0</v>
      </c>
      <c r="K19" s="3242">
        <v>0</v>
      </c>
      <c r="L19" s="3242">
        <v>0</v>
      </c>
      <c r="M19" s="3242">
        <v>0</v>
      </c>
      <c r="N19" s="3242">
        <v>0</v>
      </c>
      <c r="O19" s="3242">
        <v>0</v>
      </c>
      <c r="P19" s="3242">
        <v>0</v>
      </c>
      <c r="Q19" s="3242">
        <v>0</v>
      </c>
      <c r="R19" s="3242">
        <v>0</v>
      </c>
      <c r="S19" s="3242">
        <v>0</v>
      </c>
      <c r="T19" s="3242">
        <v>0</v>
      </c>
      <c r="U19" s="3242">
        <v>0</v>
      </c>
      <c r="V19" s="3242">
        <v>0</v>
      </c>
      <c r="W19" s="3242">
        <v>0</v>
      </c>
      <c r="X19" s="3242">
        <v>0</v>
      </c>
      <c r="Y19" s="3242">
        <v>0</v>
      </c>
      <c r="Z19" s="3242">
        <v>0</v>
      </c>
      <c r="AA19" s="3242">
        <v>86</v>
      </c>
      <c r="AB19" s="3242">
        <v>52</v>
      </c>
      <c r="AC19" s="3242">
        <v>60</v>
      </c>
      <c r="AD19" s="3242">
        <v>64</v>
      </c>
      <c r="AE19" s="3242">
        <v>0</v>
      </c>
      <c r="AF19" s="3242">
        <v>0</v>
      </c>
      <c r="AG19" s="3242">
        <v>0</v>
      </c>
      <c r="AH19" s="3242">
        <v>0</v>
      </c>
      <c r="AI19" s="3146">
        <f t="shared" si="2"/>
        <v>262</v>
      </c>
      <c r="AJ19" s="3146">
        <f t="shared" si="3"/>
        <v>142.06413326752218</v>
      </c>
      <c r="AK19" s="2631" t="s">
        <v>52</v>
      </c>
      <c r="AL19" s="2645"/>
      <c r="AM19" s="2646">
        <f t="shared" si="1"/>
        <v>0</v>
      </c>
      <c r="AN19" s="2633">
        <v>4</v>
      </c>
      <c r="AO19" s="2633">
        <f t="shared" si="4"/>
        <v>3.2</v>
      </c>
    </row>
    <row r="20" spans="1:56" ht="33.75" customHeight="1">
      <c r="A20" s="2644">
        <v>8</v>
      </c>
      <c r="B20" s="2644">
        <v>8</v>
      </c>
      <c r="C20" s="3241" t="str">
        <f>'Chấm công công nhân'!L20</f>
        <v>Thảo Say</v>
      </c>
      <c r="D20" s="3242">
        <v>0</v>
      </c>
      <c r="E20" s="3242">
        <v>0</v>
      </c>
      <c r="F20" s="3242">
        <v>0</v>
      </c>
      <c r="G20" s="3242">
        <v>0</v>
      </c>
      <c r="H20" s="3242">
        <v>0</v>
      </c>
      <c r="I20" s="3243">
        <v>0</v>
      </c>
      <c r="J20" s="3242">
        <v>0</v>
      </c>
      <c r="K20" s="3242">
        <v>0</v>
      </c>
      <c r="L20" s="3242">
        <v>0</v>
      </c>
      <c r="M20" s="3242">
        <v>0</v>
      </c>
      <c r="N20" s="3242">
        <v>0</v>
      </c>
      <c r="O20" s="3242">
        <v>0</v>
      </c>
      <c r="P20" s="3242">
        <v>0</v>
      </c>
      <c r="Q20" s="3242">
        <v>0</v>
      </c>
      <c r="R20" s="3242">
        <v>0</v>
      </c>
      <c r="S20" s="3242">
        <v>0</v>
      </c>
      <c r="T20" s="3242">
        <v>0</v>
      </c>
      <c r="U20" s="3242">
        <v>0</v>
      </c>
      <c r="V20" s="3242">
        <v>0</v>
      </c>
      <c r="W20" s="3242">
        <v>0</v>
      </c>
      <c r="X20" s="3242">
        <v>0</v>
      </c>
      <c r="Y20" s="3242">
        <v>0</v>
      </c>
      <c r="Z20" s="3242">
        <v>0</v>
      </c>
      <c r="AA20" s="3242">
        <v>0</v>
      </c>
      <c r="AB20" s="3242">
        <v>83</v>
      </c>
      <c r="AC20" s="3242">
        <v>80</v>
      </c>
      <c r="AD20" s="3242">
        <v>78</v>
      </c>
      <c r="AE20" s="3242">
        <v>203</v>
      </c>
      <c r="AF20" s="3242">
        <v>0</v>
      </c>
      <c r="AG20" s="3242">
        <v>0</v>
      </c>
      <c r="AH20" s="3242">
        <v>0</v>
      </c>
      <c r="AI20" s="3146">
        <f t="shared" si="2"/>
        <v>444</v>
      </c>
      <c r="AJ20" s="3146">
        <f t="shared" si="3"/>
        <v>240.74990523198414</v>
      </c>
      <c r="AK20" s="2631" t="s">
        <v>52</v>
      </c>
      <c r="AL20" s="2645"/>
      <c r="AM20" s="2646">
        <f t="shared" si="1"/>
        <v>0</v>
      </c>
      <c r="AN20" s="2633">
        <v>4</v>
      </c>
      <c r="AO20" s="2633">
        <f t="shared" si="4"/>
        <v>3.2</v>
      </c>
    </row>
    <row r="21" spans="1:56" ht="33.75" customHeight="1">
      <c r="A21" s="2644">
        <v>9</v>
      </c>
      <c r="B21" s="2644">
        <v>9</v>
      </c>
      <c r="C21" s="3241" t="str">
        <f>'Chấm công công nhân'!L21</f>
        <v>Thảo Cợt</v>
      </c>
      <c r="D21" s="3242">
        <v>0</v>
      </c>
      <c r="E21" s="3242">
        <v>0</v>
      </c>
      <c r="F21" s="3242">
        <v>0</v>
      </c>
      <c r="G21" s="3242">
        <v>0</v>
      </c>
      <c r="H21" s="3242">
        <v>0</v>
      </c>
      <c r="I21" s="3243">
        <v>0</v>
      </c>
      <c r="J21" s="3242">
        <v>0</v>
      </c>
      <c r="K21" s="3242">
        <v>0</v>
      </c>
      <c r="L21" s="3242">
        <v>0</v>
      </c>
      <c r="M21" s="3242">
        <v>0</v>
      </c>
      <c r="N21" s="3242">
        <v>0</v>
      </c>
      <c r="O21" s="3242">
        <v>0</v>
      </c>
      <c r="P21" s="3242">
        <v>0</v>
      </c>
      <c r="Q21" s="3242">
        <v>0</v>
      </c>
      <c r="R21" s="3242">
        <v>0</v>
      </c>
      <c r="S21" s="3242">
        <v>0</v>
      </c>
      <c r="T21" s="3242">
        <v>0</v>
      </c>
      <c r="U21" s="3242">
        <v>0</v>
      </c>
      <c r="V21" s="3242">
        <v>0</v>
      </c>
      <c r="W21" s="3242">
        <v>0</v>
      </c>
      <c r="X21" s="3242">
        <v>0</v>
      </c>
      <c r="Y21" s="3242">
        <v>0</v>
      </c>
      <c r="Z21" s="3242">
        <v>0</v>
      </c>
      <c r="AA21" s="3242">
        <v>62</v>
      </c>
      <c r="AB21" s="3242">
        <v>0</v>
      </c>
      <c r="AC21" s="3242">
        <v>0</v>
      </c>
      <c r="AD21" s="3242">
        <v>0</v>
      </c>
      <c r="AE21" s="3242">
        <v>0</v>
      </c>
      <c r="AF21" s="3242">
        <v>0</v>
      </c>
      <c r="AG21" s="3242">
        <v>137</v>
      </c>
      <c r="AH21" s="3242">
        <v>0</v>
      </c>
      <c r="AI21" s="3146">
        <f t="shared" si="2"/>
        <v>199</v>
      </c>
      <c r="AJ21" s="3146">
        <f t="shared" si="3"/>
        <v>107.90367374136225</v>
      </c>
      <c r="AK21" s="2631" t="s">
        <v>53</v>
      </c>
      <c r="AL21" s="2645"/>
      <c r="AM21" s="2646">
        <f t="shared" si="1"/>
        <v>0</v>
      </c>
      <c r="AN21" s="2633">
        <v>4</v>
      </c>
      <c r="AO21" s="2633">
        <f t="shared" si="4"/>
        <v>3.2</v>
      </c>
      <c r="AQ21" s="2633" t="s">
        <v>1574</v>
      </c>
      <c r="AR21" s="2633" t="s">
        <v>1575</v>
      </c>
    </row>
    <row r="22" spans="1:56" ht="33.75" customHeight="1">
      <c r="A22" s="2644">
        <v>10</v>
      </c>
      <c r="B22" s="2644">
        <v>10</v>
      </c>
      <c r="C22" s="3241" t="str">
        <f>'Chấm công công nhân'!L22</f>
        <v>Thảo Hôm</v>
      </c>
      <c r="D22" s="3242">
        <v>0</v>
      </c>
      <c r="E22" s="3242">
        <v>0</v>
      </c>
      <c r="F22" s="3242">
        <v>0</v>
      </c>
      <c r="G22" s="3242">
        <v>0</v>
      </c>
      <c r="H22" s="3242">
        <v>0</v>
      </c>
      <c r="I22" s="3243">
        <v>0</v>
      </c>
      <c r="J22" s="3242">
        <v>0</v>
      </c>
      <c r="K22" s="3242">
        <v>0</v>
      </c>
      <c r="L22" s="3242">
        <v>0</v>
      </c>
      <c r="M22" s="3242">
        <v>0</v>
      </c>
      <c r="N22" s="3242">
        <v>0</v>
      </c>
      <c r="O22" s="3242">
        <v>0</v>
      </c>
      <c r="P22" s="3242">
        <v>0</v>
      </c>
      <c r="Q22" s="3242">
        <v>0</v>
      </c>
      <c r="R22" s="3242">
        <v>0</v>
      </c>
      <c r="S22" s="3242">
        <v>0</v>
      </c>
      <c r="T22" s="3242">
        <v>0</v>
      </c>
      <c r="U22" s="3242">
        <v>0</v>
      </c>
      <c r="V22" s="3242">
        <v>0</v>
      </c>
      <c r="W22" s="3242">
        <v>0</v>
      </c>
      <c r="X22" s="3242">
        <v>0</v>
      </c>
      <c r="Y22" s="3242">
        <v>0</v>
      </c>
      <c r="Z22" s="3242">
        <v>0</v>
      </c>
      <c r="AA22" s="3242">
        <v>107</v>
      </c>
      <c r="AB22" s="3242">
        <v>79</v>
      </c>
      <c r="AC22" s="3242">
        <v>92</v>
      </c>
      <c r="AD22" s="3242">
        <v>94</v>
      </c>
      <c r="AE22" s="3242">
        <v>0</v>
      </c>
      <c r="AF22" s="3242">
        <v>0</v>
      </c>
      <c r="AG22" s="3242">
        <v>0</v>
      </c>
      <c r="AH22" s="3242">
        <v>0</v>
      </c>
      <c r="AI22" s="3146">
        <f t="shared" si="2"/>
        <v>372</v>
      </c>
      <c r="AJ22" s="3146">
        <f t="shared" si="3"/>
        <v>201.70938005922994</v>
      </c>
      <c r="AK22" s="2631" t="s">
        <v>52</v>
      </c>
      <c r="AL22" s="2645"/>
      <c r="AM22" s="2646">
        <f t="shared" si="1"/>
        <v>0</v>
      </c>
      <c r="AO22" s="2633">
        <f t="shared" si="4"/>
        <v>0</v>
      </c>
      <c r="AQ22" s="2633">
        <v>8</v>
      </c>
      <c r="AR22" s="2633">
        <v>4</v>
      </c>
      <c r="AS22" s="2633">
        <f>12*4</f>
        <v>48</v>
      </c>
    </row>
    <row r="23" spans="1:56" ht="33.75" customHeight="1">
      <c r="A23" s="2644">
        <v>11</v>
      </c>
      <c r="B23" s="2644">
        <v>11</v>
      </c>
      <c r="C23" s="3241" t="str">
        <f>'Chấm công công nhân'!L23</f>
        <v xml:space="preserve">Thảo Khăm  </v>
      </c>
      <c r="D23" s="3242">
        <v>0</v>
      </c>
      <c r="E23" s="3242">
        <v>0</v>
      </c>
      <c r="F23" s="3242">
        <v>0</v>
      </c>
      <c r="G23" s="3242">
        <v>0</v>
      </c>
      <c r="H23" s="3242">
        <v>0</v>
      </c>
      <c r="I23" s="3243">
        <v>0</v>
      </c>
      <c r="J23" s="3242">
        <v>0</v>
      </c>
      <c r="K23" s="3242">
        <v>0</v>
      </c>
      <c r="L23" s="3242">
        <v>0</v>
      </c>
      <c r="M23" s="3242">
        <v>0</v>
      </c>
      <c r="N23" s="3242">
        <v>0</v>
      </c>
      <c r="O23" s="3242">
        <v>0</v>
      </c>
      <c r="P23" s="3242">
        <v>0</v>
      </c>
      <c r="Q23" s="3242">
        <v>0</v>
      </c>
      <c r="R23" s="3242">
        <v>0</v>
      </c>
      <c r="S23" s="3242">
        <v>0</v>
      </c>
      <c r="T23" s="3242">
        <v>0</v>
      </c>
      <c r="U23" s="3242">
        <v>0</v>
      </c>
      <c r="V23" s="3242">
        <v>0</v>
      </c>
      <c r="W23" s="3242">
        <v>0</v>
      </c>
      <c r="X23" s="3242">
        <v>0</v>
      </c>
      <c r="Y23" s="3242">
        <v>0</v>
      </c>
      <c r="Z23" s="3242">
        <v>0</v>
      </c>
      <c r="AA23" s="3242">
        <v>0</v>
      </c>
      <c r="AB23" s="3242">
        <v>0</v>
      </c>
      <c r="AC23" s="3242">
        <v>0</v>
      </c>
      <c r="AD23" s="3242">
        <v>0</v>
      </c>
      <c r="AE23" s="3242">
        <v>0</v>
      </c>
      <c r="AF23" s="3242">
        <v>0</v>
      </c>
      <c r="AG23" s="3242">
        <v>0</v>
      </c>
      <c r="AH23" s="3242">
        <v>0</v>
      </c>
      <c r="AI23" s="3146">
        <f t="shared" si="2"/>
        <v>0</v>
      </c>
      <c r="AJ23" s="3146">
        <f t="shared" si="3"/>
        <v>0</v>
      </c>
      <c r="AK23" s="2631" t="s">
        <v>92</v>
      </c>
      <c r="AL23" s="2645"/>
      <c r="AM23" s="2646">
        <f t="shared" si="1"/>
        <v>0</v>
      </c>
      <c r="AN23" s="2633">
        <v>2</v>
      </c>
      <c r="AO23" s="2633">
        <f t="shared" si="4"/>
        <v>1.6</v>
      </c>
    </row>
    <row r="24" spans="1:56" ht="33.75" customHeight="1">
      <c r="A24" s="2644">
        <v>12</v>
      </c>
      <c r="B24" s="2644">
        <v>12</v>
      </c>
      <c r="C24" s="3241" t="str">
        <f>'Chấm công công nhân'!L24</f>
        <v>Thảo Hăm</v>
      </c>
      <c r="D24" s="3242">
        <v>0</v>
      </c>
      <c r="E24" s="3242">
        <v>0</v>
      </c>
      <c r="F24" s="3242">
        <v>0</v>
      </c>
      <c r="G24" s="3242">
        <v>0</v>
      </c>
      <c r="H24" s="3242">
        <v>0</v>
      </c>
      <c r="I24" s="3243">
        <v>0</v>
      </c>
      <c r="J24" s="3242">
        <v>0</v>
      </c>
      <c r="K24" s="3242">
        <v>0</v>
      </c>
      <c r="L24" s="3242">
        <v>0</v>
      </c>
      <c r="M24" s="3242">
        <v>0</v>
      </c>
      <c r="N24" s="3242">
        <v>0</v>
      </c>
      <c r="O24" s="3242">
        <v>0</v>
      </c>
      <c r="P24" s="3242">
        <v>0</v>
      </c>
      <c r="Q24" s="3242">
        <v>0</v>
      </c>
      <c r="R24" s="3242">
        <v>0</v>
      </c>
      <c r="S24" s="3242">
        <v>0</v>
      </c>
      <c r="T24" s="3242">
        <v>0</v>
      </c>
      <c r="U24" s="3242">
        <v>0</v>
      </c>
      <c r="V24" s="3242">
        <v>0</v>
      </c>
      <c r="W24" s="3242">
        <v>0</v>
      </c>
      <c r="X24" s="3242">
        <v>0</v>
      </c>
      <c r="Y24" s="3242">
        <v>0</v>
      </c>
      <c r="Z24" s="3242">
        <v>0</v>
      </c>
      <c r="AA24" s="3242">
        <v>0</v>
      </c>
      <c r="AB24" s="3242">
        <v>0</v>
      </c>
      <c r="AC24" s="3242">
        <v>0</v>
      </c>
      <c r="AD24" s="3242">
        <v>0</v>
      </c>
      <c r="AE24" s="3242">
        <v>0</v>
      </c>
      <c r="AF24" s="3242">
        <v>0</v>
      </c>
      <c r="AG24" s="3242">
        <v>0</v>
      </c>
      <c r="AH24" s="3242">
        <v>0</v>
      </c>
      <c r="AI24" s="3146">
        <f t="shared" si="2"/>
        <v>0</v>
      </c>
      <c r="AJ24" s="3146">
        <f t="shared" si="3"/>
        <v>0</v>
      </c>
      <c r="AK24" s="2631" t="s">
        <v>52</v>
      </c>
      <c r="AL24" s="2645"/>
      <c r="AM24" s="2646">
        <f t="shared" si="1"/>
        <v>0</v>
      </c>
      <c r="AN24" s="2633">
        <v>4</v>
      </c>
      <c r="AO24" s="2633">
        <f t="shared" si="4"/>
        <v>3.2</v>
      </c>
    </row>
    <row r="25" spans="1:56" ht="33.75" customHeight="1">
      <c r="A25" s="2644">
        <v>13</v>
      </c>
      <c r="B25" s="2644">
        <v>13</v>
      </c>
      <c r="C25" s="3241" t="str">
        <f>'Chấm công công nhân'!L25</f>
        <v>Nang Lon</v>
      </c>
      <c r="D25" s="3242">
        <v>0</v>
      </c>
      <c r="E25" s="3242">
        <v>0</v>
      </c>
      <c r="F25" s="3242">
        <v>0</v>
      </c>
      <c r="G25" s="3242">
        <v>0</v>
      </c>
      <c r="H25" s="3242">
        <v>0</v>
      </c>
      <c r="I25" s="3243">
        <v>0</v>
      </c>
      <c r="J25" s="3242">
        <v>0</v>
      </c>
      <c r="K25" s="3242">
        <v>0</v>
      </c>
      <c r="L25" s="3242">
        <v>0</v>
      </c>
      <c r="M25" s="3242">
        <v>0</v>
      </c>
      <c r="N25" s="3242">
        <v>0</v>
      </c>
      <c r="O25" s="3242">
        <v>0</v>
      </c>
      <c r="P25" s="3242">
        <v>0</v>
      </c>
      <c r="Q25" s="3242">
        <v>0</v>
      </c>
      <c r="R25" s="3242">
        <v>0</v>
      </c>
      <c r="S25" s="3242">
        <v>0</v>
      </c>
      <c r="T25" s="3242">
        <v>0</v>
      </c>
      <c r="U25" s="3242">
        <v>0</v>
      </c>
      <c r="V25" s="3242">
        <v>0</v>
      </c>
      <c r="W25" s="3242">
        <v>0</v>
      </c>
      <c r="X25" s="3242">
        <v>0</v>
      </c>
      <c r="Y25" s="3242">
        <v>0</v>
      </c>
      <c r="Z25" s="3242">
        <v>0</v>
      </c>
      <c r="AA25" s="3242">
        <v>0</v>
      </c>
      <c r="AB25" s="3242">
        <v>0</v>
      </c>
      <c r="AC25" s="3242">
        <v>0</v>
      </c>
      <c r="AD25" s="3242">
        <v>0</v>
      </c>
      <c r="AE25" s="3242">
        <v>0</v>
      </c>
      <c r="AF25" s="3242">
        <v>0</v>
      </c>
      <c r="AG25" s="3242">
        <v>0</v>
      </c>
      <c r="AH25" s="3242">
        <v>0</v>
      </c>
      <c r="AI25" s="3146">
        <f t="shared" si="2"/>
        <v>0</v>
      </c>
      <c r="AJ25" s="3146">
        <f t="shared" si="3"/>
        <v>0</v>
      </c>
      <c r="AK25" s="2631" t="s">
        <v>92</v>
      </c>
      <c r="AL25" s="2645"/>
      <c r="AM25" s="2646"/>
      <c r="AN25" s="2633">
        <v>2</v>
      </c>
      <c r="AO25" s="2633">
        <f t="shared" si="4"/>
        <v>1.6</v>
      </c>
    </row>
    <row r="26" spans="1:56" ht="33.75" customHeight="1">
      <c r="A26" s="2644">
        <v>14</v>
      </c>
      <c r="B26" s="2644">
        <v>14</v>
      </c>
      <c r="C26" s="3241" t="str">
        <f>'Chấm công công nhân'!L26</f>
        <v>Thảo Pheng</v>
      </c>
      <c r="D26" s="3242">
        <v>0</v>
      </c>
      <c r="E26" s="3242">
        <v>0</v>
      </c>
      <c r="F26" s="3242">
        <v>0</v>
      </c>
      <c r="G26" s="3242">
        <v>0</v>
      </c>
      <c r="H26" s="3242">
        <v>0</v>
      </c>
      <c r="I26" s="3243">
        <v>0</v>
      </c>
      <c r="J26" s="3242">
        <v>0</v>
      </c>
      <c r="K26" s="3242">
        <v>0</v>
      </c>
      <c r="L26" s="3242">
        <v>0</v>
      </c>
      <c r="M26" s="3242">
        <v>0</v>
      </c>
      <c r="N26" s="3242">
        <v>0</v>
      </c>
      <c r="O26" s="3242">
        <v>0</v>
      </c>
      <c r="P26" s="3242">
        <v>0</v>
      </c>
      <c r="Q26" s="3242">
        <v>0</v>
      </c>
      <c r="R26" s="3242">
        <v>0</v>
      </c>
      <c r="S26" s="3242">
        <v>0</v>
      </c>
      <c r="T26" s="3242">
        <v>0</v>
      </c>
      <c r="U26" s="3242">
        <v>0</v>
      </c>
      <c r="V26" s="3242">
        <v>0</v>
      </c>
      <c r="W26" s="3242">
        <v>0</v>
      </c>
      <c r="X26" s="3242">
        <v>0</v>
      </c>
      <c r="Y26" s="3242">
        <v>0</v>
      </c>
      <c r="Z26" s="3242">
        <v>0</v>
      </c>
      <c r="AA26" s="3242">
        <v>0</v>
      </c>
      <c r="AB26" s="3242">
        <v>49</v>
      </c>
      <c r="AC26" s="3242">
        <v>53</v>
      </c>
      <c r="AD26" s="3242">
        <v>0</v>
      </c>
      <c r="AE26" s="3242">
        <v>0</v>
      </c>
      <c r="AF26" s="3242">
        <v>0</v>
      </c>
      <c r="AG26" s="3242">
        <v>0</v>
      </c>
      <c r="AH26" s="3242">
        <v>0</v>
      </c>
      <c r="AI26" s="3146">
        <f t="shared" si="2"/>
        <v>102</v>
      </c>
      <c r="AJ26" s="3146">
        <f t="shared" si="3"/>
        <v>55.307410661401761</v>
      </c>
      <c r="AK26" s="2631" t="s">
        <v>92</v>
      </c>
      <c r="AL26" s="2645"/>
      <c r="AM26" s="2646"/>
      <c r="AN26" s="2633">
        <v>2</v>
      </c>
      <c r="AO26" s="2633">
        <f t="shared" si="4"/>
        <v>1.6</v>
      </c>
    </row>
    <row r="27" spans="1:56" ht="33.75" customHeight="1">
      <c r="A27" s="2644">
        <v>15</v>
      </c>
      <c r="B27" s="2644">
        <v>15</v>
      </c>
      <c r="C27" s="3241" t="str">
        <f>'Chấm công công nhân'!L27</f>
        <v>Thảo kok</v>
      </c>
      <c r="D27" s="3242">
        <v>0</v>
      </c>
      <c r="E27" s="3242">
        <v>0</v>
      </c>
      <c r="F27" s="3242">
        <v>0</v>
      </c>
      <c r="G27" s="3242">
        <v>0</v>
      </c>
      <c r="H27" s="3242">
        <v>0</v>
      </c>
      <c r="I27" s="3243">
        <v>0</v>
      </c>
      <c r="J27" s="3242">
        <v>0</v>
      </c>
      <c r="K27" s="3242">
        <v>0</v>
      </c>
      <c r="L27" s="3242">
        <v>0</v>
      </c>
      <c r="M27" s="3242">
        <v>0</v>
      </c>
      <c r="N27" s="3242">
        <v>0</v>
      </c>
      <c r="O27" s="3242">
        <v>0</v>
      </c>
      <c r="P27" s="3242">
        <v>0</v>
      </c>
      <c r="Q27" s="3242">
        <v>0</v>
      </c>
      <c r="R27" s="3242">
        <v>0</v>
      </c>
      <c r="S27" s="3242">
        <v>0</v>
      </c>
      <c r="T27" s="3242">
        <v>0</v>
      </c>
      <c r="U27" s="3242">
        <v>0</v>
      </c>
      <c r="V27" s="3242">
        <v>0</v>
      </c>
      <c r="W27" s="3242">
        <v>0</v>
      </c>
      <c r="X27" s="3242">
        <v>0</v>
      </c>
      <c r="Y27" s="3242">
        <v>0</v>
      </c>
      <c r="Z27" s="3242">
        <v>0</v>
      </c>
      <c r="AA27" s="3242">
        <v>0</v>
      </c>
      <c r="AB27" s="3242">
        <v>0</v>
      </c>
      <c r="AC27" s="3242">
        <v>73</v>
      </c>
      <c r="AD27" s="3242">
        <v>50</v>
      </c>
      <c r="AE27" s="3242">
        <v>61</v>
      </c>
      <c r="AF27" s="3242">
        <v>77</v>
      </c>
      <c r="AG27" s="3242">
        <v>0</v>
      </c>
      <c r="AH27" s="3242">
        <v>0</v>
      </c>
      <c r="AI27" s="3146">
        <f t="shared" si="2"/>
        <v>261</v>
      </c>
      <c r="AJ27" s="3146">
        <f t="shared" si="3"/>
        <v>141.52190375123391</v>
      </c>
      <c r="AK27" s="2631" t="s">
        <v>52</v>
      </c>
      <c r="AL27" s="2645"/>
      <c r="AM27" s="2646"/>
      <c r="AN27" s="2633">
        <v>2</v>
      </c>
      <c r="AO27" s="2633">
        <f t="shared" si="4"/>
        <v>1.6</v>
      </c>
    </row>
    <row r="28" spans="1:56" ht="33.75" customHeight="1">
      <c r="A28" s="2644">
        <v>16</v>
      </c>
      <c r="B28" s="2644">
        <v>16</v>
      </c>
      <c r="C28" s="3241" t="str">
        <f>'Chấm công công nhân'!L28</f>
        <v>Nàng Sút Chay</v>
      </c>
      <c r="D28" s="3242">
        <v>0</v>
      </c>
      <c r="E28" s="3242">
        <v>0</v>
      </c>
      <c r="F28" s="3242">
        <v>0</v>
      </c>
      <c r="G28" s="3242">
        <v>0</v>
      </c>
      <c r="H28" s="3242">
        <v>0</v>
      </c>
      <c r="I28" s="3243">
        <v>0</v>
      </c>
      <c r="J28" s="3242">
        <v>0</v>
      </c>
      <c r="K28" s="3242">
        <v>0</v>
      </c>
      <c r="L28" s="3242">
        <v>0</v>
      </c>
      <c r="M28" s="3242">
        <v>0</v>
      </c>
      <c r="N28" s="3242">
        <v>0</v>
      </c>
      <c r="O28" s="3242">
        <v>0</v>
      </c>
      <c r="P28" s="3242">
        <v>0</v>
      </c>
      <c r="Q28" s="3242">
        <v>0</v>
      </c>
      <c r="R28" s="3242">
        <v>0</v>
      </c>
      <c r="S28" s="3242">
        <v>0</v>
      </c>
      <c r="T28" s="3242">
        <v>0</v>
      </c>
      <c r="U28" s="3242">
        <v>0</v>
      </c>
      <c r="V28" s="3242">
        <v>0</v>
      </c>
      <c r="W28" s="3242">
        <v>0</v>
      </c>
      <c r="X28" s="3242">
        <v>0</v>
      </c>
      <c r="Y28" s="3242">
        <v>0</v>
      </c>
      <c r="Z28" s="3242">
        <v>0</v>
      </c>
      <c r="AA28" s="3242">
        <v>0</v>
      </c>
      <c r="AB28" s="3242">
        <v>34</v>
      </c>
      <c r="AC28" s="3242">
        <v>36</v>
      </c>
      <c r="AD28" s="3242">
        <v>0</v>
      </c>
      <c r="AE28" s="3242">
        <v>0</v>
      </c>
      <c r="AF28" s="3242">
        <v>0</v>
      </c>
      <c r="AG28" s="3242">
        <v>0</v>
      </c>
      <c r="AH28" s="3242">
        <v>0</v>
      </c>
      <c r="AI28" s="3146">
        <f t="shared" si="2"/>
        <v>70</v>
      </c>
      <c r="AJ28" s="3146">
        <f t="shared" si="3"/>
        <v>37.956066140177683</v>
      </c>
      <c r="AK28" s="2631" t="s">
        <v>52</v>
      </c>
      <c r="AL28" s="2645"/>
      <c r="AM28" s="2646"/>
      <c r="AO28" s="2633">
        <f t="shared" si="4"/>
        <v>0</v>
      </c>
    </row>
    <row r="29" spans="1:56" ht="33.75" customHeight="1">
      <c r="A29" s="2644">
        <v>17</v>
      </c>
      <c r="B29" s="2644">
        <v>17</v>
      </c>
      <c r="C29" s="3241" t="str">
        <f>'Chấm công công nhân'!L29</f>
        <v>Thảo Khăm Phay</v>
      </c>
      <c r="D29" s="3242">
        <v>0</v>
      </c>
      <c r="E29" s="3242">
        <v>0</v>
      </c>
      <c r="F29" s="3242">
        <v>0</v>
      </c>
      <c r="G29" s="3242">
        <v>0</v>
      </c>
      <c r="H29" s="3242">
        <v>0</v>
      </c>
      <c r="I29" s="3243">
        <v>0</v>
      </c>
      <c r="J29" s="3242">
        <v>0</v>
      </c>
      <c r="K29" s="3242">
        <v>0</v>
      </c>
      <c r="L29" s="3242">
        <v>0</v>
      </c>
      <c r="M29" s="3242">
        <v>0</v>
      </c>
      <c r="N29" s="3242">
        <v>0</v>
      </c>
      <c r="O29" s="3242">
        <v>0</v>
      </c>
      <c r="P29" s="3242">
        <v>0</v>
      </c>
      <c r="Q29" s="3242">
        <v>0</v>
      </c>
      <c r="R29" s="3242">
        <v>0</v>
      </c>
      <c r="S29" s="3242">
        <v>0</v>
      </c>
      <c r="T29" s="3242">
        <v>0</v>
      </c>
      <c r="U29" s="3242">
        <v>0</v>
      </c>
      <c r="V29" s="3242">
        <v>0</v>
      </c>
      <c r="W29" s="3242">
        <v>0</v>
      </c>
      <c r="X29" s="3242">
        <v>0</v>
      </c>
      <c r="Y29" s="3242">
        <v>0</v>
      </c>
      <c r="Z29" s="3242">
        <v>0</v>
      </c>
      <c r="AA29" s="3242">
        <v>0</v>
      </c>
      <c r="AB29" s="3242">
        <v>34</v>
      </c>
      <c r="AC29" s="3242">
        <v>36</v>
      </c>
      <c r="AD29" s="3242">
        <v>0</v>
      </c>
      <c r="AE29" s="3242">
        <v>0</v>
      </c>
      <c r="AF29" s="3242">
        <v>0</v>
      </c>
      <c r="AG29" s="3242">
        <v>0</v>
      </c>
      <c r="AH29" s="3242">
        <v>0</v>
      </c>
      <c r="AI29" s="3146">
        <f t="shared" si="2"/>
        <v>70</v>
      </c>
      <c r="AJ29" s="3146">
        <f t="shared" si="3"/>
        <v>37.956066140177683</v>
      </c>
      <c r="AK29" s="2631" t="s">
        <v>92</v>
      </c>
      <c r="AL29" s="2645"/>
      <c r="AM29" s="2646"/>
      <c r="AN29" s="2633">
        <v>4</v>
      </c>
      <c r="AO29" s="2633">
        <f t="shared" si="4"/>
        <v>3.2</v>
      </c>
    </row>
    <row r="30" spans="1:56" ht="33.75" customHeight="1">
      <c r="A30" s="2644">
        <v>18</v>
      </c>
      <c r="B30" s="2644">
        <v>18</v>
      </c>
      <c r="C30" s="3241" t="str">
        <f>'Chấm công công nhân'!L30</f>
        <v>Thảo Sớm</v>
      </c>
      <c r="D30" s="3242">
        <v>0</v>
      </c>
      <c r="E30" s="3242">
        <v>0</v>
      </c>
      <c r="F30" s="3242">
        <v>0</v>
      </c>
      <c r="G30" s="3242">
        <v>0</v>
      </c>
      <c r="H30" s="3242">
        <v>0</v>
      </c>
      <c r="I30" s="3243">
        <v>0</v>
      </c>
      <c r="J30" s="3242">
        <v>0</v>
      </c>
      <c r="K30" s="3242">
        <v>0</v>
      </c>
      <c r="L30" s="3242">
        <v>0</v>
      </c>
      <c r="M30" s="3242">
        <v>0</v>
      </c>
      <c r="N30" s="3242">
        <v>0</v>
      </c>
      <c r="O30" s="3242">
        <v>0</v>
      </c>
      <c r="P30" s="3242">
        <v>0</v>
      </c>
      <c r="Q30" s="3242">
        <v>0</v>
      </c>
      <c r="R30" s="3242">
        <v>0</v>
      </c>
      <c r="S30" s="3242">
        <v>0</v>
      </c>
      <c r="T30" s="3242">
        <v>0</v>
      </c>
      <c r="U30" s="3242">
        <v>0</v>
      </c>
      <c r="V30" s="3242">
        <v>0</v>
      </c>
      <c r="W30" s="3242">
        <v>0</v>
      </c>
      <c r="X30" s="3242">
        <v>0</v>
      </c>
      <c r="Y30" s="3242">
        <v>0</v>
      </c>
      <c r="Z30" s="3242">
        <v>0</v>
      </c>
      <c r="AA30" s="3242">
        <v>0</v>
      </c>
      <c r="AB30" s="3242">
        <v>0</v>
      </c>
      <c r="AC30" s="3242">
        <v>71</v>
      </c>
      <c r="AD30" s="3242">
        <v>63</v>
      </c>
      <c r="AE30" s="3242">
        <v>0</v>
      </c>
      <c r="AF30" s="3242">
        <v>0</v>
      </c>
      <c r="AG30" s="3242">
        <v>0</v>
      </c>
      <c r="AH30" s="3242">
        <v>0</v>
      </c>
      <c r="AI30" s="3146">
        <f t="shared" si="2"/>
        <v>134</v>
      </c>
      <c r="AJ30" s="3146">
        <f t="shared" si="3"/>
        <v>72.658755182625839</v>
      </c>
      <c r="AK30" s="2631" t="s">
        <v>52</v>
      </c>
      <c r="AL30" s="2645"/>
      <c r="AM30" s="2646"/>
      <c r="AN30" s="2633">
        <v>4</v>
      </c>
      <c r="AO30" s="2633">
        <f t="shared" si="4"/>
        <v>3.2</v>
      </c>
    </row>
    <row r="31" spans="1:56" ht="33.75" customHeight="1">
      <c r="A31" s="2644">
        <v>19</v>
      </c>
      <c r="B31" s="2644">
        <v>19</v>
      </c>
      <c r="C31" s="3241" t="str">
        <f>'Chấm công công nhân'!L31</f>
        <v>Pha Xúc</v>
      </c>
      <c r="D31" s="3242">
        <v>0</v>
      </c>
      <c r="E31" s="3242">
        <v>0</v>
      </c>
      <c r="F31" s="3242">
        <v>0</v>
      </c>
      <c r="G31" s="3242">
        <v>0</v>
      </c>
      <c r="H31" s="3242">
        <v>0</v>
      </c>
      <c r="I31" s="3243">
        <v>0</v>
      </c>
      <c r="J31" s="3242">
        <v>0</v>
      </c>
      <c r="K31" s="3242">
        <v>0</v>
      </c>
      <c r="L31" s="3242">
        <v>0</v>
      </c>
      <c r="M31" s="3242">
        <v>0</v>
      </c>
      <c r="N31" s="3242">
        <v>0</v>
      </c>
      <c r="O31" s="3242">
        <v>0</v>
      </c>
      <c r="P31" s="3242">
        <v>0</v>
      </c>
      <c r="Q31" s="3242">
        <v>0</v>
      </c>
      <c r="R31" s="3242">
        <v>0</v>
      </c>
      <c r="S31" s="3242">
        <v>0</v>
      </c>
      <c r="T31" s="3242">
        <v>0</v>
      </c>
      <c r="U31" s="3242">
        <v>0</v>
      </c>
      <c r="V31" s="3242">
        <v>0</v>
      </c>
      <c r="W31" s="3242">
        <v>0</v>
      </c>
      <c r="X31" s="3242">
        <v>0</v>
      </c>
      <c r="Y31" s="3242">
        <v>0</v>
      </c>
      <c r="Z31" s="3242">
        <v>0</v>
      </c>
      <c r="AA31" s="3242">
        <v>0</v>
      </c>
      <c r="AB31" s="3242">
        <v>0</v>
      </c>
      <c r="AC31" s="3242">
        <v>0</v>
      </c>
      <c r="AD31" s="3242">
        <v>0</v>
      </c>
      <c r="AE31" s="3242">
        <v>0</v>
      </c>
      <c r="AF31" s="3242">
        <v>0</v>
      </c>
      <c r="AG31" s="3242">
        <v>0</v>
      </c>
      <c r="AH31" s="3242">
        <v>0</v>
      </c>
      <c r="AI31" s="3146">
        <f t="shared" si="2"/>
        <v>0</v>
      </c>
      <c r="AJ31" s="3146">
        <f t="shared" si="3"/>
        <v>0</v>
      </c>
      <c r="AK31" s="2631" t="s">
        <v>92</v>
      </c>
      <c r="AL31" s="2645"/>
      <c r="AM31" s="2646"/>
      <c r="AN31" s="2633">
        <v>4</v>
      </c>
      <c r="AO31" s="2633">
        <f t="shared" si="4"/>
        <v>3.2</v>
      </c>
    </row>
    <row r="32" spans="1:56" ht="33.75" customHeight="1">
      <c r="A32" s="2644">
        <v>20</v>
      </c>
      <c r="B32" s="2644">
        <v>20</v>
      </c>
      <c r="C32" s="3241" t="str">
        <f>'Chấm công công nhân'!L32</f>
        <v>Nàng Phon</v>
      </c>
      <c r="D32" s="3242">
        <v>0</v>
      </c>
      <c r="E32" s="3242">
        <v>0</v>
      </c>
      <c r="F32" s="3242">
        <v>0</v>
      </c>
      <c r="G32" s="3242">
        <v>0</v>
      </c>
      <c r="H32" s="3242">
        <v>0</v>
      </c>
      <c r="I32" s="3243">
        <v>0</v>
      </c>
      <c r="J32" s="3242">
        <v>0</v>
      </c>
      <c r="K32" s="3242">
        <v>0</v>
      </c>
      <c r="L32" s="3242">
        <v>0</v>
      </c>
      <c r="M32" s="3242">
        <v>0</v>
      </c>
      <c r="N32" s="3242">
        <v>0</v>
      </c>
      <c r="O32" s="3242">
        <v>0</v>
      </c>
      <c r="P32" s="3242">
        <v>0</v>
      </c>
      <c r="Q32" s="3242">
        <v>0</v>
      </c>
      <c r="R32" s="3242">
        <v>0</v>
      </c>
      <c r="S32" s="3242">
        <v>0</v>
      </c>
      <c r="T32" s="3242">
        <v>0</v>
      </c>
      <c r="U32" s="3242">
        <v>0</v>
      </c>
      <c r="V32" s="3242">
        <v>0</v>
      </c>
      <c r="W32" s="3242">
        <v>0</v>
      </c>
      <c r="X32" s="3242">
        <v>0</v>
      </c>
      <c r="Y32" s="3242">
        <v>0</v>
      </c>
      <c r="Z32" s="3242">
        <v>0</v>
      </c>
      <c r="AA32" s="3242">
        <v>40</v>
      </c>
      <c r="AB32" s="3242">
        <v>0</v>
      </c>
      <c r="AC32" s="3242">
        <v>0</v>
      </c>
      <c r="AD32" s="3242">
        <v>0</v>
      </c>
      <c r="AE32" s="3242">
        <v>0</v>
      </c>
      <c r="AF32" s="3242">
        <v>0</v>
      </c>
      <c r="AG32" s="3242">
        <v>0</v>
      </c>
      <c r="AH32" s="3242">
        <v>0</v>
      </c>
      <c r="AI32" s="3146">
        <f t="shared" si="2"/>
        <v>40</v>
      </c>
      <c r="AJ32" s="3146">
        <f t="shared" si="3"/>
        <v>21.689180651530105</v>
      </c>
      <c r="AK32" s="2631" t="s">
        <v>52</v>
      </c>
      <c r="AL32" s="2645"/>
      <c r="AM32" s="2646"/>
      <c r="AN32" s="2633">
        <v>4</v>
      </c>
      <c r="AO32" s="2633">
        <f t="shared" si="4"/>
        <v>3.2</v>
      </c>
    </row>
    <row r="33" spans="1:41" ht="33.75" customHeight="1">
      <c r="A33" s="2644">
        <v>21</v>
      </c>
      <c r="B33" s="2644">
        <v>21</v>
      </c>
      <c r="C33" s="3241" t="str">
        <f>'Chấm công công nhân'!L33</f>
        <v>Thảo Chăn</v>
      </c>
      <c r="D33" s="3242">
        <v>0</v>
      </c>
      <c r="E33" s="3242">
        <v>0</v>
      </c>
      <c r="F33" s="3242">
        <v>0</v>
      </c>
      <c r="G33" s="3242">
        <v>0</v>
      </c>
      <c r="H33" s="3242">
        <v>0</v>
      </c>
      <c r="I33" s="3243">
        <v>0</v>
      </c>
      <c r="J33" s="3242">
        <v>0</v>
      </c>
      <c r="K33" s="3242">
        <v>0</v>
      </c>
      <c r="L33" s="3242">
        <v>0</v>
      </c>
      <c r="M33" s="3242">
        <v>0</v>
      </c>
      <c r="N33" s="3242">
        <v>0</v>
      </c>
      <c r="O33" s="3242">
        <v>0</v>
      </c>
      <c r="P33" s="3242">
        <v>0</v>
      </c>
      <c r="Q33" s="3242">
        <v>0</v>
      </c>
      <c r="R33" s="3242">
        <v>0</v>
      </c>
      <c r="S33" s="3242">
        <v>0</v>
      </c>
      <c r="T33" s="3242">
        <v>0</v>
      </c>
      <c r="U33" s="3242">
        <v>0</v>
      </c>
      <c r="V33" s="3242">
        <v>0</v>
      </c>
      <c r="W33" s="3242">
        <v>0</v>
      </c>
      <c r="X33" s="3242">
        <v>0</v>
      </c>
      <c r="Y33" s="3242">
        <v>0</v>
      </c>
      <c r="Z33" s="3242">
        <v>0</v>
      </c>
      <c r="AA33" s="3242">
        <v>45</v>
      </c>
      <c r="AB33" s="3242">
        <v>0</v>
      </c>
      <c r="AC33" s="3242">
        <v>46</v>
      </c>
      <c r="AD33" s="3242">
        <v>50</v>
      </c>
      <c r="AE33" s="3242">
        <v>0</v>
      </c>
      <c r="AF33" s="3242">
        <v>121</v>
      </c>
      <c r="AG33" s="3242">
        <v>0</v>
      </c>
      <c r="AH33" s="3242">
        <v>0</v>
      </c>
      <c r="AI33" s="3146">
        <f t="shared" si="2"/>
        <v>262</v>
      </c>
      <c r="AJ33" s="3146">
        <f t="shared" si="3"/>
        <v>142.06413326752218</v>
      </c>
      <c r="AK33" s="2631" t="s">
        <v>52</v>
      </c>
      <c r="AL33" s="2645"/>
      <c r="AM33" s="2646"/>
      <c r="AO33" s="2633">
        <f t="shared" si="4"/>
        <v>0</v>
      </c>
    </row>
    <row r="34" spans="1:41" ht="33.75" customHeight="1">
      <c r="A34" s="2644">
        <v>22</v>
      </c>
      <c r="B34" s="2644">
        <v>22</v>
      </c>
      <c r="C34" s="3241" t="str">
        <f>'Chấm công công nhân'!L34</f>
        <v>Thong La</v>
      </c>
      <c r="D34" s="3242">
        <v>0</v>
      </c>
      <c r="E34" s="3242">
        <v>0</v>
      </c>
      <c r="F34" s="3242">
        <v>0</v>
      </c>
      <c r="G34" s="3242">
        <v>0</v>
      </c>
      <c r="H34" s="3242">
        <v>0</v>
      </c>
      <c r="I34" s="3243">
        <v>0</v>
      </c>
      <c r="J34" s="3242">
        <v>0</v>
      </c>
      <c r="K34" s="3242">
        <v>0</v>
      </c>
      <c r="L34" s="3242">
        <v>0</v>
      </c>
      <c r="M34" s="3242">
        <v>0</v>
      </c>
      <c r="N34" s="3242">
        <v>0</v>
      </c>
      <c r="O34" s="3242">
        <v>0</v>
      </c>
      <c r="P34" s="3242">
        <v>0</v>
      </c>
      <c r="Q34" s="3242">
        <v>0</v>
      </c>
      <c r="R34" s="3242">
        <v>0</v>
      </c>
      <c r="S34" s="3242">
        <v>0</v>
      </c>
      <c r="T34" s="3242">
        <v>0</v>
      </c>
      <c r="U34" s="3242">
        <v>0</v>
      </c>
      <c r="V34" s="3242">
        <v>0</v>
      </c>
      <c r="W34" s="3242">
        <v>0</v>
      </c>
      <c r="X34" s="3242">
        <v>0</v>
      </c>
      <c r="Y34" s="3242">
        <v>0</v>
      </c>
      <c r="Z34" s="3242">
        <v>0</v>
      </c>
      <c r="AA34" s="3242">
        <v>58</v>
      </c>
      <c r="AB34" s="3242">
        <v>0</v>
      </c>
      <c r="AC34" s="3242">
        <v>75</v>
      </c>
      <c r="AD34" s="3242">
        <v>0</v>
      </c>
      <c r="AE34" s="3242">
        <v>0</v>
      </c>
      <c r="AF34" s="3242">
        <v>0</v>
      </c>
      <c r="AG34" s="3242">
        <v>0</v>
      </c>
      <c r="AH34" s="3242">
        <v>0</v>
      </c>
      <c r="AI34" s="3146">
        <f t="shared" si="2"/>
        <v>133</v>
      </c>
      <c r="AJ34" s="3146">
        <f t="shared" si="3"/>
        <v>72.116525666337594</v>
      </c>
      <c r="AK34" s="2631" t="s">
        <v>52</v>
      </c>
      <c r="AL34" s="2645"/>
      <c r="AM34" s="2646"/>
      <c r="AO34" s="2633">
        <f t="shared" si="4"/>
        <v>0</v>
      </c>
    </row>
    <row r="35" spans="1:41" ht="33.75" customHeight="1">
      <c r="A35" s="2644">
        <v>23</v>
      </c>
      <c r="B35" s="2644">
        <v>23</v>
      </c>
      <c r="C35" s="3241" t="str">
        <f>'Chấm công công nhân'!L35</f>
        <v>Thảo Cum Pha</v>
      </c>
      <c r="D35" s="3242">
        <v>0</v>
      </c>
      <c r="E35" s="3242">
        <v>0</v>
      </c>
      <c r="F35" s="3242">
        <v>0</v>
      </c>
      <c r="G35" s="3242">
        <v>0</v>
      </c>
      <c r="H35" s="3242">
        <v>0</v>
      </c>
      <c r="I35" s="3243">
        <v>0</v>
      </c>
      <c r="J35" s="3242">
        <v>0</v>
      </c>
      <c r="K35" s="3242">
        <v>0</v>
      </c>
      <c r="L35" s="3242">
        <v>0</v>
      </c>
      <c r="M35" s="3242">
        <v>0</v>
      </c>
      <c r="N35" s="3242">
        <v>0</v>
      </c>
      <c r="O35" s="3242">
        <v>0</v>
      </c>
      <c r="P35" s="3242">
        <v>0</v>
      </c>
      <c r="Q35" s="3242">
        <v>0</v>
      </c>
      <c r="R35" s="3242">
        <v>0</v>
      </c>
      <c r="S35" s="3242">
        <v>0</v>
      </c>
      <c r="T35" s="3242">
        <v>0</v>
      </c>
      <c r="U35" s="3242">
        <v>0</v>
      </c>
      <c r="V35" s="3242">
        <v>0</v>
      </c>
      <c r="W35" s="3242">
        <v>0</v>
      </c>
      <c r="X35" s="3242">
        <v>0</v>
      </c>
      <c r="Y35" s="3242">
        <v>0</v>
      </c>
      <c r="Z35" s="3242">
        <v>0</v>
      </c>
      <c r="AA35" s="3242">
        <v>0</v>
      </c>
      <c r="AB35" s="3242">
        <v>0</v>
      </c>
      <c r="AC35" s="3242">
        <v>21</v>
      </c>
      <c r="AD35" s="3242">
        <v>0</v>
      </c>
      <c r="AE35" s="3242">
        <v>0</v>
      </c>
      <c r="AF35" s="3242">
        <v>0</v>
      </c>
      <c r="AG35" s="3242">
        <v>0</v>
      </c>
      <c r="AH35" s="3242">
        <v>0</v>
      </c>
      <c r="AI35" s="3146">
        <f t="shared" si="2"/>
        <v>21</v>
      </c>
      <c r="AJ35" s="3146">
        <f t="shared" si="3"/>
        <v>11.386819842053303</v>
      </c>
      <c r="AK35" s="2631" t="s">
        <v>92</v>
      </c>
      <c r="AL35" s="2645"/>
      <c r="AM35" s="2646"/>
      <c r="AN35" s="2633">
        <v>4</v>
      </c>
      <c r="AO35" s="2633">
        <f t="shared" si="4"/>
        <v>3.2</v>
      </c>
    </row>
    <row r="36" spans="1:41" ht="33.75" customHeight="1">
      <c r="A36" s="2644">
        <v>24</v>
      </c>
      <c r="B36" s="2644">
        <v>24</v>
      </c>
      <c r="C36" s="3241" t="str">
        <f>'Chấm công công nhân'!L36</f>
        <v>T Ô Vên</v>
      </c>
      <c r="D36" s="3242">
        <v>0</v>
      </c>
      <c r="E36" s="3242">
        <v>0</v>
      </c>
      <c r="F36" s="3242">
        <v>0</v>
      </c>
      <c r="G36" s="3242">
        <v>0</v>
      </c>
      <c r="H36" s="3242">
        <v>0</v>
      </c>
      <c r="I36" s="3243">
        <v>0</v>
      </c>
      <c r="J36" s="3242">
        <v>0</v>
      </c>
      <c r="K36" s="3242">
        <v>0</v>
      </c>
      <c r="L36" s="3242">
        <v>0</v>
      </c>
      <c r="M36" s="3242">
        <v>0</v>
      </c>
      <c r="N36" s="3242">
        <v>0</v>
      </c>
      <c r="O36" s="3242">
        <v>0</v>
      </c>
      <c r="P36" s="3242">
        <v>0</v>
      </c>
      <c r="Q36" s="3242">
        <v>0</v>
      </c>
      <c r="R36" s="3242">
        <v>0</v>
      </c>
      <c r="S36" s="3242">
        <v>0</v>
      </c>
      <c r="T36" s="3242">
        <v>0</v>
      </c>
      <c r="U36" s="3242">
        <v>0</v>
      </c>
      <c r="V36" s="3242">
        <v>0</v>
      </c>
      <c r="W36" s="3242">
        <v>0</v>
      </c>
      <c r="X36" s="3242">
        <v>0</v>
      </c>
      <c r="Y36" s="3242">
        <v>0</v>
      </c>
      <c r="Z36" s="3242">
        <v>0</v>
      </c>
      <c r="AA36" s="3242">
        <v>0</v>
      </c>
      <c r="AB36" s="3242">
        <v>0</v>
      </c>
      <c r="AC36" s="3242">
        <v>46</v>
      </c>
      <c r="AD36" s="3242">
        <v>50</v>
      </c>
      <c r="AE36" s="3242">
        <v>69</v>
      </c>
      <c r="AF36" s="3242">
        <v>41</v>
      </c>
      <c r="AG36" s="3242">
        <v>0</v>
      </c>
      <c r="AH36" s="3242">
        <v>0</v>
      </c>
      <c r="AI36" s="3146">
        <f t="shared" si="2"/>
        <v>206</v>
      </c>
      <c r="AJ36" s="3146">
        <f t="shared" si="3"/>
        <v>111.69928035538004</v>
      </c>
      <c r="AK36" s="2631" t="s">
        <v>92</v>
      </c>
      <c r="AL36" s="2645"/>
      <c r="AM36" s="2646"/>
      <c r="AN36" s="2633">
        <v>4</v>
      </c>
      <c r="AO36" s="2633">
        <f t="shared" si="4"/>
        <v>3.2</v>
      </c>
    </row>
    <row r="37" spans="1:41" ht="33.75" customHeight="1">
      <c r="A37" s="2644">
        <v>25</v>
      </c>
      <c r="B37" s="2644">
        <v>25</v>
      </c>
      <c r="C37" s="3241" t="str">
        <f>'Chấm công công nhân'!L37</f>
        <v>Nàng Lam</v>
      </c>
      <c r="D37" s="3242">
        <v>0</v>
      </c>
      <c r="E37" s="3242">
        <v>0</v>
      </c>
      <c r="F37" s="3242">
        <v>0</v>
      </c>
      <c r="G37" s="3242">
        <v>0</v>
      </c>
      <c r="H37" s="3242">
        <v>0</v>
      </c>
      <c r="I37" s="3243">
        <v>0</v>
      </c>
      <c r="J37" s="3242">
        <v>0</v>
      </c>
      <c r="K37" s="3242">
        <v>0</v>
      </c>
      <c r="L37" s="3242">
        <v>0</v>
      </c>
      <c r="M37" s="3242">
        <v>0</v>
      </c>
      <c r="N37" s="3242">
        <v>0</v>
      </c>
      <c r="O37" s="3242">
        <v>0</v>
      </c>
      <c r="P37" s="3242">
        <v>0</v>
      </c>
      <c r="Q37" s="3242">
        <v>0</v>
      </c>
      <c r="R37" s="3242">
        <v>0</v>
      </c>
      <c r="S37" s="3242">
        <v>0</v>
      </c>
      <c r="T37" s="3242">
        <v>0</v>
      </c>
      <c r="U37" s="3242">
        <v>0</v>
      </c>
      <c r="V37" s="3242">
        <v>0</v>
      </c>
      <c r="W37" s="3242">
        <v>0</v>
      </c>
      <c r="X37" s="3242">
        <v>0</v>
      </c>
      <c r="Y37" s="3242">
        <v>0</v>
      </c>
      <c r="Z37" s="3242">
        <v>0</v>
      </c>
      <c r="AA37" s="3242">
        <v>130</v>
      </c>
      <c r="AB37" s="3242">
        <v>47</v>
      </c>
      <c r="AC37" s="3242">
        <v>16</v>
      </c>
      <c r="AD37" s="3242">
        <v>54</v>
      </c>
      <c r="AE37" s="3242">
        <v>0</v>
      </c>
      <c r="AF37" s="3242">
        <v>0</v>
      </c>
      <c r="AG37" s="3242">
        <v>0</v>
      </c>
      <c r="AH37" s="3242">
        <v>0</v>
      </c>
      <c r="AI37" s="3146">
        <f t="shared" si="2"/>
        <v>247</v>
      </c>
      <c r="AJ37" s="3146">
        <f t="shared" si="3"/>
        <v>133.93069052319839</v>
      </c>
      <c r="AK37" s="2631" t="s">
        <v>52</v>
      </c>
      <c r="AL37" s="2645"/>
      <c r="AM37" s="2646"/>
      <c r="AN37" s="2633">
        <v>4</v>
      </c>
      <c r="AO37" s="2633">
        <f t="shared" si="4"/>
        <v>3.2</v>
      </c>
    </row>
    <row r="38" spans="1:41" ht="33.75" customHeight="1">
      <c r="A38" s="2644">
        <v>26</v>
      </c>
      <c r="B38" s="2644">
        <v>26</v>
      </c>
      <c r="C38" s="3241" t="str">
        <f>'Chấm công công nhân'!L38</f>
        <v>Nàng Hđao</v>
      </c>
      <c r="D38" s="3242">
        <v>0</v>
      </c>
      <c r="E38" s="3242">
        <v>0</v>
      </c>
      <c r="F38" s="3242">
        <v>0</v>
      </c>
      <c r="G38" s="3242">
        <v>0</v>
      </c>
      <c r="H38" s="3242">
        <v>0</v>
      </c>
      <c r="I38" s="3243">
        <v>0</v>
      </c>
      <c r="J38" s="3242">
        <v>0</v>
      </c>
      <c r="K38" s="3242">
        <v>0</v>
      </c>
      <c r="L38" s="3242">
        <v>0</v>
      </c>
      <c r="M38" s="3242">
        <v>0</v>
      </c>
      <c r="N38" s="3242">
        <v>0</v>
      </c>
      <c r="O38" s="3242">
        <v>0</v>
      </c>
      <c r="P38" s="3242">
        <v>0</v>
      </c>
      <c r="Q38" s="3242">
        <v>0</v>
      </c>
      <c r="R38" s="3242">
        <v>0</v>
      </c>
      <c r="S38" s="3242">
        <v>0</v>
      </c>
      <c r="T38" s="3242">
        <v>0</v>
      </c>
      <c r="U38" s="3242">
        <v>0</v>
      </c>
      <c r="V38" s="3242">
        <v>0</v>
      </c>
      <c r="W38" s="3242">
        <v>0</v>
      </c>
      <c r="X38" s="3242">
        <v>0</v>
      </c>
      <c r="Y38" s="3242">
        <v>0</v>
      </c>
      <c r="Z38" s="3242">
        <v>0</v>
      </c>
      <c r="AA38" s="3242">
        <v>25</v>
      </c>
      <c r="AB38" s="3242">
        <v>23</v>
      </c>
      <c r="AC38" s="3242">
        <v>0</v>
      </c>
      <c r="AD38" s="3242">
        <v>0</v>
      </c>
      <c r="AE38" s="3242">
        <v>0</v>
      </c>
      <c r="AF38" s="3242">
        <v>0</v>
      </c>
      <c r="AG38" s="3242">
        <v>0</v>
      </c>
      <c r="AH38" s="3242">
        <v>0</v>
      </c>
      <c r="AI38" s="3146">
        <f t="shared" si="2"/>
        <v>48</v>
      </c>
      <c r="AJ38" s="3146">
        <f t="shared" si="3"/>
        <v>26.027016781836124</v>
      </c>
      <c r="AK38" s="2631" t="s">
        <v>92</v>
      </c>
      <c r="AL38" s="2645"/>
      <c r="AM38" s="2646"/>
      <c r="AN38" s="2633">
        <v>4</v>
      </c>
      <c r="AO38" s="2633">
        <f t="shared" si="4"/>
        <v>3.2</v>
      </c>
    </row>
    <row r="39" spans="1:41" ht="33.75" customHeight="1">
      <c r="A39" s="2644">
        <v>27</v>
      </c>
      <c r="B39" s="2644">
        <v>27</v>
      </c>
      <c r="C39" s="3241" t="str">
        <f>'Chấm công công nhân'!L39</f>
        <v>Thảo Tong</v>
      </c>
      <c r="D39" s="3242">
        <v>0</v>
      </c>
      <c r="E39" s="3242">
        <v>0</v>
      </c>
      <c r="F39" s="3242">
        <v>0</v>
      </c>
      <c r="G39" s="3242">
        <v>0</v>
      </c>
      <c r="H39" s="3242">
        <v>0</v>
      </c>
      <c r="I39" s="3243">
        <v>0</v>
      </c>
      <c r="J39" s="3242">
        <v>0</v>
      </c>
      <c r="K39" s="3242">
        <v>0</v>
      </c>
      <c r="L39" s="3242">
        <v>0</v>
      </c>
      <c r="M39" s="3242">
        <v>0</v>
      </c>
      <c r="N39" s="3242">
        <v>0</v>
      </c>
      <c r="O39" s="3242">
        <v>0</v>
      </c>
      <c r="P39" s="3242">
        <v>0</v>
      </c>
      <c r="Q39" s="3242">
        <v>0</v>
      </c>
      <c r="R39" s="3242">
        <v>0</v>
      </c>
      <c r="S39" s="3242">
        <v>0</v>
      </c>
      <c r="T39" s="3242">
        <v>0</v>
      </c>
      <c r="U39" s="3242">
        <v>0</v>
      </c>
      <c r="V39" s="3242">
        <v>0</v>
      </c>
      <c r="W39" s="3242">
        <v>0</v>
      </c>
      <c r="X39" s="3242">
        <v>0</v>
      </c>
      <c r="Y39" s="3242">
        <v>0</v>
      </c>
      <c r="Z39" s="3242">
        <v>0</v>
      </c>
      <c r="AA39" s="3242">
        <v>0</v>
      </c>
      <c r="AB39" s="3242">
        <v>0</v>
      </c>
      <c r="AC39" s="3242">
        <v>61</v>
      </c>
      <c r="AD39" s="3242">
        <v>57</v>
      </c>
      <c r="AE39" s="3242">
        <v>0</v>
      </c>
      <c r="AF39" s="3242">
        <v>0</v>
      </c>
      <c r="AG39" s="3242">
        <v>0</v>
      </c>
      <c r="AH39" s="3242">
        <v>0</v>
      </c>
      <c r="AI39" s="3146">
        <f t="shared" si="2"/>
        <v>118</v>
      </c>
      <c r="AJ39" s="3146">
        <f t="shared" si="3"/>
        <v>63.9830829220138</v>
      </c>
      <c r="AK39" s="2631" t="s">
        <v>92</v>
      </c>
      <c r="AL39" s="2645"/>
      <c r="AM39" s="2646"/>
      <c r="AN39" s="2633">
        <v>4</v>
      </c>
      <c r="AO39" s="2633">
        <f t="shared" si="4"/>
        <v>3.2</v>
      </c>
    </row>
    <row r="40" spans="1:41" ht="33.75" customHeight="1">
      <c r="A40" s="2644">
        <v>28</v>
      </c>
      <c r="B40" s="2644">
        <v>28</v>
      </c>
      <c r="C40" s="3241" t="str">
        <f>'Chấm công công nhân'!L40</f>
        <v>Thảo Khốc</v>
      </c>
      <c r="D40" s="3242">
        <v>0</v>
      </c>
      <c r="E40" s="3242">
        <v>0</v>
      </c>
      <c r="F40" s="3242">
        <v>0</v>
      </c>
      <c r="G40" s="3242">
        <v>0</v>
      </c>
      <c r="H40" s="3242">
        <v>0</v>
      </c>
      <c r="I40" s="3243">
        <v>0</v>
      </c>
      <c r="J40" s="3242">
        <v>0</v>
      </c>
      <c r="K40" s="3242">
        <v>0</v>
      </c>
      <c r="L40" s="3242">
        <v>0</v>
      </c>
      <c r="M40" s="3242">
        <v>0</v>
      </c>
      <c r="N40" s="3242">
        <v>0</v>
      </c>
      <c r="O40" s="3242">
        <v>0</v>
      </c>
      <c r="P40" s="3242">
        <v>0</v>
      </c>
      <c r="Q40" s="3242">
        <v>0</v>
      </c>
      <c r="R40" s="3242">
        <v>0</v>
      </c>
      <c r="S40" s="3242">
        <v>0</v>
      </c>
      <c r="T40" s="3242">
        <v>0</v>
      </c>
      <c r="U40" s="3242">
        <v>0</v>
      </c>
      <c r="V40" s="3242">
        <v>0</v>
      </c>
      <c r="W40" s="3242">
        <v>0</v>
      </c>
      <c r="X40" s="3242">
        <v>0</v>
      </c>
      <c r="Y40" s="3242">
        <v>0</v>
      </c>
      <c r="Z40" s="3242">
        <v>0</v>
      </c>
      <c r="AA40" s="3242">
        <v>0</v>
      </c>
      <c r="AB40" s="3242">
        <v>68</v>
      </c>
      <c r="AC40" s="3242">
        <v>74</v>
      </c>
      <c r="AD40" s="3242">
        <v>80</v>
      </c>
      <c r="AE40" s="3242">
        <v>97</v>
      </c>
      <c r="AF40" s="3242">
        <v>52</v>
      </c>
      <c r="AG40" s="3242">
        <v>56</v>
      </c>
      <c r="AH40" s="3242">
        <v>0</v>
      </c>
      <c r="AI40" s="3146">
        <f t="shared" si="2"/>
        <v>427</v>
      </c>
      <c r="AJ40" s="3146">
        <f t="shared" si="3"/>
        <v>231.53200345508384</v>
      </c>
      <c r="AK40" s="2631" t="s">
        <v>52</v>
      </c>
      <c r="AL40" s="2645"/>
      <c r="AM40" s="2646">
        <f t="shared" ref="AM40:AM48" si="6">IF(AJ40&gt;=3175,700000,IF(AJ40&gt;=2760,500000,IF(AJ40&gt;2400,300000,IF(AJ40&gt;=2400,0,0))))</f>
        <v>0</v>
      </c>
      <c r="AN40" s="2633">
        <v>4</v>
      </c>
      <c r="AO40" s="2633">
        <f t="shared" si="4"/>
        <v>3.2</v>
      </c>
    </row>
    <row r="41" spans="1:41" ht="33.75" customHeight="1">
      <c r="A41" s="2644">
        <v>29</v>
      </c>
      <c r="B41" s="2644">
        <v>29</v>
      </c>
      <c r="C41" s="3241" t="str">
        <f>'Chấm công công nhân'!L41</f>
        <v>Thảo Sợt</v>
      </c>
      <c r="D41" s="3242">
        <v>0</v>
      </c>
      <c r="E41" s="3242">
        <v>0</v>
      </c>
      <c r="F41" s="3242">
        <v>0</v>
      </c>
      <c r="G41" s="3242">
        <v>0</v>
      </c>
      <c r="H41" s="3242">
        <v>0</v>
      </c>
      <c r="I41" s="3243">
        <v>0</v>
      </c>
      <c r="J41" s="3242">
        <v>0</v>
      </c>
      <c r="K41" s="3242">
        <v>0</v>
      </c>
      <c r="L41" s="3242">
        <v>0</v>
      </c>
      <c r="M41" s="3242">
        <v>0</v>
      </c>
      <c r="N41" s="3242">
        <v>0</v>
      </c>
      <c r="O41" s="3242">
        <v>0</v>
      </c>
      <c r="P41" s="3242">
        <v>0</v>
      </c>
      <c r="Q41" s="3242">
        <v>0</v>
      </c>
      <c r="R41" s="3242">
        <v>0</v>
      </c>
      <c r="S41" s="3242">
        <v>0</v>
      </c>
      <c r="T41" s="3242">
        <v>0</v>
      </c>
      <c r="U41" s="3242">
        <v>0</v>
      </c>
      <c r="V41" s="3242">
        <v>0</v>
      </c>
      <c r="W41" s="3242">
        <v>0</v>
      </c>
      <c r="X41" s="3242">
        <v>0</v>
      </c>
      <c r="Y41" s="3242">
        <v>0</v>
      </c>
      <c r="Z41" s="3242">
        <v>0</v>
      </c>
      <c r="AA41" s="3242">
        <v>0</v>
      </c>
      <c r="AB41" s="3242">
        <v>69</v>
      </c>
      <c r="AC41" s="3242">
        <v>74</v>
      </c>
      <c r="AD41" s="3242">
        <v>81</v>
      </c>
      <c r="AE41" s="3242">
        <v>98</v>
      </c>
      <c r="AF41" s="3242">
        <v>52</v>
      </c>
      <c r="AG41" s="3242">
        <v>56</v>
      </c>
      <c r="AH41" s="3242">
        <v>0</v>
      </c>
      <c r="AI41" s="3146">
        <f t="shared" si="2"/>
        <v>430</v>
      </c>
      <c r="AJ41" s="3146">
        <f t="shared" si="3"/>
        <v>233.1586920039486</v>
      </c>
      <c r="AK41" s="2631" t="s">
        <v>92</v>
      </c>
      <c r="AL41" s="2645"/>
      <c r="AM41" s="2646">
        <f t="shared" si="6"/>
        <v>0</v>
      </c>
      <c r="AN41" s="2633">
        <v>4</v>
      </c>
      <c r="AO41" s="2633">
        <f t="shared" si="4"/>
        <v>3.2</v>
      </c>
    </row>
    <row r="42" spans="1:41" ht="33.75" customHeight="1">
      <c r="A42" s="2644">
        <v>30</v>
      </c>
      <c r="B42" s="2644">
        <v>30</v>
      </c>
      <c r="C42" s="3241" t="str">
        <f>'Chấm công công nhân'!L42</f>
        <v>Thảo Văn</v>
      </c>
      <c r="D42" s="3242">
        <v>0</v>
      </c>
      <c r="E42" s="3242">
        <v>0</v>
      </c>
      <c r="F42" s="3242">
        <v>0</v>
      </c>
      <c r="G42" s="3242">
        <v>0</v>
      </c>
      <c r="H42" s="3242">
        <v>0</v>
      </c>
      <c r="I42" s="3243">
        <v>0</v>
      </c>
      <c r="J42" s="3242">
        <v>0</v>
      </c>
      <c r="K42" s="3242">
        <v>0</v>
      </c>
      <c r="L42" s="3242">
        <v>0</v>
      </c>
      <c r="M42" s="3242">
        <v>0</v>
      </c>
      <c r="N42" s="3242">
        <v>0</v>
      </c>
      <c r="O42" s="3242">
        <v>0</v>
      </c>
      <c r="P42" s="3242">
        <v>0</v>
      </c>
      <c r="Q42" s="3242">
        <v>0</v>
      </c>
      <c r="R42" s="3242">
        <v>0</v>
      </c>
      <c r="S42" s="3242">
        <v>0</v>
      </c>
      <c r="T42" s="3242">
        <v>0</v>
      </c>
      <c r="U42" s="3242">
        <v>0</v>
      </c>
      <c r="V42" s="3242">
        <v>0</v>
      </c>
      <c r="W42" s="3242">
        <v>0</v>
      </c>
      <c r="X42" s="3242">
        <v>0</v>
      </c>
      <c r="Y42" s="3242">
        <v>0</v>
      </c>
      <c r="Z42" s="3242">
        <v>0</v>
      </c>
      <c r="AA42" s="3242">
        <v>0</v>
      </c>
      <c r="AB42" s="3242">
        <v>0</v>
      </c>
      <c r="AC42" s="3242">
        <v>0</v>
      </c>
      <c r="AD42" s="3242">
        <v>0</v>
      </c>
      <c r="AE42" s="3242">
        <v>0</v>
      </c>
      <c r="AF42" s="3242">
        <v>0</v>
      </c>
      <c r="AG42" s="3242">
        <v>0</v>
      </c>
      <c r="AH42" s="3242">
        <v>0</v>
      </c>
      <c r="AI42" s="3146">
        <f t="shared" si="2"/>
        <v>0</v>
      </c>
      <c r="AJ42" s="3146">
        <f t="shared" si="3"/>
        <v>0</v>
      </c>
      <c r="AK42" s="2631" t="s">
        <v>53</v>
      </c>
      <c r="AL42" s="2645"/>
      <c r="AM42" s="2646">
        <f t="shared" si="6"/>
        <v>0</v>
      </c>
      <c r="AO42" s="2633">
        <f t="shared" si="4"/>
        <v>0</v>
      </c>
    </row>
    <row r="43" spans="1:41" ht="33.75" customHeight="1">
      <c r="A43" s="2644">
        <v>31</v>
      </c>
      <c r="B43" s="2644">
        <v>31</v>
      </c>
      <c r="C43" s="3241" t="str">
        <f>'Chấm công công nhân'!L43</f>
        <v>Nàng Túc</v>
      </c>
      <c r="D43" s="3242">
        <v>0</v>
      </c>
      <c r="E43" s="3242">
        <v>0</v>
      </c>
      <c r="F43" s="3242">
        <v>0</v>
      </c>
      <c r="G43" s="3242">
        <v>0</v>
      </c>
      <c r="H43" s="3242">
        <v>0</v>
      </c>
      <c r="I43" s="3243">
        <v>0</v>
      </c>
      <c r="J43" s="3242">
        <v>0</v>
      </c>
      <c r="K43" s="3242">
        <v>0</v>
      </c>
      <c r="L43" s="3242">
        <v>0</v>
      </c>
      <c r="M43" s="3242">
        <v>0</v>
      </c>
      <c r="N43" s="3242">
        <v>0</v>
      </c>
      <c r="O43" s="3242">
        <v>0</v>
      </c>
      <c r="P43" s="3242">
        <v>0</v>
      </c>
      <c r="Q43" s="3242">
        <v>0</v>
      </c>
      <c r="R43" s="3242">
        <v>0</v>
      </c>
      <c r="S43" s="3242">
        <v>0</v>
      </c>
      <c r="T43" s="3242">
        <v>0</v>
      </c>
      <c r="U43" s="3242">
        <v>0</v>
      </c>
      <c r="V43" s="3242">
        <v>0</v>
      </c>
      <c r="W43" s="3242">
        <v>0</v>
      </c>
      <c r="X43" s="3242">
        <v>0</v>
      </c>
      <c r="Y43" s="3242">
        <v>0</v>
      </c>
      <c r="Z43" s="3242">
        <v>0</v>
      </c>
      <c r="AA43" s="3242">
        <v>0</v>
      </c>
      <c r="AB43" s="3242">
        <v>0</v>
      </c>
      <c r="AC43" s="3242">
        <v>47</v>
      </c>
      <c r="AD43" s="3242">
        <v>50</v>
      </c>
      <c r="AE43" s="3242">
        <v>70</v>
      </c>
      <c r="AF43" s="3242">
        <v>42</v>
      </c>
      <c r="AG43" s="3242">
        <v>0</v>
      </c>
      <c r="AH43" s="3242">
        <v>0</v>
      </c>
      <c r="AI43" s="3146">
        <f t="shared" si="2"/>
        <v>209</v>
      </c>
      <c r="AJ43" s="3146">
        <f t="shared" si="3"/>
        <v>113.32596890424479</v>
      </c>
      <c r="AK43" s="2631" t="s">
        <v>52</v>
      </c>
      <c r="AL43" s="2645"/>
      <c r="AM43" s="2646">
        <f t="shared" si="6"/>
        <v>0</v>
      </c>
      <c r="AN43" s="2633">
        <v>4</v>
      </c>
      <c r="AO43" s="2633">
        <f t="shared" si="4"/>
        <v>3.2</v>
      </c>
    </row>
    <row r="44" spans="1:41" ht="33.75" customHeight="1">
      <c r="A44" s="2644">
        <v>32</v>
      </c>
      <c r="B44" s="2644">
        <v>32</v>
      </c>
      <c r="C44" s="3241" t="str">
        <f>'Chấm công công nhân'!L44</f>
        <v>Nàng Chon</v>
      </c>
      <c r="D44" s="3242">
        <v>0</v>
      </c>
      <c r="E44" s="3242">
        <v>0</v>
      </c>
      <c r="F44" s="3242">
        <v>0</v>
      </c>
      <c r="G44" s="3242">
        <v>0</v>
      </c>
      <c r="H44" s="3242">
        <v>0</v>
      </c>
      <c r="I44" s="3243">
        <v>0</v>
      </c>
      <c r="J44" s="3242">
        <v>0</v>
      </c>
      <c r="K44" s="3242">
        <v>0</v>
      </c>
      <c r="L44" s="3242">
        <v>0</v>
      </c>
      <c r="M44" s="3242">
        <v>0</v>
      </c>
      <c r="N44" s="3242">
        <v>0</v>
      </c>
      <c r="O44" s="3242">
        <v>0</v>
      </c>
      <c r="P44" s="3242">
        <v>0</v>
      </c>
      <c r="Q44" s="3242">
        <v>0</v>
      </c>
      <c r="R44" s="3242">
        <v>0</v>
      </c>
      <c r="S44" s="3242">
        <v>0</v>
      </c>
      <c r="T44" s="3242">
        <v>0</v>
      </c>
      <c r="U44" s="3242">
        <v>0</v>
      </c>
      <c r="V44" s="3242">
        <v>0</v>
      </c>
      <c r="W44" s="3242">
        <v>0</v>
      </c>
      <c r="X44" s="3242">
        <v>0</v>
      </c>
      <c r="Y44" s="3242">
        <v>0</v>
      </c>
      <c r="Z44" s="3242">
        <v>0</v>
      </c>
      <c r="AA44" s="3242">
        <v>0</v>
      </c>
      <c r="AB44" s="3242">
        <v>0</v>
      </c>
      <c r="AC44" s="3242">
        <v>76</v>
      </c>
      <c r="AD44" s="3242">
        <v>63</v>
      </c>
      <c r="AE44" s="3242">
        <v>90</v>
      </c>
      <c r="AF44" s="3242">
        <v>77</v>
      </c>
      <c r="AG44" s="3242">
        <v>0</v>
      </c>
      <c r="AH44" s="3242">
        <v>0</v>
      </c>
      <c r="AI44" s="3146">
        <f t="shared" si="2"/>
        <v>306</v>
      </c>
      <c r="AJ44" s="3146">
        <f t="shared" si="3"/>
        <v>165.92223198420527</v>
      </c>
      <c r="AK44" s="2631" t="s">
        <v>92</v>
      </c>
      <c r="AL44" s="2645"/>
      <c r="AM44" s="2646">
        <f t="shared" si="6"/>
        <v>0</v>
      </c>
      <c r="AN44" s="2633">
        <v>4</v>
      </c>
      <c r="AO44" s="2633">
        <f t="shared" si="4"/>
        <v>3.2</v>
      </c>
    </row>
    <row r="45" spans="1:41" ht="33.75" customHeight="1">
      <c r="A45" s="2644">
        <v>33</v>
      </c>
      <c r="B45" s="2644">
        <v>33</v>
      </c>
      <c r="C45" s="3241" t="str">
        <f>'Chấm công công nhân'!L45</f>
        <v>Thảo Hơ Phơ</v>
      </c>
      <c r="D45" s="3242">
        <v>0</v>
      </c>
      <c r="E45" s="3242">
        <v>0</v>
      </c>
      <c r="F45" s="3242">
        <v>0</v>
      </c>
      <c r="G45" s="3242">
        <v>0</v>
      </c>
      <c r="H45" s="3242">
        <v>0</v>
      </c>
      <c r="I45" s="3243">
        <v>0</v>
      </c>
      <c r="J45" s="3242">
        <v>0</v>
      </c>
      <c r="K45" s="3242">
        <v>0</v>
      </c>
      <c r="L45" s="3242">
        <v>0</v>
      </c>
      <c r="M45" s="3242">
        <v>0</v>
      </c>
      <c r="N45" s="3242">
        <v>0</v>
      </c>
      <c r="O45" s="3242">
        <v>0</v>
      </c>
      <c r="P45" s="3242">
        <v>0</v>
      </c>
      <c r="Q45" s="3242">
        <v>0</v>
      </c>
      <c r="R45" s="3242">
        <v>0</v>
      </c>
      <c r="S45" s="3242">
        <v>0</v>
      </c>
      <c r="T45" s="3242">
        <v>0</v>
      </c>
      <c r="U45" s="3242">
        <v>0</v>
      </c>
      <c r="V45" s="3242">
        <v>0</v>
      </c>
      <c r="W45" s="3242">
        <v>0</v>
      </c>
      <c r="X45" s="3242">
        <v>0</v>
      </c>
      <c r="Y45" s="3242">
        <v>0</v>
      </c>
      <c r="Z45" s="3242">
        <v>0</v>
      </c>
      <c r="AA45" s="3242">
        <v>0</v>
      </c>
      <c r="AB45" s="3242">
        <v>0</v>
      </c>
      <c r="AC45" s="3242">
        <v>76</v>
      </c>
      <c r="AD45" s="3242">
        <v>63</v>
      </c>
      <c r="AE45" s="3242">
        <v>90</v>
      </c>
      <c r="AF45" s="3242">
        <v>78</v>
      </c>
      <c r="AG45" s="3242">
        <v>0</v>
      </c>
      <c r="AH45" s="3242">
        <v>0</v>
      </c>
      <c r="AI45" s="3146">
        <f t="shared" si="2"/>
        <v>307</v>
      </c>
      <c r="AJ45" s="3146">
        <f t="shared" si="3"/>
        <v>166.46446150049351</v>
      </c>
      <c r="AK45" s="2631" t="s">
        <v>52</v>
      </c>
      <c r="AL45" s="2645"/>
      <c r="AM45" s="2646">
        <f t="shared" si="6"/>
        <v>0</v>
      </c>
      <c r="AN45" s="2633">
        <v>4</v>
      </c>
      <c r="AO45" s="2633">
        <f t="shared" si="4"/>
        <v>3.2</v>
      </c>
    </row>
    <row r="46" spans="1:41" ht="33.75" customHeight="1">
      <c r="A46" s="2644">
        <v>34</v>
      </c>
      <c r="B46" s="2644">
        <v>34</v>
      </c>
      <c r="C46" s="3241" t="str">
        <f>'Chấm công công nhân'!L46</f>
        <v>Thảo Phét</v>
      </c>
      <c r="D46" s="3242">
        <v>0</v>
      </c>
      <c r="E46" s="3242">
        <v>0</v>
      </c>
      <c r="F46" s="3242">
        <v>0</v>
      </c>
      <c r="G46" s="3242">
        <v>0</v>
      </c>
      <c r="H46" s="3242">
        <v>0</v>
      </c>
      <c r="I46" s="3243">
        <v>0</v>
      </c>
      <c r="J46" s="3242">
        <v>0</v>
      </c>
      <c r="K46" s="3242">
        <v>0</v>
      </c>
      <c r="L46" s="3242">
        <v>0</v>
      </c>
      <c r="M46" s="3242">
        <v>0</v>
      </c>
      <c r="N46" s="3242">
        <v>0</v>
      </c>
      <c r="O46" s="3242">
        <v>0</v>
      </c>
      <c r="P46" s="3242">
        <v>0</v>
      </c>
      <c r="Q46" s="3242">
        <v>0</v>
      </c>
      <c r="R46" s="3242">
        <v>0</v>
      </c>
      <c r="S46" s="3242">
        <v>0</v>
      </c>
      <c r="T46" s="3242">
        <v>0</v>
      </c>
      <c r="U46" s="3242">
        <v>0</v>
      </c>
      <c r="V46" s="3242">
        <v>0</v>
      </c>
      <c r="W46" s="3242">
        <v>0</v>
      </c>
      <c r="X46" s="3242">
        <v>0</v>
      </c>
      <c r="Y46" s="3242">
        <v>0</v>
      </c>
      <c r="Z46" s="3242">
        <v>0</v>
      </c>
      <c r="AA46" s="3242">
        <v>77</v>
      </c>
      <c r="AB46" s="3242">
        <v>97</v>
      </c>
      <c r="AC46" s="3242">
        <v>106</v>
      </c>
      <c r="AD46" s="3242">
        <v>31</v>
      </c>
      <c r="AE46" s="3242">
        <v>0</v>
      </c>
      <c r="AF46" s="3242">
        <v>0</v>
      </c>
      <c r="AG46" s="3242">
        <v>0</v>
      </c>
      <c r="AH46" s="3242">
        <v>0</v>
      </c>
      <c r="AI46" s="3146">
        <f t="shared" si="2"/>
        <v>311</v>
      </c>
      <c r="AJ46" s="3146">
        <f t="shared" si="3"/>
        <v>168.63337956564655</v>
      </c>
      <c r="AK46" s="2631" t="s">
        <v>52</v>
      </c>
      <c r="AL46" s="2645"/>
      <c r="AM46" s="2646">
        <f t="shared" si="6"/>
        <v>0</v>
      </c>
      <c r="AN46" s="2633">
        <v>4</v>
      </c>
      <c r="AO46" s="2633">
        <f t="shared" si="4"/>
        <v>3.2</v>
      </c>
    </row>
    <row r="47" spans="1:41" ht="33.75" customHeight="1">
      <c r="A47" s="2644">
        <v>35</v>
      </c>
      <c r="B47" s="2644">
        <v>35</v>
      </c>
      <c r="C47" s="3241" t="str">
        <f>'Chấm công công nhân'!L47</f>
        <v>Hăn</v>
      </c>
      <c r="D47" s="3242">
        <v>0</v>
      </c>
      <c r="E47" s="3242">
        <v>0</v>
      </c>
      <c r="F47" s="3242">
        <v>0</v>
      </c>
      <c r="G47" s="3242">
        <v>0</v>
      </c>
      <c r="H47" s="3242">
        <v>0</v>
      </c>
      <c r="I47" s="3243">
        <v>0</v>
      </c>
      <c r="J47" s="3242">
        <v>0</v>
      </c>
      <c r="K47" s="3242">
        <v>0</v>
      </c>
      <c r="L47" s="3242">
        <v>0</v>
      </c>
      <c r="M47" s="3242">
        <v>0</v>
      </c>
      <c r="N47" s="3242">
        <v>0</v>
      </c>
      <c r="O47" s="3242">
        <v>0</v>
      </c>
      <c r="P47" s="3242">
        <v>0</v>
      </c>
      <c r="Q47" s="3242">
        <v>0</v>
      </c>
      <c r="R47" s="3242">
        <v>0</v>
      </c>
      <c r="S47" s="3242">
        <v>0</v>
      </c>
      <c r="T47" s="3242">
        <v>0</v>
      </c>
      <c r="U47" s="3242">
        <v>0</v>
      </c>
      <c r="V47" s="3242">
        <v>0</v>
      </c>
      <c r="W47" s="3242">
        <v>0</v>
      </c>
      <c r="X47" s="3242">
        <v>0</v>
      </c>
      <c r="Y47" s="3242">
        <v>0</v>
      </c>
      <c r="Z47" s="3242">
        <v>0</v>
      </c>
      <c r="AA47" s="3242">
        <v>25</v>
      </c>
      <c r="AB47" s="3242">
        <v>22</v>
      </c>
      <c r="AC47" s="3242">
        <v>0</v>
      </c>
      <c r="AD47" s="3242">
        <v>0</v>
      </c>
      <c r="AE47" s="3242">
        <v>0</v>
      </c>
      <c r="AF47" s="3242">
        <v>0</v>
      </c>
      <c r="AG47" s="3242">
        <v>0</v>
      </c>
      <c r="AH47" s="3242">
        <v>0</v>
      </c>
      <c r="AI47" s="3146">
        <f t="shared" si="2"/>
        <v>47</v>
      </c>
      <c r="AJ47" s="3146">
        <f t="shared" si="3"/>
        <v>25.484787265547869</v>
      </c>
      <c r="AK47" s="2631" t="s">
        <v>52</v>
      </c>
      <c r="AL47" s="2645"/>
      <c r="AM47" s="2646">
        <f t="shared" si="6"/>
        <v>0</v>
      </c>
      <c r="AO47" s="2633">
        <f t="shared" si="4"/>
        <v>0</v>
      </c>
    </row>
    <row r="48" spans="1:41" ht="33.75" customHeight="1">
      <c r="A48" s="2644">
        <v>36</v>
      </c>
      <c r="B48" s="2644">
        <v>36</v>
      </c>
      <c r="C48" s="3241" t="str">
        <f>'Chấm công công nhân'!L48</f>
        <v>Thảo Tuỳ</v>
      </c>
      <c r="D48" s="3242">
        <v>0</v>
      </c>
      <c r="E48" s="3242">
        <v>0</v>
      </c>
      <c r="F48" s="3242">
        <v>0</v>
      </c>
      <c r="G48" s="3242">
        <v>0</v>
      </c>
      <c r="H48" s="3242">
        <v>0</v>
      </c>
      <c r="I48" s="3243">
        <v>0</v>
      </c>
      <c r="J48" s="3242">
        <v>0</v>
      </c>
      <c r="K48" s="3242">
        <v>0</v>
      </c>
      <c r="L48" s="3242">
        <v>0</v>
      </c>
      <c r="M48" s="3242">
        <v>0</v>
      </c>
      <c r="N48" s="3242">
        <v>0</v>
      </c>
      <c r="O48" s="3242">
        <v>0</v>
      </c>
      <c r="P48" s="3242">
        <v>0</v>
      </c>
      <c r="Q48" s="3242">
        <v>0</v>
      </c>
      <c r="R48" s="3242">
        <v>0</v>
      </c>
      <c r="S48" s="3242">
        <v>0</v>
      </c>
      <c r="T48" s="3242">
        <v>0</v>
      </c>
      <c r="U48" s="3242">
        <v>0</v>
      </c>
      <c r="V48" s="3242">
        <v>0</v>
      </c>
      <c r="W48" s="3242">
        <v>0</v>
      </c>
      <c r="X48" s="3242">
        <v>0</v>
      </c>
      <c r="Y48" s="3242">
        <v>0</v>
      </c>
      <c r="Z48" s="3242">
        <v>0</v>
      </c>
      <c r="AA48" s="3242">
        <v>0</v>
      </c>
      <c r="AB48" s="3242">
        <v>0</v>
      </c>
      <c r="AC48" s="3242">
        <v>73</v>
      </c>
      <c r="AD48" s="3242">
        <v>62</v>
      </c>
      <c r="AE48" s="3242">
        <v>112</v>
      </c>
      <c r="AF48" s="3242">
        <v>101</v>
      </c>
      <c r="AG48" s="3242">
        <v>0</v>
      </c>
      <c r="AH48" s="3242">
        <v>0</v>
      </c>
      <c r="AI48" s="3146">
        <f t="shared" si="2"/>
        <v>348</v>
      </c>
      <c r="AJ48" s="3146">
        <f t="shared" si="3"/>
        <v>188.6958716683119</v>
      </c>
      <c r="AK48" s="2631" t="s">
        <v>52</v>
      </c>
      <c r="AL48" s="2645"/>
      <c r="AM48" s="2646">
        <f t="shared" si="6"/>
        <v>0</v>
      </c>
      <c r="AN48" s="2633">
        <v>4</v>
      </c>
      <c r="AO48" s="2633">
        <f t="shared" si="4"/>
        <v>3.2</v>
      </c>
    </row>
    <row r="49" spans="1:50" ht="33.75" customHeight="1">
      <c r="A49" s="2644">
        <v>37</v>
      </c>
      <c r="B49" s="2644">
        <v>37</v>
      </c>
      <c r="C49" s="3241" t="str">
        <f>'Chấm công công nhân'!L49</f>
        <v>Thảo Đa Văn</v>
      </c>
      <c r="D49" s="3242">
        <v>0</v>
      </c>
      <c r="E49" s="3242">
        <v>0</v>
      </c>
      <c r="F49" s="3242">
        <v>0</v>
      </c>
      <c r="G49" s="3242">
        <v>0</v>
      </c>
      <c r="H49" s="3242">
        <v>0</v>
      </c>
      <c r="I49" s="3243">
        <v>0</v>
      </c>
      <c r="J49" s="3242">
        <v>0</v>
      </c>
      <c r="K49" s="3242">
        <v>0</v>
      </c>
      <c r="L49" s="3242">
        <v>0</v>
      </c>
      <c r="M49" s="3242">
        <v>0</v>
      </c>
      <c r="N49" s="3242">
        <v>0</v>
      </c>
      <c r="O49" s="3242">
        <v>0</v>
      </c>
      <c r="P49" s="3242">
        <v>0</v>
      </c>
      <c r="Q49" s="3242">
        <v>0</v>
      </c>
      <c r="R49" s="3242">
        <v>0</v>
      </c>
      <c r="S49" s="3242">
        <v>0</v>
      </c>
      <c r="T49" s="3242">
        <v>0</v>
      </c>
      <c r="U49" s="3242">
        <v>0</v>
      </c>
      <c r="V49" s="3242">
        <v>0</v>
      </c>
      <c r="W49" s="3242">
        <v>0</v>
      </c>
      <c r="X49" s="3242">
        <v>0</v>
      </c>
      <c r="Y49" s="3242">
        <v>0</v>
      </c>
      <c r="Z49" s="3242">
        <v>0</v>
      </c>
      <c r="AA49" s="3242">
        <v>0</v>
      </c>
      <c r="AB49" s="3242">
        <v>0</v>
      </c>
      <c r="AC49" s="3242">
        <v>0</v>
      </c>
      <c r="AD49" s="3242">
        <v>0</v>
      </c>
      <c r="AE49" s="3242">
        <v>0</v>
      </c>
      <c r="AF49" s="3242">
        <v>0</v>
      </c>
      <c r="AG49" s="3242">
        <v>0</v>
      </c>
      <c r="AH49" s="3242">
        <v>0</v>
      </c>
      <c r="AI49" s="3146">
        <f t="shared" si="2"/>
        <v>0</v>
      </c>
      <c r="AJ49" s="3146">
        <f t="shared" si="3"/>
        <v>0</v>
      </c>
      <c r="AK49" s="2631" t="s">
        <v>92</v>
      </c>
      <c r="AL49" s="2645"/>
      <c r="AM49" s="2646"/>
    </row>
    <row r="50" spans="1:50" s="2643" customFormat="1" ht="33.75" customHeight="1">
      <c r="A50" s="2649" t="s">
        <v>92</v>
      </c>
      <c r="B50" s="3979" t="s">
        <v>322</v>
      </c>
      <c r="C50" s="3979"/>
      <c r="D50" s="3240">
        <f>SUM(D51:D69)</f>
        <v>0</v>
      </c>
      <c r="E50" s="3240">
        <f t="shared" ref="E50:AH50" si="7">SUM(E51:E69)</f>
        <v>0</v>
      </c>
      <c r="F50" s="3240">
        <f t="shared" si="7"/>
        <v>0</v>
      </c>
      <c r="G50" s="3240">
        <f t="shared" si="7"/>
        <v>0</v>
      </c>
      <c r="H50" s="3240">
        <f t="shared" si="7"/>
        <v>0</v>
      </c>
      <c r="I50" s="3240">
        <f t="shared" si="7"/>
        <v>0</v>
      </c>
      <c r="J50" s="3240">
        <f t="shared" si="7"/>
        <v>0</v>
      </c>
      <c r="K50" s="3240">
        <f t="shared" si="7"/>
        <v>0</v>
      </c>
      <c r="L50" s="3240">
        <f t="shared" si="7"/>
        <v>0</v>
      </c>
      <c r="M50" s="3240">
        <f t="shared" si="7"/>
        <v>0</v>
      </c>
      <c r="N50" s="3240">
        <f t="shared" si="7"/>
        <v>0</v>
      </c>
      <c r="O50" s="3240">
        <f t="shared" si="7"/>
        <v>0</v>
      </c>
      <c r="P50" s="3240">
        <f t="shared" si="7"/>
        <v>0</v>
      </c>
      <c r="Q50" s="3240">
        <f t="shared" si="7"/>
        <v>0</v>
      </c>
      <c r="R50" s="3240">
        <f t="shared" si="7"/>
        <v>0</v>
      </c>
      <c r="S50" s="3240">
        <f t="shared" si="7"/>
        <v>0</v>
      </c>
      <c r="T50" s="3240">
        <f t="shared" si="7"/>
        <v>0</v>
      </c>
      <c r="U50" s="3240">
        <f t="shared" si="7"/>
        <v>0</v>
      </c>
      <c r="V50" s="3240">
        <f t="shared" si="7"/>
        <v>0</v>
      </c>
      <c r="W50" s="3240">
        <f t="shared" si="7"/>
        <v>0</v>
      </c>
      <c r="X50" s="3240">
        <f t="shared" si="7"/>
        <v>0</v>
      </c>
      <c r="Y50" s="3240">
        <f t="shared" si="7"/>
        <v>0</v>
      </c>
      <c r="Z50" s="3240">
        <f t="shared" si="7"/>
        <v>0</v>
      </c>
      <c r="AA50" s="3240">
        <f t="shared" si="7"/>
        <v>0</v>
      </c>
      <c r="AB50" s="3240">
        <f t="shared" si="7"/>
        <v>0</v>
      </c>
      <c r="AC50" s="3240">
        <f t="shared" si="7"/>
        <v>0</v>
      </c>
      <c r="AD50" s="3240">
        <f t="shared" si="7"/>
        <v>0</v>
      </c>
      <c r="AE50" s="3240">
        <f t="shared" si="7"/>
        <v>798</v>
      </c>
      <c r="AF50" s="3240">
        <f t="shared" si="7"/>
        <v>752</v>
      </c>
      <c r="AG50" s="3240">
        <f t="shared" si="7"/>
        <v>943</v>
      </c>
      <c r="AH50" s="3240">
        <f t="shared" si="7"/>
        <v>0</v>
      </c>
      <c r="AI50" s="3240">
        <f>SUM(AI51:AI69)</f>
        <v>2493</v>
      </c>
      <c r="AJ50" s="3245">
        <f>SUM(AJ51:AJ69)</f>
        <v>1327.2060000000001</v>
      </c>
      <c r="AK50" s="2630"/>
      <c r="AL50" s="2645"/>
      <c r="AM50" s="2650"/>
      <c r="AN50" s="2643">
        <f>SUM(AN13:AN48)</f>
        <v>96</v>
      </c>
      <c r="AO50" s="2643">
        <f>SUM(AO13:AO48)</f>
        <v>76.80000000000004</v>
      </c>
      <c r="AX50" s="3246"/>
    </row>
    <row r="51" spans="1:50" ht="33.75" customHeight="1">
      <c r="A51" s="2644">
        <v>38</v>
      </c>
      <c r="B51" s="2644">
        <v>1</v>
      </c>
      <c r="C51" s="3247" t="str">
        <f>'Chấm công công nhân'!L51</f>
        <v>Thảo Xa Đết</v>
      </c>
      <c r="D51" s="3242">
        <v>0</v>
      </c>
      <c r="E51" s="3242">
        <v>0</v>
      </c>
      <c r="F51" s="3242">
        <v>0</v>
      </c>
      <c r="G51" s="3242">
        <v>0</v>
      </c>
      <c r="H51" s="3242">
        <v>0</v>
      </c>
      <c r="I51" s="3242">
        <v>0</v>
      </c>
      <c r="J51" s="3242">
        <v>0</v>
      </c>
      <c r="K51" s="3242">
        <v>0</v>
      </c>
      <c r="L51" s="3242">
        <v>0</v>
      </c>
      <c r="M51" s="3242">
        <v>0</v>
      </c>
      <c r="N51" s="3242">
        <v>0</v>
      </c>
      <c r="O51" s="3242">
        <v>0</v>
      </c>
      <c r="P51" s="3242">
        <v>0</v>
      </c>
      <c r="Q51" s="3242">
        <v>0</v>
      </c>
      <c r="R51" s="3242">
        <v>0</v>
      </c>
      <c r="S51" s="3242">
        <v>0</v>
      </c>
      <c r="T51" s="3242">
        <v>0</v>
      </c>
      <c r="U51" s="3242">
        <v>0</v>
      </c>
      <c r="V51" s="3242">
        <v>0</v>
      </c>
      <c r="W51" s="3242">
        <v>0</v>
      </c>
      <c r="X51" s="3242">
        <v>0</v>
      </c>
      <c r="Y51" s="3242">
        <v>0</v>
      </c>
      <c r="Z51" s="3242">
        <v>0</v>
      </c>
      <c r="AA51" s="3242">
        <v>0</v>
      </c>
      <c r="AB51" s="3243">
        <v>0</v>
      </c>
      <c r="AC51" s="3243">
        <v>0</v>
      </c>
      <c r="AD51" s="3242">
        <v>0</v>
      </c>
      <c r="AE51" s="3242">
        <v>18</v>
      </c>
      <c r="AF51" s="3242">
        <v>36</v>
      </c>
      <c r="AG51" s="3242">
        <v>25</v>
      </c>
      <c r="AH51" s="3242"/>
      <c r="AI51" s="3146">
        <f>SUM(D51:AG51)</f>
        <v>79</v>
      </c>
      <c r="AJ51" s="3147">
        <f>AI51*$AX$52/100</f>
        <v>42.057470517448856</v>
      </c>
      <c r="AK51" s="2645" t="s">
        <v>92</v>
      </c>
      <c r="AL51" s="2645"/>
      <c r="AM51" s="2646">
        <f>IF(AJ51&gt;=1950,700000,IF(AJ51&gt;=1770,500000,IF(AJ51&gt;1610,300000,IF(AJ51&gt;=1610,0,0))))</f>
        <v>0</v>
      </c>
      <c r="AX51" s="2706"/>
    </row>
    <row r="52" spans="1:50" ht="33.75" customHeight="1">
      <c r="A52" s="2644">
        <v>39</v>
      </c>
      <c r="B52" s="2644">
        <v>2</v>
      </c>
      <c r="C52" s="3247" t="str">
        <f>'Chấm công công nhân'!L52</f>
        <v>Thảo Sột</v>
      </c>
      <c r="D52" s="3242">
        <v>0</v>
      </c>
      <c r="E52" s="3242">
        <v>0</v>
      </c>
      <c r="F52" s="3242">
        <v>0</v>
      </c>
      <c r="G52" s="3242">
        <v>0</v>
      </c>
      <c r="H52" s="3242">
        <v>0</v>
      </c>
      <c r="I52" s="3242">
        <v>0</v>
      </c>
      <c r="J52" s="3242">
        <v>0</v>
      </c>
      <c r="K52" s="3242">
        <v>0</v>
      </c>
      <c r="L52" s="3242">
        <v>0</v>
      </c>
      <c r="M52" s="3242">
        <v>0</v>
      </c>
      <c r="N52" s="3242">
        <v>0</v>
      </c>
      <c r="O52" s="3242">
        <v>0</v>
      </c>
      <c r="P52" s="3242">
        <v>0</v>
      </c>
      <c r="Q52" s="3242">
        <v>0</v>
      </c>
      <c r="R52" s="3242">
        <v>0</v>
      </c>
      <c r="S52" s="3242">
        <v>0</v>
      </c>
      <c r="T52" s="3242">
        <v>0</v>
      </c>
      <c r="U52" s="3242">
        <v>0</v>
      </c>
      <c r="V52" s="3242">
        <v>0</v>
      </c>
      <c r="W52" s="3242">
        <v>0</v>
      </c>
      <c r="X52" s="3242">
        <v>0</v>
      </c>
      <c r="Y52" s="3242">
        <v>0</v>
      </c>
      <c r="Z52" s="3242">
        <v>0</v>
      </c>
      <c r="AA52" s="3242">
        <v>0</v>
      </c>
      <c r="AB52" s="3243">
        <v>0</v>
      </c>
      <c r="AC52" s="3243">
        <v>0</v>
      </c>
      <c r="AD52" s="3242">
        <v>0</v>
      </c>
      <c r="AE52" s="3242">
        <v>103</v>
      </c>
      <c r="AF52" s="3242">
        <v>63</v>
      </c>
      <c r="AG52" s="3242">
        <v>148</v>
      </c>
      <c r="AH52" s="3242"/>
      <c r="AI52" s="3146">
        <f t="shared" ref="AI52:AI69" si="8">SUM(D52:AG52)</f>
        <v>314</v>
      </c>
      <c r="AJ52" s="3147">
        <f t="shared" ref="AJ52:AJ69" si="9">AI52*$AX$52/100</f>
        <v>167.16513598074604</v>
      </c>
      <c r="AK52" s="2645" t="s">
        <v>52</v>
      </c>
      <c r="AL52" s="2645"/>
      <c r="AM52" s="2646">
        <f>IF(AJ52&gt;=2615,700000,IF(AJ52&gt;=2375,500000,IF(AJ52&gt;2160,300000,IF(AJ52&gt;=2160,0,0))))</f>
        <v>0</v>
      </c>
      <c r="AX52" s="2706">
        <v>53.237304452466901</v>
      </c>
    </row>
    <row r="53" spans="1:50" ht="33.75" customHeight="1" thickBot="1">
      <c r="A53" s="2644">
        <v>40</v>
      </c>
      <c r="B53" s="2644">
        <v>3</v>
      </c>
      <c r="C53" s="3247" t="str">
        <f>'Chấm công công nhân'!L53</f>
        <v>Stoong</v>
      </c>
      <c r="D53" s="3242">
        <v>0</v>
      </c>
      <c r="E53" s="3242">
        <v>0</v>
      </c>
      <c r="F53" s="3242">
        <v>0</v>
      </c>
      <c r="G53" s="3242">
        <v>0</v>
      </c>
      <c r="H53" s="3242">
        <v>0</v>
      </c>
      <c r="I53" s="3242">
        <v>0</v>
      </c>
      <c r="J53" s="3242">
        <v>0</v>
      </c>
      <c r="K53" s="3242">
        <v>0</v>
      </c>
      <c r="L53" s="3242">
        <v>0</v>
      </c>
      <c r="M53" s="3242">
        <v>0</v>
      </c>
      <c r="N53" s="3242">
        <v>0</v>
      </c>
      <c r="O53" s="3242">
        <v>0</v>
      </c>
      <c r="P53" s="3242">
        <v>0</v>
      </c>
      <c r="Q53" s="3242">
        <v>0</v>
      </c>
      <c r="R53" s="3242">
        <v>0</v>
      </c>
      <c r="S53" s="3242">
        <v>0</v>
      </c>
      <c r="T53" s="3242">
        <v>0</v>
      </c>
      <c r="U53" s="3242">
        <v>0</v>
      </c>
      <c r="V53" s="3242">
        <v>0</v>
      </c>
      <c r="W53" s="3242">
        <v>0</v>
      </c>
      <c r="X53" s="3242">
        <v>0</v>
      </c>
      <c r="Y53" s="3242">
        <v>0</v>
      </c>
      <c r="Z53" s="3242">
        <v>0</v>
      </c>
      <c r="AA53" s="3242">
        <v>0</v>
      </c>
      <c r="AB53" s="3243">
        <v>0</v>
      </c>
      <c r="AC53" s="3243">
        <v>0</v>
      </c>
      <c r="AD53" s="3242">
        <v>0</v>
      </c>
      <c r="AE53" s="3242">
        <v>87</v>
      </c>
      <c r="AF53" s="3242">
        <v>40</v>
      </c>
      <c r="AG53" s="3242">
        <v>76</v>
      </c>
      <c r="AH53" s="3242"/>
      <c r="AI53" s="3146">
        <f t="shared" si="8"/>
        <v>203</v>
      </c>
      <c r="AJ53" s="3147">
        <f t="shared" si="9"/>
        <v>108.07172803850781</v>
      </c>
      <c r="AK53" s="2645" t="s">
        <v>52</v>
      </c>
      <c r="AL53" s="2645"/>
      <c r="AM53" s="2646">
        <f t="shared" ref="AM53:AM65" si="10">IF(AJ53&gt;=2615,700000,IF(AJ53&gt;=2375,500000,IF(AJ53&gt;2160,300000,IF(AJ53&gt;=2160,0,0))))</f>
        <v>0</v>
      </c>
    </row>
    <row r="54" spans="1:50" ht="33.75" customHeight="1" thickBot="1">
      <c r="A54" s="2644">
        <v>41</v>
      </c>
      <c r="B54" s="2644">
        <v>4</v>
      </c>
      <c r="C54" s="3247" t="str">
        <f>'Chấm công công nhân'!L54</f>
        <v>Nàng Phắt</v>
      </c>
      <c r="D54" s="3242">
        <v>0</v>
      </c>
      <c r="E54" s="3242">
        <v>0</v>
      </c>
      <c r="F54" s="3242">
        <v>0</v>
      </c>
      <c r="G54" s="3242">
        <v>0</v>
      </c>
      <c r="H54" s="3242">
        <v>0</v>
      </c>
      <c r="I54" s="3242">
        <v>0</v>
      </c>
      <c r="J54" s="3242">
        <v>0</v>
      </c>
      <c r="K54" s="3242">
        <v>0</v>
      </c>
      <c r="L54" s="3242">
        <v>0</v>
      </c>
      <c r="M54" s="3242">
        <v>0</v>
      </c>
      <c r="N54" s="3242">
        <v>0</v>
      </c>
      <c r="O54" s="3242">
        <v>0</v>
      </c>
      <c r="P54" s="3242">
        <v>0</v>
      </c>
      <c r="Q54" s="3242">
        <v>0</v>
      </c>
      <c r="R54" s="3242">
        <v>0</v>
      </c>
      <c r="S54" s="3242">
        <v>0</v>
      </c>
      <c r="T54" s="3242">
        <v>0</v>
      </c>
      <c r="U54" s="3242">
        <v>0</v>
      </c>
      <c r="V54" s="3242">
        <v>0</v>
      </c>
      <c r="W54" s="3242">
        <v>0</v>
      </c>
      <c r="X54" s="3242">
        <v>0</v>
      </c>
      <c r="Y54" s="3242">
        <v>0</v>
      </c>
      <c r="Z54" s="3242">
        <v>0</v>
      </c>
      <c r="AA54" s="3242">
        <v>0</v>
      </c>
      <c r="AB54" s="3243">
        <v>0</v>
      </c>
      <c r="AC54" s="3243">
        <v>0</v>
      </c>
      <c r="AD54" s="3242">
        <v>0</v>
      </c>
      <c r="AE54" s="3242">
        <v>88</v>
      </c>
      <c r="AF54" s="3242">
        <v>40</v>
      </c>
      <c r="AG54" s="3242">
        <v>76</v>
      </c>
      <c r="AH54" s="3242"/>
      <c r="AI54" s="3146">
        <f t="shared" si="8"/>
        <v>204</v>
      </c>
      <c r="AJ54" s="3147">
        <f t="shared" si="9"/>
        <v>108.60410108303248</v>
      </c>
      <c r="AK54" s="2645" t="s">
        <v>92</v>
      </c>
      <c r="AL54" s="2645"/>
      <c r="AM54" s="2646">
        <f t="shared" si="10"/>
        <v>0</v>
      </c>
      <c r="AO54" s="2633">
        <v>10</v>
      </c>
      <c r="AP54" s="2652">
        <v>10</v>
      </c>
    </row>
    <row r="55" spans="1:50" ht="33.75" customHeight="1" thickBot="1">
      <c r="A55" s="2644">
        <v>42</v>
      </c>
      <c r="B55" s="2644">
        <v>5</v>
      </c>
      <c r="C55" s="3247" t="str">
        <f>'Chấm công công nhân'!L55</f>
        <v>Nàng May</v>
      </c>
      <c r="D55" s="3242">
        <v>0</v>
      </c>
      <c r="E55" s="3242">
        <v>0</v>
      </c>
      <c r="F55" s="3242">
        <v>0</v>
      </c>
      <c r="G55" s="3242">
        <v>0</v>
      </c>
      <c r="H55" s="3242">
        <v>0</v>
      </c>
      <c r="I55" s="3242">
        <v>0</v>
      </c>
      <c r="J55" s="3242">
        <v>0</v>
      </c>
      <c r="K55" s="3242">
        <v>0</v>
      </c>
      <c r="L55" s="3242">
        <v>0</v>
      </c>
      <c r="M55" s="3242">
        <v>0</v>
      </c>
      <c r="N55" s="3242">
        <v>0</v>
      </c>
      <c r="O55" s="3242">
        <v>0</v>
      </c>
      <c r="P55" s="3242">
        <v>0</v>
      </c>
      <c r="Q55" s="3242">
        <v>0</v>
      </c>
      <c r="R55" s="3242">
        <v>0</v>
      </c>
      <c r="S55" s="3242">
        <v>0</v>
      </c>
      <c r="T55" s="3242">
        <v>0</v>
      </c>
      <c r="U55" s="3242">
        <v>0</v>
      </c>
      <c r="V55" s="3242">
        <v>0</v>
      </c>
      <c r="W55" s="3242">
        <v>0</v>
      </c>
      <c r="X55" s="3242">
        <v>0</v>
      </c>
      <c r="Y55" s="3242">
        <v>0</v>
      </c>
      <c r="Z55" s="3242">
        <v>0</v>
      </c>
      <c r="AA55" s="3242">
        <v>0</v>
      </c>
      <c r="AB55" s="3243">
        <v>0</v>
      </c>
      <c r="AC55" s="3243">
        <v>0</v>
      </c>
      <c r="AD55" s="3242">
        <v>0</v>
      </c>
      <c r="AE55" s="3242">
        <v>0</v>
      </c>
      <c r="AF55" s="3242">
        <v>28</v>
      </c>
      <c r="AG55" s="3242">
        <v>56</v>
      </c>
      <c r="AH55" s="3242"/>
      <c r="AI55" s="3146">
        <f t="shared" si="8"/>
        <v>84</v>
      </c>
      <c r="AJ55" s="3147">
        <f t="shared" si="9"/>
        <v>44.719335740072204</v>
      </c>
      <c r="AK55" s="2645" t="s">
        <v>92</v>
      </c>
      <c r="AL55" s="2645"/>
      <c r="AM55" s="2646">
        <f t="shared" si="10"/>
        <v>0</v>
      </c>
      <c r="AO55" s="2633">
        <v>83</v>
      </c>
      <c r="AP55" s="2653">
        <v>-83</v>
      </c>
    </row>
    <row r="56" spans="1:50" ht="33.75" customHeight="1" thickBot="1">
      <c r="A56" s="2644">
        <v>43</v>
      </c>
      <c r="B56" s="2644">
        <v>6</v>
      </c>
      <c r="C56" s="3247" t="str">
        <f>'Chấm công công nhân'!L56</f>
        <v>Thảo Bênh</v>
      </c>
      <c r="D56" s="3242">
        <v>0</v>
      </c>
      <c r="E56" s="3242">
        <v>0</v>
      </c>
      <c r="F56" s="3242">
        <v>0</v>
      </c>
      <c r="G56" s="3242">
        <v>0</v>
      </c>
      <c r="H56" s="3242">
        <v>0</v>
      </c>
      <c r="I56" s="3242">
        <v>0</v>
      </c>
      <c r="J56" s="3242">
        <v>0</v>
      </c>
      <c r="K56" s="3242">
        <v>0</v>
      </c>
      <c r="L56" s="3242">
        <v>0</v>
      </c>
      <c r="M56" s="3242">
        <v>0</v>
      </c>
      <c r="N56" s="3242">
        <v>0</v>
      </c>
      <c r="O56" s="3242">
        <v>0</v>
      </c>
      <c r="P56" s="3242">
        <v>0</v>
      </c>
      <c r="Q56" s="3242">
        <v>0</v>
      </c>
      <c r="R56" s="3242">
        <v>0</v>
      </c>
      <c r="S56" s="3242">
        <v>0</v>
      </c>
      <c r="T56" s="3242">
        <v>0</v>
      </c>
      <c r="U56" s="3242">
        <v>0</v>
      </c>
      <c r="V56" s="3242">
        <v>0</v>
      </c>
      <c r="W56" s="3242">
        <v>0</v>
      </c>
      <c r="X56" s="3242">
        <v>0</v>
      </c>
      <c r="Y56" s="3242">
        <v>0</v>
      </c>
      <c r="Z56" s="3242">
        <v>0</v>
      </c>
      <c r="AA56" s="3242">
        <v>0</v>
      </c>
      <c r="AB56" s="3243">
        <v>0</v>
      </c>
      <c r="AC56" s="3243">
        <v>0</v>
      </c>
      <c r="AD56" s="3242">
        <v>0</v>
      </c>
      <c r="AE56" s="3242">
        <v>0</v>
      </c>
      <c r="AF56" s="3242">
        <v>29</v>
      </c>
      <c r="AG56" s="3242">
        <v>56</v>
      </c>
      <c r="AH56" s="3242"/>
      <c r="AI56" s="3146">
        <f t="shared" si="8"/>
        <v>85</v>
      </c>
      <c r="AJ56" s="3147">
        <f t="shared" si="9"/>
        <v>45.251708784596865</v>
      </c>
      <c r="AK56" s="2645" t="s">
        <v>52</v>
      </c>
      <c r="AL56" s="2645"/>
      <c r="AM56" s="2646">
        <f t="shared" si="10"/>
        <v>0</v>
      </c>
      <c r="AO56" s="2633">
        <v>11</v>
      </c>
      <c r="AP56" s="2653">
        <v>-11</v>
      </c>
    </row>
    <row r="57" spans="1:50" ht="33.75" customHeight="1" thickBot="1">
      <c r="A57" s="2644">
        <v>44</v>
      </c>
      <c r="B57" s="2644">
        <v>7</v>
      </c>
      <c r="C57" s="3247" t="str">
        <f>'Chấm công công nhân'!L57</f>
        <v>Thảo Đinh</v>
      </c>
      <c r="D57" s="3242">
        <v>0</v>
      </c>
      <c r="E57" s="3242">
        <v>0</v>
      </c>
      <c r="F57" s="3242">
        <v>0</v>
      </c>
      <c r="G57" s="3242">
        <v>0</v>
      </c>
      <c r="H57" s="3242">
        <v>0</v>
      </c>
      <c r="I57" s="3242">
        <v>0</v>
      </c>
      <c r="J57" s="3242">
        <v>0</v>
      </c>
      <c r="K57" s="3242">
        <v>0</v>
      </c>
      <c r="L57" s="3242">
        <v>0</v>
      </c>
      <c r="M57" s="3242">
        <v>0</v>
      </c>
      <c r="N57" s="3242">
        <v>0</v>
      </c>
      <c r="O57" s="3242">
        <v>0</v>
      </c>
      <c r="P57" s="3242">
        <v>0</v>
      </c>
      <c r="Q57" s="3242">
        <v>0</v>
      </c>
      <c r="R57" s="3242">
        <v>0</v>
      </c>
      <c r="S57" s="3242">
        <v>0</v>
      </c>
      <c r="T57" s="3242">
        <v>0</v>
      </c>
      <c r="U57" s="3242">
        <v>0</v>
      </c>
      <c r="V57" s="3242">
        <v>0</v>
      </c>
      <c r="W57" s="3242">
        <v>0</v>
      </c>
      <c r="X57" s="3242">
        <v>0</v>
      </c>
      <c r="Y57" s="3242">
        <v>0</v>
      </c>
      <c r="Z57" s="3242">
        <v>0</v>
      </c>
      <c r="AA57" s="3242">
        <v>0</v>
      </c>
      <c r="AB57" s="3243">
        <v>0</v>
      </c>
      <c r="AC57" s="3243">
        <v>0</v>
      </c>
      <c r="AD57" s="3242">
        <v>0</v>
      </c>
      <c r="AE57" s="3242">
        <v>86</v>
      </c>
      <c r="AF57" s="3242">
        <v>87</v>
      </c>
      <c r="AG57" s="3242">
        <v>81</v>
      </c>
      <c r="AH57" s="3242"/>
      <c r="AI57" s="3146">
        <f t="shared" si="8"/>
        <v>254</v>
      </c>
      <c r="AJ57" s="3147">
        <f t="shared" si="9"/>
        <v>135.22275330926593</v>
      </c>
      <c r="AK57" s="2645" t="s">
        <v>52</v>
      </c>
      <c r="AL57" s="2645"/>
      <c r="AM57" s="2646">
        <f t="shared" si="10"/>
        <v>0</v>
      </c>
      <c r="AO57" s="2633">
        <v>2</v>
      </c>
      <c r="AP57" s="2653">
        <v>2</v>
      </c>
    </row>
    <row r="58" spans="1:50" ht="33.75" customHeight="1" thickBot="1">
      <c r="A58" s="2644">
        <v>45</v>
      </c>
      <c r="B58" s="2644">
        <v>8</v>
      </c>
      <c r="C58" s="3247" t="str">
        <f>'Chấm công công nhân'!L58</f>
        <v>Thảo Vi</v>
      </c>
      <c r="D58" s="3242">
        <v>0</v>
      </c>
      <c r="E58" s="3242">
        <v>0</v>
      </c>
      <c r="F58" s="3242">
        <v>0</v>
      </c>
      <c r="G58" s="3242">
        <v>0</v>
      </c>
      <c r="H58" s="3242">
        <v>0</v>
      </c>
      <c r="I58" s="3242">
        <v>0</v>
      </c>
      <c r="J58" s="3242">
        <v>0</v>
      </c>
      <c r="K58" s="3242">
        <v>0</v>
      </c>
      <c r="L58" s="3242">
        <v>0</v>
      </c>
      <c r="M58" s="3242">
        <v>0</v>
      </c>
      <c r="N58" s="3242">
        <v>0</v>
      </c>
      <c r="O58" s="3242">
        <v>0</v>
      </c>
      <c r="P58" s="3242">
        <v>0</v>
      </c>
      <c r="Q58" s="3242">
        <v>0</v>
      </c>
      <c r="R58" s="3242">
        <v>0</v>
      </c>
      <c r="S58" s="3242">
        <v>0</v>
      </c>
      <c r="T58" s="3242">
        <v>0</v>
      </c>
      <c r="U58" s="3242">
        <v>0</v>
      </c>
      <c r="V58" s="3242">
        <v>0</v>
      </c>
      <c r="W58" s="3242">
        <v>0</v>
      </c>
      <c r="X58" s="3242">
        <v>0</v>
      </c>
      <c r="Y58" s="3242">
        <v>0</v>
      </c>
      <c r="Z58" s="3242">
        <v>0</v>
      </c>
      <c r="AA58" s="3242">
        <v>0</v>
      </c>
      <c r="AB58" s="3243">
        <v>0</v>
      </c>
      <c r="AC58" s="3243">
        <v>0</v>
      </c>
      <c r="AD58" s="3242">
        <v>0</v>
      </c>
      <c r="AE58" s="3242">
        <v>40</v>
      </c>
      <c r="AF58" s="3242">
        <v>31</v>
      </c>
      <c r="AG58" s="3242">
        <v>30</v>
      </c>
      <c r="AH58" s="3242"/>
      <c r="AI58" s="3146">
        <f t="shared" si="8"/>
        <v>101</v>
      </c>
      <c r="AJ58" s="3147">
        <f t="shared" si="9"/>
        <v>53.769677496991569</v>
      </c>
      <c r="AK58" s="2645" t="s">
        <v>92</v>
      </c>
      <c r="AL58" s="2645"/>
      <c r="AM58" s="2646">
        <f t="shared" si="10"/>
        <v>0</v>
      </c>
      <c r="AO58" s="2633">
        <v>220</v>
      </c>
      <c r="AP58" s="2653">
        <v>220</v>
      </c>
    </row>
    <row r="59" spans="1:50" ht="33.75" customHeight="1">
      <c r="A59" s="2644">
        <v>46</v>
      </c>
      <c r="B59" s="2644">
        <v>9</v>
      </c>
      <c r="C59" s="3247" t="str">
        <f>'Chấm công công nhân'!L59</f>
        <v>Thảo Văn</v>
      </c>
      <c r="D59" s="3242">
        <v>0</v>
      </c>
      <c r="E59" s="3242">
        <v>0</v>
      </c>
      <c r="F59" s="3242">
        <v>0</v>
      </c>
      <c r="G59" s="3242">
        <v>0</v>
      </c>
      <c r="H59" s="3242">
        <v>0</v>
      </c>
      <c r="I59" s="3242">
        <v>0</v>
      </c>
      <c r="J59" s="3242">
        <v>0</v>
      </c>
      <c r="K59" s="3242">
        <v>0</v>
      </c>
      <c r="L59" s="3242">
        <v>0</v>
      </c>
      <c r="M59" s="3242">
        <v>0</v>
      </c>
      <c r="N59" s="3242">
        <v>0</v>
      </c>
      <c r="O59" s="3242">
        <v>0</v>
      </c>
      <c r="P59" s="3242">
        <v>0</v>
      </c>
      <c r="Q59" s="3242">
        <v>0</v>
      </c>
      <c r="R59" s="3242">
        <v>0</v>
      </c>
      <c r="S59" s="3242">
        <v>0</v>
      </c>
      <c r="T59" s="3242">
        <v>0</v>
      </c>
      <c r="U59" s="3242">
        <v>0</v>
      </c>
      <c r="V59" s="3242">
        <v>0</v>
      </c>
      <c r="W59" s="3242">
        <v>0</v>
      </c>
      <c r="X59" s="3242">
        <v>0</v>
      </c>
      <c r="Y59" s="3242">
        <v>0</v>
      </c>
      <c r="Z59" s="3242">
        <v>0</v>
      </c>
      <c r="AA59" s="3242">
        <v>0</v>
      </c>
      <c r="AB59" s="3243">
        <v>0</v>
      </c>
      <c r="AC59" s="3243">
        <v>0</v>
      </c>
      <c r="AD59" s="3242">
        <v>0</v>
      </c>
      <c r="AE59" s="3242">
        <v>62</v>
      </c>
      <c r="AF59" s="3242">
        <v>83</v>
      </c>
      <c r="AG59" s="3242">
        <v>97</v>
      </c>
      <c r="AH59" s="3242"/>
      <c r="AI59" s="3146">
        <f t="shared" si="8"/>
        <v>242</v>
      </c>
      <c r="AJ59" s="3147">
        <f t="shared" si="9"/>
        <v>128.83427677496991</v>
      </c>
      <c r="AK59" s="2645" t="s">
        <v>92</v>
      </c>
      <c r="AL59" s="2645"/>
      <c r="AM59" s="2646">
        <f t="shared" si="10"/>
        <v>0</v>
      </c>
      <c r="AO59" s="2633">
        <f>SUM(AO55:AO58)</f>
        <v>316</v>
      </c>
      <c r="AP59" s="2633">
        <f>SUM(AP54:AP58)</f>
        <v>138</v>
      </c>
    </row>
    <row r="60" spans="1:50" ht="33.75" customHeight="1">
      <c r="A60" s="2644">
        <v>47</v>
      </c>
      <c r="B60" s="2644">
        <v>10</v>
      </c>
      <c r="C60" s="3247" t="str">
        <f>'Chấm công công nhân'!L60</f>
        <v>Nàng Phìn</v>
      </c>
      <c r="D60" s="3242">
        <v>0</v>
      </c>
      <c r="E60" s="3242">
        <v>0</v>
      </c>
      <c r="F60" s="3242">
        <v>0</v>
      </c>
      <c r="G60" s="3242">
        <v>0</v>
      </c>
      <c r="H60" s="3242">
        <v>0</v>
      </c>
      <c r="I60" s="3242">
        <v>0</v>
      </c>
      <c r="J60" s="3242">
        <v>0</v>
      </c>
      <c r="K60" s="3242">
        <v>0</v>
      </c>
      <c r="L60" s="3242">
        <v>0</v>
      </c>
      <c r="M60" s="3242">
        <v>0</v>
      </c>
      <c r="N60" s="3242">
        <v>0</v>
      </c>
      <c r="O60" s="3242">
        <v>0</v>
      </c>
      <c r="P60" s="3242">
        <v>0</v>
      </c>
      <c r="Q60" s="3242">
        <v>0</v>
      </c>
      <c r="R60" s="3242">
        <v>0</v>
      </c>
      <c r="S60" s="3242">
        <v>0</v>
      </c>
      <c r="T60" s="3242">
        <v>0</v>
      </c>
      <c r="U60" s="3242">
        <v>0</v>
      </c>
      <c r="V60" s="3242">
        <v>0</v>
      </c>
      <c r="W60" s="3242">
        <v>0</v>
      </c>
      <c r="X60" s="3242">
        <v>0</v>
      </c>
      <c r="Y60" s="3242">
        <v>0</v>
      </c>
      <c r="Z60" s="3242">
        <v>0</v>
      </c>
      <c r="AA60" s="3242">
        <v>0</v>
      </c>
      <c r="AB60" s="3243">
        <v>0</v>
      </c>
      <c r="AC60" s="3243">
        <v>0</v>
      </c>
      <c r="AD60" s="3242">
        <v>0</v>
      </c>
      <c r="AE60" s="3242">
        <v>74</v>
      </c>
      <c r="AF60" s="3242">
        <v>70</v>
      </c>
      <c r="AG60" s="3242">
        <v>88</v>
      </c>
      <c r="AH60" s="3242"/>
      <c r="AI60" s="3146">
        <f t="shared" si="8"/>
        <v>232</v>
      </c>
      <c r="AJ60" s="3147">
        <f t="shared" si="9"/>
        <v>123.51054632972323</v>
      </c>
      <c r="AK60" s="2645" t="s">
        <v>52</v>
      </c>
      <c r="AL60" s="2645"/>
      <c r="AM60" s="2646">
        <f t="shared" si="10"/>
        <v>0</v>
      </c>
      <c r="AO60" s="2633">
        <v>94</v>
      </c>
    </row>
    <row r="61" spans="1:50" ht="33.75" customHeight="1">
      <c r="A61" s="2644">
        <v>48</v>
      </c>
      <c r="B61" s="2644">
        <v>11</v>
      </c>
      <c r="C61" s="3247" t="str">
        <f>'Chấm công công nhân'!L61</f>
        <v>Mẹ Sột</v>
      </c>
      <c r="D61" s="3242">
        <v>0</v>
      </c>
      <c r="E61" s="3242">
        <v>0</v>
      </c>
      <c r="F61" s="3242">
        <v>0</v>
      </c>
      <c r="G61" s="3242">
        <v>0</v>
      </c>
      <c r="H61" s="3242">
        <v>0</v>
      </c>
      <c r="I61" s="3242">
        <v>0</v>
      </c>
      <c r="J61" s="3242">
        <v>0</v>
      </c>
      <c r="K61" s="3242">
        <v>0</v>
      </c>
      <c r="L61" s="3242">
        <v>0</v>
      </c>
      <c r="M61" s="3242">
        <v>0</v>
      </c>
      <c r="N61" s="3242">
        <v>0</v>
      </c>
      <c r="O61" s="3242">
        <v>0</v>
      </c>
      <c r="P61" s="3242">
        <v>0</v>
      </c>
      <c r="Q61" s="3242">
        <v>0</v>
      </c>
      <c r="R61" s="3242">
        <v>0</v>
      </c>
      <c r="S61" s="3242">
        <v>0</v>
      </c>
      <c r="T61" s="3242">
        <v>0</v>
      </c>
      <c r="U61" s="3242">
        <v>0</v>
      </c>
      <c r="V61" s="3242">
        <v>0</v>
      </c>
      <c r="W61" s="3242">
        <v>0</v>
      </c>
      <c r="X61" s="3242">
        <v>0</v>
      </c>
      <c r="Y61" s="3242">
        <v>0</v>
      </c>
      <c r="Z61" s="3242">
        <v>0</v>
      </c>
      <c r="AA61" s="3242">
        <v>0</v>
      </c>
      <c r="AB61" s="3243">
        <v>0</v>
      </c>
      <c r="AC61" s="3243">
        <v>0</v>
      </c>
      <c r="AD61" s="3242">
        <v>0</v>
      </c>
      <c r="AE61" s="3242">
        <v>77</v>
      </c>
      <c r="AF61" s="3242">
        <v>83</v>
      </c>
      <c r="AG61" s="3242">
        <v>56</v>
      </c>
      <c r="AH61" s="3242"/>
      <c r="AI61" s="3146">
        <f t="shared" si="8"/>
        <v>216</v>
      </c>
      <c r="AJ61" s="3147">
        <f t="shared" si="9"/>
        <v>114.99257761732849</v>
      </c>
      <c r="AK61" s="2645" t="s">
        <v>53</v>
      </c>
      <c r="AL61" s="2645"/>
      <c r="AM61" s="2646">
        <f t="shared" si="10"/>
        <v>0</v>
      </c>
      <c r="AO61" s="2633">
        <f>AO59-AO60</f>
        <v>222</v>
      </c>
    </row>
    <row r="62" spans="1:50" ht="33.75" customHeight="1">
      <c r="A62" s="2644">
        <v>49</v>
      </c>
      <c r="B62" s="2644">
        <v>12</v>
      </c>
      <c r="C62" s="3247" t="str">
        <f>'Chấm công công nhân'!L62</f>
        <v>Nàng Heo</v>
      </c>
      <c r="D62" s="3242">
        <v>0</v>
      </c>
      <c r="E62" s="3242">
        <v>0</v>
      </c>
      <c r="F62" s="3242">
        <v>0</v>
      </c>
      <c r="G62" s="3242">
        <v>0</v>
      </c>
      <c r="H62" s="3242">
        <v>0</v>
      </c>
      <c r="I62" s="3242">
        <v>0</v>
      </c>
      <c r="J62" s="3242">
        <v>0</v>
      </c>
      <c r="K62" s="3242">
        <v>0</v>
      </c>
      <c r="L62" s="3242">
        <v>0</v>
      </c>
      <c r="M62" s="3242">
        <v>0</v>
      </c>
      <c r="N62" s="3242">
        <v>0</v>
      </c>
      <c r="O62" s="3242">
        <v>0</v>
      </c>
      <c r="P62" s="3242">
        <v>0</v>
      </c>
      <c r="Q62" s="3242">
        <v>0</v>
      </c>
      <c r="R62" s="3242">
        <v>0</v>
      </c>
      <c r="S62" s="3242">
        <v>0</v>
      </c>
      <c r="T62" s="3242">
        <v>0</v>
      </c>
      <c r="U62" s="3242">
        <v>0</v>
      </c>
      <c r="V62" s="3242">
        <v>0</v>
      </c>
      <c r="W62" s="3242">
        <v>0</v>
      </c>
      <c r="X62" s="3242">
        <v>0</v>
      </c>
      <c r="Y62" s="3242">
        <v>0</v>
      </c>
      <c r="Z62" s="3242">
        <v>0</v>
      </c>
      <c r="AA62" s="3242">
        <v>0</v>
      </c>
      <c r="AB62" s="3243">
        <v>0</v>
      </c>
      <c r="AC62" s="3243">
        <v>0</v>
      </c>
      <c r="AD62" s="3242">
        <v>0</v>
      </c>
      <c r="AE62" s="3242">
        <v>40</v>
      </c>
      <c r="AF62" s="3242">
        <v>31</v>
      </c>
      <c r="AG62" s="3242">
        <v>31</v>
      </c>
      <c r="AH62" s="3242"/>
      <c r="AI62" s="3146">
        <f t="shared" si="8"/>
        <v>102</v>
      </c>
      <c r="AJ62" s="3147">
        <f t="shared" si="9"/>
        <v>54.302050541516238</v>
      </c>
      <c r="AK62" s="2645" t="s">
        <v>52</v>
      </c>
      <c r="AL62" s="2645"/>
      <c r="AM62" s="2646">
        <f t="shared" si="10"/>
        <v>0</v>
      </c>
      <c r="AP62" s="2633">
        <f>AO59-312</f>
        <v>4</v>
      </c>
    </row>
    <row r="63" spans="1:50" ht="33.75" customHeight="1">
      <c r="A63" s="2644">
        <v>50</v>
      </c>
      <c r="B63" s="2644">
        <v>13</v>
      </c>
      <c r="C63" s="3247" t="str">
        <f>'Chấm công công nhân'!L63</f>
        <v>Thảo Chăn Ti</v>
      </c>
      <c r="D63" s="3242">
        <v>0</v>
      </c>
      <c r="E63" s="3242">
        <v>0</v>
      </c>
      <c r="F63" s="3242">
        <v>0</v>
      </c>
      <c r="G63" s="3242">
        <v>0</v>
      </c>
      <c r="H63" s="3242">
        <v>0</v>
      </c>
      <c r="I63" s="3242">
        <v>0</v>
      </c>
      <c r="J63" s="3242">
        <v>0</v>
      </c>
      <c r="K63" s="3242">
        <v>0</v>
      </c>
      <c r="L63" s="3242">
        <v>0</v>
      </c>
      <c r="M63" s="3242">
        <v>0</v>
      </c>
      <c r="N63" s="3242">
        <v>0</v>
      </c>
      <c r="O63" s="3242">
        <v>0</v>
      </c>
      <c r="P63" s="3242">
        <v>0</v>
      </c>
      <c r="Q63" s="3242">
        <v>0</v>
      </c>
      <c r="R63" s="3242">
        <v>0</v>
      </c>
      <c r="S63" s="3242">
        <v>0</v>
      </c>
      <c r="T63" s="3242">
        <v>0</v>
      </c>
      <c r="U63" s="3242">
        <v>0</v>
      </c>
      <c r="V63" s="3242">
        <v>0</v>
      </c>
      <c r="W63" s="3242">
        <v>0</v>
      </c>
      <c r="X63" s="3242">
        <v>0</v>
      </c>
      <c r="Y63" s="3242">
        <v>0</v>
      </c>
      <c r="Z63" s="3242">
        <v>0</v>
      </c>
      <c r="AA63" s="3242">
        <v>0</v>
      </c>
      <c r="AB63" s="3243">
        <v>0</v>
      </c>
      <c r="AC63" s="3243">
        <v>0</v>
      </c>
      <c r="AD63" s="3242">
        <v>0</v>
      </c>
      <c r="AE63" s="3242">
        <v>24</v>
      </c>
      <c r="AF63" s="3242">
        <v>30</v>
      </c>
      <c r="AG63" s="3242">
        <v>17</v>
      </c>
      <c r="AH63" s="3242"/>
      <c r="AI63" s="3146">
        <f t="shared" si="8"/>
        <v>71</v>
      </c>
      <c r="AJ63" s="3147">
        <f t="shared" si="9"/>
        <v>37.798486161251496</v>
      </c>
      <c r="AK63" s="2645" t="s">
        <v>92</v>
      </c>
      <c r="AL63" s="2645"/>
      <c r="AM63" s="2646">
        <f t="shared" si="10"/>
        <v>0</v>
      </c>
    </row>
    <row r="64" spans="1:50" ht="33.75" customHeight="1">
      <c r="A64" s="2644">
        <v>51</v>
      </c>
      <c r="B64" s="2644">
        <v>14</v>
      </c>
      <c r="C64" s="3247" t="str">
        <f>'Chấm công công nhân'!L64</f>
        <v>Nàng Ve</v>
      </c>
      <c r="D64" s="3242">
        <v>0</v>
      </c>
      <c r="E64" s="3242">
        <v>0</v>
      </c>
      <c r="F64" s="3242">
        <v>0</v>
      </c>
      <c r="G64" s="3242">
        <v>0</v>
      </c>
      <c r="H64" s="3242">
        <v>0</v>
      </c>
      <c r="I64" s="3242">
        <v>0</v>
      </c>
      <c r="J64" s="3242">
        <v>0</v>
      </c>
      <c r="K64" s="3242">
        <v>0</v>
      </c>
      <c r="L64" s="3242">
        <v>0</v>
      </c>
      <c r="M64" s="3242">
        <v>0</v>
      </c>
      <c r="N64" s="3242">
        <v>0</v>
      </c>
      <c r="O64" s="3242">
        <v>0</v>
      </c>
      <c r="P64" s="3242">
        <v>0</v>
      </c>
      <c r="Q64" s="3242">
        <v>0</v>
      </c>
      <c r="R64" s="3242">
        <v>0</v>
      </c>
      <c r="S64" s="3242">
        <v>0</v>
      </c>
      <c r="T64" s="3242">
        <v>0</v>
      </c>
      <c r="U64" s="3242">
        <v>0</v>
      </c>
      <c r="V64" s="3242">
        <v>0</v>
      </c>
      <c r="W64" s="3242">
        <v>0</v>
      </c>
      <c r="X64" s="3242">
        <v>0</v>
      </c>
      <c r="Y64" s="3242">
        <v>0</v>
      </c>
      <c r="Z64" s="3242">
        <v>0</v>
      </c>
      <c r="AA64" s="3242">
        <v>0</v>
      </c>
      <c r="AB64" s="3243">
        <v>0</v>
      </c>
      <c r="AC64" s="3243">
        <v>0</v>
      </c>
      <c r="AD64" s="3242">
        <v>0</v>
      </c>
      <c r="AE64" s="3242">
        <v>75</v>
      </c>
      <c r="AF64" s="3242">
        <v>71</v>
      </c>
      <c r="AG64" s="3242">
        <v>88</v>
      </c>
      <c r="AH64" s="3242"/>
      <c r="AI64" s="3146">
        <f t="shared" si="8"/>
        <v>234</v>
      </c>
      <c r="AJ64" s="3147">
        <f t="shared" si="9"/>
        <v>124.57529241877255</v>
      </c>
      <c r="AK64" s="2645" t="s">
        <v>92</v>
      </c>
      <c r="AL64" s="2645"/>
      <c r="AM64" s="2646">
        <f t="shared" si="10"/>
        <v>0</v>
      </c>
    </row>
    <row r="65" spans="1:50" ht="33.75" customHeight="1">
      <c r="A65" s="2644">
        <v>52</v>
      </c>
      <c r="B65" s="2644">
        <v>15</v>
      </c>
      <c r="C65" s="3247" t="str">
        <f>'Chấm công công nhân'!L65</f>
        <v>Nàng Phết</v>
      </c>
      <c r="D65" s="3242">
        <v>0</v>
      </c>
      <c r="E65" s="3242">
        <v>0</v>
      </c>
      <c r="F65" s="3242">
        <v>0</v>
      </c>
      <c r="G65" s="3242">
        <v>0</v>
      </c>
      <c r="H65" s="3242">
        <v>0</v>
      </c>
      <c r="I65" s="3242">
        <v>0</v>
      </c>
      <c r="J65" s="3242">
        <v>0</v>
      </c>
      <c r="K65" s="3242">
        <v>0</v>
      </c>
      <c r="L65" s="3242">
        <v>0</v>
      </c>
      <c r="M65" s="3242">
        <v>0</v>
      </c>
      <c r="N65" s="3242">
        <v>0</v>
      </c>
      <c r="O65" s="3242">
        <v>0</v>
      </c>
      <c r="P65" s="3242">
        <v>0</v>
      </c>
      <c r="Q65" s="3242">
        <v>0</v>
      </c>
      <c r="R65" s="3242">
        <v>0</v>
      </c>
      <c r="S65" s="3242">
        <v>0</v>
      </c>
      <c r="T65" s="3242">
        <v>0</v>
      </c>
      <c r="U65" s="3242">
        <v>0</v>
      </c>
      <c r="V65" s="3242">
        <v>0</v>
      </c>
      <c r="W65" s="3242">
        <v>0</v>
      </c>
      <c r="X65" s="3242">
        <v>0</v>
      </c>
      <c r="Y65" s="3242">
        <v>0</v>
      </c>
      <c r="Z65" s="3242">
        <v>0</v>
      </c>
      <c r="AA65" s="3242">
        <v>0</v>
      </c>
      <c r="AB65" s="3243">
        <v>0</v>
      </c>
      <c r="AC65" s="3243">
        <v>0</v>
      </c>
      <c r="AD65" s="3242">
        <v>0</v>
      </c>
      <c r="AE65" s="3242">
        <v>24</v>
      </c>
      <c r="AF65" s="3242">
        <v>30</v>
      </c>
      <c r="AG65" s="3242">
        <v>18</v>
      </c>
      <c r="AH65" s="3242"/>
      <c r="AI65" s="3146">
        <f t="shared" si="8"/>
        <v>72</v>
      </c>
      <c r="AJ65" s="3147">
        <f t="shared" si="9"/>
        <v>38.330859205776171</v>
      </c>
      <c r="AK65" s="2645" t="s">
        <v>52</v>
      </c>
      <c r="AL65" s="2645"/>
      <c r="AM65" s="2646">
        <f t="shared" si="10"/>
        <v>0</v>
      </c>
    </row>
    <row r="66" spans="1:50" ht="33.75" customHeight="1">
      <c r="A66" s="2644">
        <v>53</v>
      </c>
      <c r="B66" s="2644">
        <v>16</v>
      </c>
      <c r="C66" s="3247" t="str">
        <f>'Chấm công công nhân'!L66</f>
        <v>Thảo On</v>
      </c>
      <c r="D66" s="3242">
        <v>0</v>
      </c>
      <c r="E66" s="3242">
        <v>0</v>
      </c>
      <c r="F66" s="3242">
        <v>0</v>
      </c>
      <c r="G66" s="3242">
        <v>0</v>
      </c>
      <c r="H66" s="3242">
        <v>0</v>
      </c>
      <c r="I66" s="3242">
        <v>0</v>
      </c>
      <c r="J66" s="3242">
        <v>0</v>
      </c>
      <c r="K66" s="3242">
        <v>0</v>
      </c>
      <c r="L66" s="3242">
        <v>0</v>
      </c>
      <c r="M66" s="3242">
        <v>0</v>
      </c>
      <c r="N66" s="3242">
        <v>0</v>
      </c>
      <c r="O66" s="3242">
        <v>0</v>
      </c>
      <c r="P66" s="3242">
        <v>0</v>
      </c>
      <c r="Q66" s="3242">
        <v>0</v>
      </c>
      <c r="R66" s="3242">
        <v>0</v>
      </c>
      <c r="S66" s="3242">
        <v>0</v>
      </c>
      <c r="T66" s="3242">
        <v>0</v>
      </c>
      <c r="U66" s="3242">
        <v>0</v>
      </c>
      <c r="V66" s="3242">
        <v>0</v>
      </c>
      <c r="W66" s="3242">
        <v>0</v>
      </c>
      <c r="X66" s="3242">
        <v>0</v>
      </c>
      <c r="Y66" s="3242">
        <v>0</v>
      </c>
      <c r="Z66" s="3242">
        <v>0</v>
      </c>
      <c r="AA66" s="3242">
        <v>0</v>
      </c>
      <c r="AB66" s="3243">
        <v>0</v>
      </c>
      <c r="AC66" s="3243">
        <v>0</v>
      </c>
      <c r="AD66" s="3242">
        <v>0</v>
      </c>
      <c r="AE66" s="3242">
        <v>0</v>
      </c>
      <c r="AF66" s="3242">
        <v>0</v>
      </c>
      <c r="AG66" s="3242">
        <v>0</v>
      </c>
      <c r="AH66" s="3242"/>
      <c r="AI66" s="3146">
        <f t="shared" si="8"/>
        <v>0</v>
      </c>
      <c r="AJ66" s="3147">
        <f t="shared" si="9"/>
        <v>0</v>
      </c>
      <c r="AK66" s="2645" t="s">
        <v>52</v>
      </c>
      <c r="AL66" s="2645"/>
      <c r="AM66" s="2646"/>
    </row>
    <row r="67" spans="1:50" ht="33.75" customHeight="1">
      <c r="A67" s="2644">
        <v>54</v>
      </c>
      <c r="B67" s="2644">
        <v>17</v>
      </c>
      <c r="C67" s="3247" t="str">
        <f>'Chấm công công nhân'!L67</f>
        <v>Thảo Sum</v>
      </c>
      <c r="D67" s="3242">
        <v>0</v>
      </c>
      <c r="E67" s="3242">
        <v>0</v>
      </c>
      <c r="F67" s="3242">
        <v>0</v>
      </c>
      <c r="G67" s="3242">
        <v>0</v>
      </c>
      <c r="H67" s="3242">
        <v>0</v>
      </c>
      <c r="I67" s="3242">
        <v>0</v>
      </c>
      <c r="J67" s="3242">
        <v>0</v>
      </c>
      <c r="K67" s="3242">
        <v>0</v>
      </c>
      <c r="L67" s="3242">
        <v>0</v>
      </c>
      <c r="M67" s="3242">
        <v>0</v>
      </c>
      <c r="N67" s="3242">
        <v>0</v>
      </c>
      <c r="O67" s="3242">
        <v>0</v>
      </c>
      <c r="P67" s="3242">
        <v>0</v>
      </c>
      <c r="Q67" s="3242">
        <v>0</v>
      </c>
      <c r="R67" s="3242">
        <v>0</v>
      </c>
      <c r="S67" s="3242">
        <v>0</v>
      </c>
      <c r="T67" s="3242">
        <v>0</v>
      </c>
      <c r="U67" s="3242">
        <v>0</v>
      </c>
      <c r="V67" s="3242">
        <v>0</v>
      </c>
      <c r="W67" s="3242">
        <v>0</v>
      </c>
      <c r="X67" s="3242">
        <v>0</v>
      </c>
      <c r="Y67" s="3242">
        <v>0</v>
      </c>
      <c r="Z67" s="3242">
        <v>0</v>
      </c>
      <c r="AA67" s="3242">
        <v>0</v>
      </c>
      <c r="AB67" s="3243">
        <v>0</v>
      </c>
      <c r="AC67" s="3243">
        <v>0</v>
      </c>
      <c r="AD67" s="3242">
        <v>0</v>
      </c>
      <c r="AE67" s="3242">
        <v>0</v>
      </c>
      <c r="AF67" s="3242">
        <v>0</v>
      </c>
      <c r="AG67" s="3242">
        <v>0</v>
      </c>
      <c r="AH67" s="3242"/>
      <c r="AI67" s="3146">
        <f t="shared" si="8"/>
        <v>0</v>
      </c>
      <c r="AJ67" s="3147">
        <f t="shared" si="9"/>
        <v>0</v>
      </c>
      <c r="AK67" s="2645" t="s">
        <v>92</v>
      </c>
      <c r="AL67" s="2645"/>
      <c r="AM67" s="2646"/>
    </row>
    <row r="68" spans="1:50" ht="33.75" customHeight="1">
      <c r="A68" s="2644">
        <v>55</v>
      </c>
      <c r="B68" s="2644">
        <v>18</v>
      </c>
      <c r="C68" s="3247" t="str">
        <f>'Chấm công công nhân'!L68</f>
        <v>Cha La</v>
      </c>
      <c r="D68" s="3242">
        <v>0</v>
      </c>
      <c r="E68" s="3242">
        <v>0</v>
      </c>
      <c r="F68" s="3242">
        <v>0</v>
      </c>
      <c r="G68" s="3242">
        <v>0</v>
      </c>
      <c r="H68" s="3242">
        <v>0</v>
      </c>
      <c r="I68" s="3242">
        <v>0</v>
      </c>
      <c r="J68" s="3242">
        <v>0</v>
      </c>
      <c r="K68" s="3242">
        <v>0</v>
      </c>
      <c r="L68" s="3242">
        <v>0</v>
      </c>
      <c r="M68" s="3242">
        <v>0</v>
      </c>
      <c r="N68" s="3242">
        <v>0</v>
      </c>
      <c r="O68" s="3242">
        <v>0</v>
      </c>
      <c r="P68" s="3242">
        <v>0</v>
      </c>
      <c r="Q68" s="3242">
        <v>0</v>
      </c>
      <c r="R68" s="3242">
        <v>0</v>
      </c>
      <c r="S68" s="3242">
        <v>0</v>
      </c>
      <c r="T68" s="3242">
        <v>0</v>
      </c>
      <c r="U68" s="3242">
        <v>0</v>
      </c>
      <c r="V68" s="3242">
        <v>0</v>
      </c>
      <c r="W68" s="3242">
        <v>0</v>
      </c>
      <c r="X68" s="3242">
        <v>0</v>
      </c>
      <c r="Y68" s="3242">
        <v>0</v>
      </c>
      <c r="Z68" s="3242">
        <v>0</v>
      </c>
      <c r="AA68" s="3242">
        <v>0</v>
      </c>
      <c r="AB68" s="3243">
        <v>0</v>
      </c>
      <c r="AC68" s="3243">
        <v>0</v>
      </c>
      <c r="AD68" s="3242">
        <v>0</v>
      </c>
      <c r="AE68" s="3242">
        <v>0</v>
      </c>
      <c r="AF68" s="3242">
        <v>0</v>
      </c>
      <c r="AG68" s="3242">
        <v>0</v>
      </c>
      <c r="AH68" s="3242"/>
      <c r="AI68" s="3146">
        <f t="shared" si="8"/>
        <v>0</v>
      </c>
      <c r="AJ68" s="3147">
        <f t="shared" si="9"/>
        <v>0</v>
      </c>
      <c r="AK68" s="2645" t="s">
        <v>52</v>
      </c>
      <c r="AL68" s="2645"/>
      <c r="AM68" s="2646"/>
    </row>
    <row r="69" spans="1:50" ht="33.75" customHeight="1">
      <c r="A69" s="2644">
        <v>56</v>
      </c>
      <c r="B69" s="2644">
        <v>19</v>
      </c>
      <c r="C69" s="3247" t="str">
        <f>'Chấm công công nhân'!L69</f>
        <v>Nàng Binh</v>
      </c>
      <c r="D69" s="3242">
        <v>0</v>
      </c>
      <c r="E69" s="3242">
        <v>0</v>
      </c>
      <c r="F69" s="3242">
        <v>0</v>
      </c>
      <c r="G69" s="3242">
        <v>0</v>
      </c>
      <c r="H69" s="3242">
        <v>0</v>
      </c>
      <c r="I69" s="3242">
        <v>0</v>
      </c>
      <c r="J69" s="3242">
        <v>0</v>
      </c>
      <c r="K69" s="3242">
        <v>0</v>
      </c>
      <c r="L69" s="3242">
        <v>0</v>
      </c>
      <c r="M69" s="3242">
        <v>0</v>
      </c>
      <c r="N69" s="3242">
        <v>0</v>
      </c>
      <c r="O69" s="3242">
        <v>0</v>
      </c>
      <c r="P69" s="3242">
        <v>0</v>
      </c>
      <c r="Q69" s="3242">
        <v>0</v>
      </c>
      <c r="R69" s="3242">
        <v>0</v>
      </c>
      <c r="S69" s="3242">
        <v>0</v>
      </c>
      <c r="T69" s="3242">
        <v>0</v>
      </c>
      <c r="U69" s="3242">
        <v>0</v>
      </c>
      <c r="V69" s="3242">
        <v>0</v>
      </c>
      <c r="W69" s="3242">
        <v>0</v>
      </c>
      <c r="X69" s="3242">
        <v>0</v>
      </c>
      <c r="Y69" s="3242">
        <v>0</v>
      </c>
      <c r="Z69" s="3242">
        <v>0</v>
      </c>
      <c r="AA69" s="3242">
        <v>0</v>
      </c>
      <c r="AB69" s="3243">
        <v>0</v>
      </c>
      <c r="AC69" s="3243">
        <v>0</v>
      </c>
      <c r="AD69" s="3242">
        <v>0</v>
      </c>
      <c r="AE69" s="3242">
        <v>0</v>
      </c>
      <c r="AF69" s="3242">
        <v>0</v>
      </c>
      <c r="AG69" s="3242">
        <v>0</v>
      </c>
      <c r="AH69" s="3242"/>
      <c r="AI69" s="3146">
        <f t="shared" si="8"/>
        <v>0</v>
      </c>
      <c r="AJ69" s="3147">
        <f t="shared" si="9"/>
        <v>0</v>
      </c>
      <c r="AK69" s="2645" t="s">
        <v>53</v>
      </c>
      <c r="AL69" s="2645"/>
      <c r="AM69" s="2646"/>
    </row>
    <row r="70" spans="1:50" s="2643" customFormat="1" ht="33.75" customHeight="1">
      <c r="A70" s="2649" t="s">
        <v>53</v>
      </c>
      <c r="B70" s="3979" t="s">
        <v>371</v>
      </c>
      <c r="C70" s="3979"/>
      <c r="D70" s="3240">
        <f>+SUM(D71:D86)</f>
        <v>0</v>
      </c>
      <c r="E70" s="3240">
        <f t="shared" ref="E70:AG70" si="11">+SUM(E71:E86)</f>
        <v>0</v>
      </c>
      <c r="F70" s="3240">
        <f t="shared" si="11"/>
        <v>0</v>
      </c>
      <c r="G70" s="3240">
        <f t="shared" si="11"/>
        <v>0</v>
      </c>
      <c r="H70" s="3240">
        <f t="shared" si="11"/>
        <v>0</v>
      </c>
      <c r="I70" s="3240">
        <f t="shared" si="11"/>
        <v>0</v>
      </c>
      <c r="J70" s="3240">
        <f t="shared" si="11"/>
        <v>0</v>
      </c>
      <c r="K70" s="3240">
        <f t="shared" si="11"/>
        <v>0</v>
      </c>
      <c r="L70" s="3240">
        <f t="shared" si="11"/>
        <v>0</v>
      </c>
      <c r="M70" s="3240">
        <f t="shared" si="11"/>
        <v>0</v>
      </c>
      <c r="N70" s="3240">
        <f t="shared" si="11"/>
        <v>0</v>
      </c>
      <c r="O70" s="3240">
        <f t="shared" si="11"/>
        <v>0</v>
      </c>
      <c r="P70" s="3240">
        <f t="shared" si="11"/>
        <v>0</v>
      </c>
      <c r="Q70" s="3240">
        <f t="shared" si="11"/>
        <v>0</v>
      </c>
      <c r="R70" s="3240">
        <f t="shared" si="11"/>
        <v>0</v>
      </c>
      <c r="S70" s="3240">
        <f t="shared" si="11"/>
        <v>0</v>
      </c>
      <c r="T70" s="3240">
        <f t="shared" si="11"/>
        <v>0</v>
      </c>
      <c r="U70" s="3240">
        <f t="shared" si="11"/>
        <v>0</v>
      </c>
      <c r="V70" s="3240">
        <f t="shared" si="11"/>
        <v>0</v>
      </c>
      <c r="W70" s="3240">
        <f t="shared" si="11"/>
        <v>0</v>
      </c>
      <c r="X70" s="3240">
        <f t="shared" si="11"/>
        <v>0</v>
      </c>
      <c r="Y70" s="3240">
        <f t="shared" si="11"/>
        <v>0</v>
      </c>
      <c r="Z70" s="3240">
        <f t="shared" si="11"/>
        <v>0</v>
      </c>
      <c r="AA70" s="3240">
        <f t="shared" si="11"/>
        <v>0</v>
      </c>
      <c r="AB70" s="3240">
        <f t="shared" si="11"/>
        <v>616</v>
      </c>
      <c r="AC70" s="3240">
        <f t="shared" si="11"/>
        <v>215</v>
      </c>
      <c r="AD70" s="3240">
        <f t="shared" si="11"/>
        <v>386</v>
      </c>
      <c r="AE70" s="3240">
        <f t="shared" si="11"/>
        <v>23</v>
      </c>
      <c r="AF70" s="3240">
        <f t="shared" si="11"/>
        <v>0</v>
      </c>
      <c r="AG70" s="3240">
        <f t="shared" si="11"/>
        <v>126</v>
      </c>
      <c r="AH70" s="3240"/>
      <c r="AI70" s="3240">
        <f>+SUM(AI71:AI86)</f>
        <v>1366</v>
      </c>
      <c r="AJ70" s="3240">
        <f>SUM(AJ71:AJ86)</f>
        <v>842.68799999999976</v>
      </c>
      <c r="AK70" s="3659"/>
      <c r="AL70" s="2645"/>
      <c r="AM70" s="2650"/>
      <c r="AN70" s="2643">
        <v>17986</v>
      </c>
      <c r="AP70" s="2643">
        <f>+AI70+7422</f>
        <v>8788</v>
      </c>
      <c r="AX70" s="2707"/>
    </row>
    <row r="71" spans="1:50" ht="33.75" customHeight="1">
      <c r="A71" s="2644">
        <v>57</v>
      </c>
      <c r="B71" s="2644">
        <v>1</v>
      </c>
      <c r="C71" s="3247" t="str">
        <f>'Chấm công công nhân'!L71</f>
        <v>Thảo Bun</v>
      </c>
      <c r="D71" s="3148">
        <v>0</v>
      </c>
      <c r="E71" s="3148">
        <v>0</v>
      </c>
      <c r="F71" s="3148">
        <v>0</v>
      </c>
      <c r="G71" s="3148">
        <v>0</v>
      </c>
      <c r="H71" s="3148">
        <v>0</v>
      </c>
      <c r="I71" s="3148"/>
      <c r="J71" s="3148">
        <v>0</v>
      </c>
      <c r="K71" s="3148">
        <v>0</v>
      </c>
      <c r="L71" s="3148">
        <v>0</v>
      </c>
      <c r="M71" s="3148">
        <v>0</v>
      </c>
      <c r="N71" s="3148">
        <v>0</v>
      </c>
      <c r="O71" s="3148">
        <v>0</v>
      </c>
      <c r="P71" s="3148">
        <v>0</v>
      </c>
      <c r="Q71" s="3148">
        <v>0</v>
      </c>
      <c r="R71" s="3148">
        <v>0</v>
      </c>
      <c r="S71" s="3148">
        <v>0</v>
      </c>
      <c r="T71" s="3148">
        <v>0</v>
      </c>
      <c r="U71" s="3148">
        <v>0</v>
      </c>
      <c r="V71" s="3148">
        <v>0</v>
      </c>
      <c r="W71" s="3148">
        <v>0</v>
      </c>
      <c r="X71" s="3148">
        <v>0</v>
      </c>
      <c r="Y71" s="3148">
        <v>0</v>
      </c>
      <c r="Z71" s="3148">
        <v>0</v>
      </c>
      <c r="AA71" s="3148">
        <v>0</v>
      </c>
      <c r="AB71" s="3148">
        <v>140</v>
      </c>
      <c r="AC71" s="3148">
        <v>18</v>
      </c>
      <c r="AD71" s="3149">
        <v>60</v>
      </c>
      <c r="AE71" s="3149">
        <v>0</v>
      </c>
      <c r="AF71" s="3149">
        <v>0</v>
      </c>
      <c r="AG71" s="3149">
        <v>0</v>
      </c>
      <c r="AH71" s="3149"/>
      <c r="AI71" s="3146">
        <f>SUM(D71:AH71)</f>
        <v>218</v>
      </c>
      <c r="AJ71" s="3147">
        <f>AI71*$AX$72/100</f>
        <v>134.48461493411421</v>
      </c>
      <c r="AK71" s="2645" t="s">
        <v>92</v>
      </c>
      <c r="AL71" s="2645"/>
      <c r="AM71" s="2646">
        <f>IF(AJ71&gt;=2790,700000,IF(AJ71&gt;=2425,500000,IF(AJ71&gt;2110,300000,IF(AJ71&gt;=2110,0,0))))</f>
        <v>0</v>
      </c>
      <c r="AN71" s="2633">
        <f>+AI70-AN70</f>
        <v>-16620</v>
      </c>
      <c r="AP71" s="3140"/>
      <c r="AT71" s="2633">
        <f>+AI71+[2]Mủ!AI13</f>
        <v>1263</v>
      </c>
      <c r="AX71" s="2708"/>
    </row>
    <row r="72" spans="1:50" ht="33.75" customHeight="1">
      <c r="A72" s="2644">
        <v>58</v>
      </c>
      <c r="B72" s="2644">
        <v>2</v>
      </c>
      <c r="C72" s="3247" t="str">
        <f>'Chấm công công nhân'!L72</f>
        <v>Thảo Nga</v>
      </c>
      <c r="D72" s="3148">
        <v>0</v>
      </c>
      <c r="E72" s="3148">
        <v>0</v>
      </c>
      <c r="F72" s="3148">
        <v>0</v>
      </c>
      <c r="G72" s="3148">
        <v>0</v>
      </c>
      <c r="H72" s="3148">
        <v>0</v>
      </c>
      <c r="I72" s="3148"/>
      <c r="J72" s="3148">
        <v>0</v>
      </c>
      <c r="K72" s="3148">
        <v>0</v>
      </c>
      <c r="L72" s="3148">
        <v>0</v>
      </c>
      <c r="M72" s="3148">
        <v>0</v>
      </c>
      <c r="N72" s="3148">
        <v>0</v>
      </c>
      <c r="O72" s="3148">
        <v>0</v>
      </c>
      <c r="P72" s="3148">
        <v>0</v>
      </c>
      <c r="Q72" s="3148">
        <v>0</v>
      </c>
      <c r="R72" s="3148">
        <v>0</v>
      </c>
      <c r="S72" s="3148">
        <v>0</v>
      </c>
      <c r="T72" s="3148">
        <v>0</v>
      </c>
      <c r="U72" s="3148">
        <v>0</v>
      </c>
      <c r="V72" s="3148">
        <v>0</v>
      </c>
      <c r="W72" s="3148">
        <v>0</v>
      </c>
      <c r="X72" s="3148">
        <v>0</v>
      </c>
      <c r="Y72" s="3148">
        <v>0</v>
      </c>
      <c r="Z72" s="3148">
        <v>0</v>
      </c>
      <c r="AA72" s="3148">
        <v>0</v>
      </c>
      <c r="AB72" s="3148">
        <v>122</v>
      </c>
      <c r="AC72" s="3148">
        <v>30</v>
      </c>
      <c r="AD72" s="3149">
        <v>0</v>
      </c>
      <c r="AE72" s="3149">
        <v>0</v>
      </c>
      <c r="AF72" s="3149">
        <v>0</v>
      </c>
      <c r="AG72" s="3149">
        <v>37</v>
      </c>
      <c r="AH72" s="3149"/>
      <c r="AI72" s="3146">
        <f t="shared" ref="AI72:AI86" si="12">SUM(D72:AH72)</f>
        <v>189</v>
      </c>
      <c r="AJ72" s="3147">
        <f t="shared" ref="AJ72:AJ86" si="13">AI72*$AX$72/100</f>
        <v>116.5944597364568</v>
      </c>
      <c r="AK72" s="2645" t="s">
        <v>52</v>
      </c>
      <c r="AL72" s="2645"/>
      <c r="AM72" s="2646">
        <f t="shared" ref="AM72:AM85" si="14">IF(AJ72&gt;=2790,700000,IF(AJ72&gt;=2425,500000,IF(AJ72&gt;2110,300000,IF(AJ72&gt;=2110,0,0))))</f>
        <v>0</v>
      </c>
      <c r="AT72" s="2633">
        <f>+AI72+[2]Mủ!AI14</f>
        <v>993</v>
      </c>
      <c r="AX72" s="2706">
        <v>61.69019033674963</v>
      </c>
    </row>
    <row r="73" spans="1:50" ht="33.75" customHeight="1">
      <c r="A73" s="2644">
        <v>59</v>
      </c>
      <c r="B73" s="2644">
        <v>3</v>
      </c>
      <c r="C73" s="3247" t="str">
        <f>'Chấm công công nhân'!L73</f>
        <v>Thảo Tia</v>
      </c>
      <c r="D73" s="3148">
        <v>0</v>
      </c>
      <c r="E73" s="3148">
        <v>0</v>
      </c>
      <c r="F73" s="3148">
        <v>0</v>
      </c>
      <c r="G73" s="3148">
        <v>0</v>
      </c>
      <c r="H73" s="3148">
        <v>0</v>
      </c>
      <c r="I73" s="3148"/>
      <c r="J73" s="3148">
        <v>0</v>
      </c>
      <c r="K73" s="3148">
        <v>0</v>
      </c>
      <c r="L73" s="3148">
        <v>0</v>
      </c>
      <c r="M73" s="3148">
        <v>0</v>
      </c>
      <c r="N73" s="3148">
        <v>0</v>
      </c>
      <c r="O73" s="3148">
        <v>0</v>
      </c>
      <c r="P73" s="3148">
        <v>0</v>
      </c>
      <c r="Q73" s="3148">
        <v>0</v>
      </c>
      <c r="R73" s="3148">
        <v>0</v>
      </c>
      <c r="S73" s="3148">
        <v>0</v>
      </c>
      <c r="T73" s="3148">
        <v>0</v>
      </c>
      <c r="U73" s="3148">
        <v>0</v>
      </c>
      <c r="V73" s="3148">
        <v>0</v>
      </c>
      <c r="W73" s="3148">
        <v>0</v>
      </c>
      <c r="X73" s="3148">
        <v>0</v>
      </c>
      <c r="Y73" s="3148">
        <v>0</v>
      </c>
      <c r="Z73" s="3148">
        <v>0</v>
      </c>
      <c r="AA73" s="3148">
        <v>0</v>
      </c>
      <c r="AB73" s="3148">
        <v>88</v>
      </c>
      <c r="AC73" s="3148">
        <v>23</v>
      </c>
      <c r="AD73" s="3149">
        <v>90</v>
      </c>
      <c r="AE73" s="3149">
        <v>0</v>
      </c>
      <c r="AF73" s="3149">
        <v>0</v>
      </c>
      <c r="AG73" s="3149">
        <v>10</v>
      </c>
      <c r="AH73" s="3149"/>
      <c r="AI73" s="3146">
        <f t="shared" si="12"/>
        <v>211</v>
      </c>
      <c r="AJ73" s="3147">
        <f t="shared" si="13"/>
        <v>130.16630161054172</v>
      </c>
      <c r="AK73" s="2645" t="s">
        <v>52</v>
      </c>
      <c r="AL73" s="2645"/>
      <c r="AM73" s="2646">
        <f t="shared" si="14"/>
        <v>0</v>
      </c>
      <c r="AT73" s="2633">
        <f>+AI73+[2]Mủ!AI15</f>
        <v>1796</v>
      </c>
    </row>
    <row r="74" spans="1:50" ht="33.75" customHeight="1">
      <c r="A74" s="2644">
        <v>60</v>
      </c>
      <c r="B74" s="2644">
        <v>4</v>
      </c>
      <c r="C74" s="3247" t="str">
        <f>'Chấm công công nhân'!L74</f>
        <v>Thảo Nuy</v>
      </c>
      <c r="D74" s="3148">
        <v>0</v>
      </c>
      <c r="E74" s="3148">
        <v>0</v>
      </c>
      <c r="F74" s="3148">
        <v>0</v>
      </c>
      <c r="G74" s="3148">
        <v>0</v>
      </c>
      <c r="H74" s="3148">
        <v>0</v>
      </c>
      <c r="I74" s="3148"/>
      <c r="J74" s="3148">
        <v>0</v>
      </c>
      <c r="K74" s="3148">
        <v>0</v>
      </c>
      <c r="L74" s="3148">
        <v>0</v>
      </c>
      <c r="M74" s="3148">
        <v>0</v>
      </c>
      <c r="N74" s="3148">
        <v>0</v>
      </c>
      <c r="O74" s="3148">
        <v>0</v>
      </c>
      <c r="P74" s="3148">
        <v>0</v>
      </c>
      <c r="Q74" s="3148">
        <v>0</v>
      </c>
      <c r="R74" s="3148">
        <v>0</v>
      </c>
      <c r="S74" s="3148">
        <v>0</v>
      </c>
      <c r="T74" s="3148">
        <v>0</v>
      </c>
      <c r="U74" s="3148">
        <v>0</v>
      </c>
      <c r="V74" s="3148">
        <v>0</v>
      </c>
      <c r="W74" s="3148">
        <v>0</v>
      </c>
      <c r="X74" s="3148">
        <v>0</v>
      </c>
      <c r="Y74" s="3148">
        <v>0</v>
      </c>
      <c r="Z74" s="3148">
        <v>0</v>
      </c>
      <c r="AA74" s="3148">
        <v>0</v>
      </c>
      <c r="AB74" s="3148">
        <v>68</v>
      </c>
      <c r="AC74" s="3148">
        <v>45</v>
      </c>
      <c r="AD74" s="3149">
        <v>68</v>
      </c>
      <c r="AE74" s="3149">
        <v>0</v>
      </c>
      <c r="AF74" s="3149">
        <v>0</v>
      </c>
      <c r="AG74" s="3149">
        <v>30</v>
      </c>
      <c r="AH74" s="3149"/>
      <c r="AI74" s="3146">
        <f t="shared" si="12"/>
        <v>211</v>
      </c>
      <c r="AJ74" s="3147">
        <f t="shared" si="13"/>
        <v>130.16630161054172</v>
      </c>
      <c r="AK74" s="2645" t="s">
        <v>92</v>
      </c>
      <c r="AL74" s="2645"/>
      <c r="AM74" s="2646">
        <f t="shared" si="14"/>
        <v>0</v>
      </c>
      <c r="AT74" s="2633">
        <f>+AI74+[2]Mủ!AI16</f>
        <v>1446</v>
      </c>
    </row>
    <row r="75" spans="1:50" ht="33.75" customHeight="1">
      <c r="A75" s="2644">
        <v>61</v>
      </c>
      <c r="B75" s="2644">
        <v>5</v>
      </c>
      <c r="C75" s="3247" t="str">
        <f>'Chấm công công nhân'!L75</f>
        <v>Thảo Xay</v>
      </c>
      <c r="D75" s="3148">
        <v>0</v>
      </c>
      <c r="E75" s="3148">
        <v>0</v>
      </c>
      <c r="F75" s="3148">
        <v>0</v>
      </c>
      <c r="G75" s="3148">
        <v>0</v>
      </c>
      <c r="H75" s="3148">
        <v>0</v>
      </c>
      <c r="I75" s="3148">
        <v>0</v>
      </c>
      <c r="J75" s="3148">
        <v>0</v>
      </c>
      <c r="K75" s="3148">
        <v>0</v>
      </c>
      <c r="L75" s="3148">
        <v>0</v>
      </c>
      <c r="M75" s="3148">
        <v>0</v>
      </c>
      <c r="N75" s="3148">
        <v>0</v>
      </c>
      <c r="O75" s="3148">
        <v>0</v>
      </c>
      <c r="P75" s="3148">
        <v>0</v>
      </c>
      <c r="Q75" s="3148">
        <v>0</v>
      </c>
      <c r="R75" s="3148">
        <v>0</v>
      </c>
      <c r="S75" s="3148">
        <v>0</v>
      </c>
      <c r="T75" s="3148">
        <v>0</v>
      </c>
      <c r="U75" s="3148">
        <v>0</v>
      </c>
      <c r="V75" s="3148">
        <v>0</v>
      </c>
      <c r="W75" s="3148">
        <v>0</v>
      </c>
      <c r="X75" s="3148">
        <v>0</v>
      </c>
      <c r="Y75" s="3148">
        <v>0</v>
      </c>
      <c r="Z75" s="3148">
        <v>0</v>
      </c>
      <c r="AA75" s="3148">
        <v>0</v>
      </c>
      <c r="AB75" s="3148">
        <v>7</v>
      </c>
      <c r="AC75" s="3148">
        <v>28</v>
      </c>
      <c r="AD75" s="3149">
        <v>22</v>
      </c>
      <c r="AE75" s="3149">
        <v>0</v>
      </c>
      <c r="AF75" s="3149">
        <v>0</v>
      </c>
      <c r="AG75" s="3149">
        <v>8</v>
      </c>
      <c r="AH75" s="3149"/>
      <c r="AI75" s="3146">
        <f t="shared" si="12"/>
        <v>65</v>
      </c>
      <c r="AJ75" s="3147">
        <f t="shared" si="13"/>
        <v>40.098623718887261</v>
      </c>
      <c r="AK75" s="2645" t="s">
        <v>92</v>
      </c>
      <c r="AL75" s="2645"/>
      <c r="AM75" s="2646">
        <f t="shared" si="14"/>
        <v>0</v>
      </c>
      <c r="AT75" s="2633">
        <f>+AI75+[2]Mủ!AI17</f>
        <v>1296</v>
      </c>
    </row>
    <row r="76" spans="1:50" ht="33.75" customHeight="1">
      <c r="A76" s="2644">
        <v>62</v>
      </c>
      <c r="B76" s="2644">
        <v>6</v>
      </c>
      <c r="C76" s="3247" t="str">
        <f>'Chấm công công nhân'!L76</f>
        <v>Nàng Nọi</v>
      </c>
      <c r="D76" s="3148">
        <v>0</v>
      </c>
      <c r="E76" s="3148">
        <v>0</v>
      </c>
      <c r="F76" s="3148">
        <v>0</v>
      </c>
      <c r="G76" s="3148">
        <v>0</v>
      </c>
      <c r="H76" s="3148">
        <v>0</v>
      </c>
      <c r="I76" s="3148">
        <v>0</v>
      </c>
      <c r="J76" s="3148">
        <v>0</v>
      </c>
      <c r="K76" s="3148">
        <v>0</v>
      </c>
      <c r="L76" s="3148">
        <v>0</v>
      </c>
      <c r="M76" s="3148">
        <v>0</v>
      </c>
      <c r="N76" s="3148">
        <v>0</v>
      </c>
      <c r="O76" s="3148">
        <v>0</v>
      </c>
      <c r="P76" s="3148">
        <v>0</v>
      </c>
      <c r="Q76" s="3148">
        <v>0</v>
      </c>
      <c r="R76" s="3148">
        <v>0</v>
      </c>
      <c r="S76" s="3148">
        <v>0</v>
      </c>
      <c r="T76" s="3148">
        <v>0</v>
      </c>
      <c r="U76" s="3148">
        <v>0</v>
      </c>
      <c r="V76" s="3148">
        <v>0</v>
      </c>
      <c r="W76" s="3148">
        <v>0</v>
      </c>
      <c r="X76" s="3148">
        <v>0</v>
      </c>
      <c r="Y76" s="3148">
        <v>0</v>
      </c>
      <c r="Z76" s="3148">
        <v>0</v>
      </c>
      <c r="AA76" s="3148">
        <v>0</v>
      </c>
      <c r="AB76" s="3148">
        <v>0</v>
      </c>
      <c r="AC76" s="3148">
        <v>0</v>
      </c>
      <c r="AD76" s="3149">
        <v>0</v>
      </c>
      <c r="AE76" s="3149">
        <v>0</v>
      </c>
      <c r="AF76" s="3149">
        <v>0</v>
      </c>
      <c r="AG76" s="3149">
        <v>0</v>
      </c>
      <c r="AH76" s="3149"/>
      <c r="AI76" s="3146">
        <f t="shared" si="12"/>
        <v>0</v>
      </c>
      <c r="AJ76" s="3147">
        <f t="shared" si="13"/>
        <v>0</v>
      </c>
      <c r="AK76" s="2645" t="s">
        <v>92</v>
      </c>
      <c r="AL76" s="2645"/>
      <c r="AM76" s="2646">
        <f t="shared" si="14"/>
        <v>0</v>
      </c>
      <c r="AT76" s="2633">
        <f>+AI76+[2]Mủ!AI18</f>
        <v>773</v>
      </c>
    </row>
    <row r="77" spans="1:50" ht="33.75" customHeight="1">
      <c r="A77" s="2644">
        <v>63</v>
      </c>
      <c r="B77" s="2644">
        <v>7</v>
      </c>
      <c r="C77" s="3247" t="str">
        <f>'Chấm công công nhân'!L77</f>
        <v>Thảo Khon</v>
      </c>
      <c r="D77" s="3148">
        <v>0</v>
      </c>
      <c r="E77" s="3148">
        <v>0</v>
      </c>
      <c r="F77" s="3148">
        <v>0</v>
      </c>
      <c r="G77" s="3148">
        <v>0</v>
      </c>
      <c r="H77" s="3148">
        <v>0</v>
      </c>
      <c r="I77" s="3148"/>
      <c r="J77" s="3148">
        <v>0</v>
      </c>
      <c r="K77" s="3148">
        <v>0</v>
      </c>
      <c r="L77" s="3148">
        <v>0</v>
      </c>
      <c r="M77" s="3148">
        <v>0</v>
      </c>
      <c r="N77" s="3148">
        <v>0</v>
      </c>
      <c r="O77" s="3148">
        <v>0</v>
      </c>
      <c r="P77" s="3148">
        <v>0</v>
      </c>
      <c r="Q77" s="3148">
        <v>0</v>
      </c>
      <c r="R77" s="3148">
        <v>0</v>
      </c>
      <c r="S77" s="3148">
        <v>0</v>
      </c>
      <c r="T77" s="3148">
        <v>0</v>
      </c>
      <c r="U77" s="3148">
        <v>0</v>
      </c>
      <c r="V77" s="3148">
        <v>0</v>
      </c>
      <c r="W77" s="3148">
        <v>0</v>
      </c>
      <c r="X77" s="3148">
        <v>0</v>
      </c>
      <c r="Y77" s="3148">
        <v>0</v>
      </c>
      <c r="Z77" s="3148">
        <v>0</v>
      </c>
      <c r="AA77" s="3148">
        <v>0</v>
      </c>
      <c r="AB77" s="3148">
        <v>67</v>
      </c>
      <c r="AC77" s="3148">
        <v>45</v>
      </c>
      <c r="AD77" s="3149">
        <v>70</v>
      </c>
      <c r="AE77" s="3149">
        <v>0</v>
      </c>
      <c r="AF77" s="3149">
        <v>0</v>
      </c>
      <c r="AG77" s="3149">
        <v>30</v>
      </c>
      <c r="AH77" s="3149"/>
      <c r="AI77" s="3146">
        <f t="shared" si="12"/>
        <v>212</v>
      </c>
      <c r="AJ77" s="3147">
        <f t="shared" si="13"/>
        <v>130.7832035139092</v>
      </c>
      <c r="AK77" s="2645" t="s">
        <v>52</v>
      </c>
      <c r="AL77" s="2645"/>
      <c r="AM77" s="2646">
        <f t="shared" si="14"/>
        <v>0</v>
      </c>
      <c r="AT77" s="2633">
        <f>+AI77+[2]Mủ!AI19</f>
        <v>961</v>
      </c>
    </row>
    <row r="78" spans="1:50" ht="33.75" customHeight="1">
      <c r="A78" s="2644">
        <v>64</v>
      </c>
      <c r="B78" s="2644">
        <v>8</v>
      </c>
      <c r="C78" s="3247" t="str">
        <f>'Chấm công công nhân'!L78</f>
        <v>Thảo Tưng</v>
      </c>
      <c r="D78" s="3148">
        <v>0</v>
      </c>
      <c r="E78" s="3148">
        <v>0</v>
      </c>
      <c r="F78" s="3148">
        <v>0</v>
      </c>
      <c r="G78" s="3148">
        <v>0</v>
      </c>
      <c r="H78" s="3148">
        <v>0</v>
      </c>
      <c r="I78" s="3148">
        <v>0</v>
      </c>
      <c r="J78" s="3148">
        <v>0</v>
      </c>
      <c r="K78" s="3148">
        <v>0</v>
      </c>
      <c r="L78" s="3148">
        <v>0</v>
      </c>
      <c r="M78" s="3148">
        <v>0</v>
      </c>
      <c r="N78" s="3148">
        <v>0</v>
      </c>
      <c r="O78" s="3148">
        <v>0</v>
      </c>
      <c r="P78" s="3148">
        <v>0</v>
      </c>
      <c r="Q78" s="3148">
        <v>0</v>
      </c>
      <c r="R78" s="3148">
        <v>0</v>
      </c>
      <c r="S78" s="3148">
        <v>0</v>
      </c>
      <c r="T78" s="3148">
        <v>0</v>
      </c>
      <c r="U78" s="3148">
        <v>0</v>
      </c>
      <c r="V78" s="3148">
        <v>0</v>
      </c>
      <c r="W78" s="3148">
        <v>0</v>
      </c>
      <c r="X78" s="3148">
        <v>0</v>
      </c>
      <c r="Y78" s="3148">
        <v>0</v>
      </c>
      <c r="Z78" s="3148">
        <v>0</v>
      </c>
      <c r="AA78" s="3148">
        <v>0</v>
      </c>
      <c r="AB78" s="3148">
        <v>0</v>
      </c>
      <c r="AC78" s="3148">
        <v>0</v>
      </c>
      <c r="AD78" s="3149">
        <v>0</v>
      </c>
      <c r="AE78" s="3149">
        <v>23</v>
      </c>
      <c r="AF78" s="3149">
        <v>0</v>
      </c>
      <c r="AG78" s="3149">
        <v>0</v>
      </c>
      <c r="AH78" s="3149"/>
      <c r="AI78" s="3146">
        <f t="shared" si="12"/>
        <v>23</v>
      </c>
      <c r="AJ78" s="3147">
        <f t="shared" si="13"/>
        <v>14.188743777452414</v>
      </c>
      <c r="AK78" s="2645" t="s">
        <v>92</v>
      </c>
      <c r="AL78" s="2645"/>
      <c r="AM78" s="2646">
        <f t="shared" si="14"/>
        <v>0</v>
      </c>
    </row>
    <row r="79" spans="1:50" ht="33.75" customHeight="1">
      <c r="A79" s="2644">
        <v>65</v>
      </c>
      <c r="B79" s="2644">
        <v>9</v>
      </c>
      <c r="C79" s="3247" t="str">
        <f>'Chấm công công nhân'!L79</f>
        <v>Thảo Bắt</v>
      </c>
      <c r="D79" s="3148">
        <v>0</v>
      </c>
      <c r="E79" s="3148">
        <v>0</v>
      </c>
      <c r="F79" s="3148">
        <v>0</v>
      </c>
      <c r="G79" s="3148">
        <v>0</v>
      </c>
      <c r="H79" s="3148">
        <v>0</v>
      </c>
      <c r="I79" s="3148"/>
      <c r="J79" s="3148">
        <v>0</v>
      </c>
      <c r="K79" s="3148">
        <v>0</v>
      </c>
      <c r="L79" s="3148">
        <v>0</v>
      </c>
      <c r="M79" s="3148">
        <v>0</v>
      </c>
      <c r="N79" s="3148">
        <v>0</v>
      </c>
      <c r="O79" s="3148">
        <v>0</v>
      </c>
      <c r="P79" s="3148">
        <v>0</v>
      </c>
      <c r="Q79" s="3148">
        <v>0</v>
      </c>
      <c r="R79" s="3148">
        <v>0</v>
      </c>
      <c r="S79" s="3148">
        <v>0</v>
      </c>
      <c r="T79" s="3148">
        <v>0</v>
      </c>
      <c r="U79" s="3148">
        <v>0</v>
      </c>
      <c r="V79" s="3148">
        <v>0</v>
      </c>
      <c r="W79" s="3148">
        <v>0</v>
      </c>
      <c r="X79" s="3148">
        <v>0</v>
      </c>
      <c r="Y79" s="3148">
        <v>0</v>
      </c>
      <c r="Z79" s="3148">
        <v>0</v>
      </c>
      <c r="AA79" s="3148">
        <v>0</v>
      </c>
      <c r="AB79" s="3148">
        <v>69</v>
      </c>
      <c r="AC79" s="3148">
        <v>26</v>
      </c>
      <c r="AD79" s="3149">
        <v>63</v>
      </c>
      <c r="AE79" s="3149">
        <v>0</v>
      </c>
      <c r="AF79" s="3149">
        <v>0</v>
      </c>
      <c r="AG79" s="3149">
        <v>11</v>
      </c>
      <c r="AH79" s="3149"/>
      <c r="AI79" s="3146">
        <f t="shared" si="12"/>
        <v>169</v>
      </c>
      <c r="AJ79" s="3147">
        <f t="shared" si="13"/>
        <v>104.25642166910687</v>
      </c>
      <c r="AK79" s="2645" t="s">
        <v>52</v>
      </c>
      <c r="AL79" s="2645"/>
      <c r="AM79" s="2646">
        <f t="shared" si="14"/>
        <v>0</v>
      </c>
    </row>
    <row r="80" spans="1:50" ht="33.75" customHeight="1">
      <c r="A80" s="2644">
        <v>66</v>
      </c>
      <c r="B80" s="2644">
        <v>10</v>
      </c>
      <c r="C80" s="3247" t="str">
        <f>'Chấm công công nhân'!L80</f>
        <v>Thảo Lay</v>
      </c>
      <c r="D80" s="3148">
        <v>0</v>
      </c>
      <c r="E80" s="3148">
        <v>0</v>
      </c>
      <c r="F80" s="3148">
        <v>0</v>
      </c>
      <c r="G80" s="3148">
        <v>0</v>
      </c>
      <c r="H80" s="3148">
        <v>0</v>
      </c>
      <c r="I80" s="3148">
        <v>0</v>
      </c>
      <c r="J80" s="3148">
        <v>0</v>
      </c>
      <c r="K80" s="3148">
        <v>0</v>
      </c>
      <c r="L80" s="3148">
        <v>0</v>
      </c>
      <c r="M80" s="3148">
        <v>0</v>
      </c>
      <c r="N80" s="3148">
        <v>0</v>
      </c>
      <c r="O80" s="3148">
        <v>0</v>
      </c>
      <c r="P80" s="3148">
        <v>0</v>
      </c>
      <c r="Q80" s="3148">
        <v>0</v>
      </c>
      <c r="R80" s="3148">
        <v>0</v>
      </c>
      <c r="S80" s="3148">
        <v>0</v>
      </c>
      <c r="T80" s="3148">
        <v>0</v>
      </c>
      <c r="U80" s="3148">
        <v>0</v>
      </c>
      <c r="V80" s="3148">
        <v>0</v>
      </c>
      <c r="W80" s="3148">
        <v>0</v>
      </c>
      <c r="X80" s="3148">
        <v>0</v>
      </c>
      <c r="Y80" s="3148">
        <v>0</v>
      </c>
      <c r="Z80" s="3148">
        <v>0</v>
      </c>
      <c r="AA80" s="3148">
        <v>0</v>
      </c>
      <c r="AB80" s="3148">
        <v>0</v>
      </c>
      <c r="AC80" s="3148">
        <v>0</v>
      </c>
      <c r="AD80" s="3149">
        <v>0</v>
      </c>
      <c r="AE80" s="3149">
        <v>0</v>
      </c>
      <c r="AF80" s="3149">
        <v>0</v>
      </c>
      <c r="AG80" s="3149">
        <v>0</v>
      </c>
      <c r="AH80" s="3149"/>
      <c r="AI80" s="3146">
        <f t="shared" si="12"/>
        <v>0</v>
      </c>
      <c r="AJ80" s="3147">
        <f t="shared" si="13"/>
        <v>0</v>
      </c>
      <c r="AK80" s="2645" t="s">
        <v>92</v>
      </c>
      <c r="AL80" s="2645"/>
      <c r="AM80" s="2646">
        <f t="shared" si="14"/>
        <v>0</v>
      </c>
    </row>
    <row r="81" spans="1:50" ht="33.75" customHeight="1">
      <c r="A81" s="2644">
        <v>67</v>
      </c>
      <c r="B81" s="2644">
        <v>11</v>
      </c>
      <c r="C81" s="3247" t="str">
        <f>'Chấm công công nhân'!L81</f>
        <v>Thảo Chăn</v>
      </c>
      <c r="D81" s="3148">
        <v>0</v>
      </c>
      <c r="E81" s="3148">
        <v>0</v>
      </c>
      <c r="F81" s="3148">
        <v>0</v>
      </c>
      <c r="G81" s="3148">
        <v>0</v>
      </c>
      <c r="H81" s="3148">
        <v>0</v>
      </c>
      <c r="I81" s="3148">
        <v>0</v>
      </c>
      <c r="J81" s="3148">
        <v>0</v>
      </c>
      <c r="K81" s="3148">
        <v>0</v>
      </c>
      <c r="L81" s="3148">
        <v>0</v>
      </c>
      <c r="M81" s="3148">
        <v>0</v>
      </c>
      <c r="N81" s="3148">
        <v>0</v>
      </c>
      <c r="O81" s="3148">
        <v>0</v>
      </c>
      <c r="P81" s="3148">
        <v>0</v>
      </c>
      <c r="Q81" s="3148">
        <v>0</v>
      </c>
      <c r="R81" s="3148">
        <v>0</v>
      </c>
      <c r="S81" s="3148">
        <v>0</v>
      </c>
      <c r="T81" s="3148">
        <v>0</v>
      </c>
      <c r="U81" s="3148">
        <v>0</v>
      </c>
      <c r="V81" s="3148">
        <v>0</v>
      </c>
      <c r="W81" s="3148">
        <v>0</v>
      </c>
      <c r="X81" s="3148">
        <v>0</v>
      </c>
      <c r="Y81" s="3148">
        <v>0</v>
      </c>
      <c r="Z81" s="3148">
        <v>0</v>
      </c>
      <c r="AA81" s="3148">
        <v>0</v>
      </c>
      <c r="AB81" s="3148">
        <v>20</v>
      </c>
      <c r="AC81" s="3148">
        <v>0</v>
      </c>
      <c r="AD81" s="3149">
        <v>0</v>
      </c>
      <c r="AE81" s="3149">
        <v>0</v>
      </c>
      <c r="AF81" s="3149">
        <v>0</v>
      </c>
      <c r="AG81" s="3149">
        <v>0</v>
      </c>
      <c r="AH81" s="3149"/>
      <c r="AI81" s="3146">
        <f t="shared" si="12"/>
        <v>20</v>
      </c>
      <c r="AJ81" s="3147">
        <f t="shared" si="13"/>
        <v>12.338038067349926</v>
      </c>
      <c r="AK81" s="2645" t="s">
        <v>52</v>
      </c>
      <c r="AL81" s="2645"/>
      <c r="AM81" s="2646">
        <f t="shared" si="14"/>
        <v>0</v>
      </c>
    </row>
    <row r="82" spans="1:50" ht="33.75" customHeight="1">
      <c r="A82" s="2644">
        <v>68</v>
      </c>
      <c r="B82" s="2644">
        <v>12</v>
      </c>
      <c r="C82" s="3247" t="str">
        <f>'Chấm công công nhân'!L82</f>
        <v>Thảo Lăm Ma</v>
      </c>
      <c r="D82" s="3148">
        <v>0</v>
      </c>
      <c r="E82" s="3148">
        <v>0</v>
      </c>
      <c r="F82" s="3148">
        <v>0</v>
      </c>
      <c r="G82" s="3148">
        <v>0</v>
      </c>
      <c r="H82" s="3148">
        <v>0</v>
      </c>
      <c r="I82" s="3148">
        <v>0</v>
      </c>
      <c r="J82" s="3148">
        <v>0</v>
      </c>
      <c r="K82" s="3148">
        <v>0</v>
      </c>
      <c r="L82" s="3148">
        <v>0</v>
      </c>
      <c r="M82" s="3148">
        <v>0</v>
      </c>
      <c r="N82" s="3148">
        <v>0</v>
      </c>
      <c r="O82" s="3148">
        <v>0</v>
      </c>
      <c r="P82" s="3148">
        <v>0</v>
      </c>
      <c r="Q82" s="3148">
        <v>0</v>
      </c>
      <c r="R82" s="3148">
        <v>0</v>
      </c>
      <c r="S82" s="3148">
        <v>0</v>
      </c>
      <c r="T82" s="3148">
        <v>0</v>
      </c>
      <c r="U82" s="3148">
        <v>0</v>
      </c>
      <c r="V82" s="3148">
        <v>0</v>
      </c>
      <c r="W82" s="3148">
        <v>0</v>
      </c>
      <c r="X82" s="3148">
        <v>0</v>
      </c>
      <c r="Y82" s="3148">
        <v>0</v>
      </c>
      <c r="Z82" s="3148">
        <v>0</v>
      </c>
      <c r="AA82" s="3148">
        <v>0</v>
      </c>
      <c r="AB82" s="3148">
        <v>0</v>
      </c>
      <c r="AC82" s="3148">
        <v>0</v>
      </c>
      <c r="AD82" s="3149">
        <v>0</v>
      </c>
      <c r="AE82" s="3149">
        <v>0</v>
      </c>
      <c r="AF82" s="3149">
        <v>0</v>
      </c>
      <c r="AG82" s="3149">
        <v>0</v>
      </c>
      <c r="AH82" s="3149"/>
      <c r="AI82" s="3146">
        <f t="shared" si="12"/>
        <v>0</v>
      </c>
      <c r="AJ82" s="3147">
        <f t="shared" si="13"/>
        <v>0</v>
      </c>
      <c r="AK82" s="2645" t="s">
        <v>92</v>
      </c>
      <c r="AL82" s="2645"/>
      <c r="AM82" s="2646">
        <f t="shared" si="14"/>
        <v>0</v>
      </c>
    </row>
    <row r="83" spans="1:50" ht="33.75" customHeight="1">
      <c r="A83" s="2644">
        <v>69</v>
      </c>
      <c r="B83" s="2644">
        <v>13</v>
      </c>
      <c r="C83" s="3247" t="str">
        <f>'Chấm công công nhân'!L83</f>
        <v>Phò Đăm</v>
      </c>
      <c r="D83" s="3149">
        <v>0</v>
      </c>
      <c r="E83" s="3149">
        <v>0</v>
      </c>
      <c r="F83" s="3149">
        <v>0</v>
      </c>
      <c r="G83" s="3149">
        <v>0</v>
      </c>
      <c r="H83" s="3149">
        <v>0</v>
      </c>
      <c r="I83" s="3149">
        <v>0</v>
      </c>
      <c r="J83" s="3149">
        <v>0</v>
      </c>
      <c r="K83" s="3149">
        <v>0</v>
      </c>
      <c r="L83" s="3149">
        <v>0</v>
      </c>
      <c r="M83" s="3149">
        <v>0</v>
      </c>
      <c r="N83" s="3149">
        <v>0</v>
      </c>
      <c r="O83" s="3149">
        <v>0</v>
      </c>
      <c r="P83" s="3149">
        <v>0</v>
      </c>
      <c r="Q83" s="3149">
        <v>0</v>
      </c>
      <c r="R83" s="3149">
        <v>0</v>
      </c>
      <c r="S83" s="3149">
        <v>0</v>
      </c>
      <c r="T83" s="3149">
        <v>0</v>
      </c>
      <c r="U83" s="3149">
        <v>0</v>
      </c>
      <c r="V83" s="3149">
        <v>0</v>
      </c>
      <c r="W83" s="3149">
        <v>0</v>
      </c>
      <c r="X83" s="3149">
        <v>0</v>
      </c>
      <c r="Y83" s="3149">
        <v>0</v>
      </c>
      <c r="Z83" s="3149">
        <v>0</v>
      </c>
      <c r="AA83" s="3149">
        <v>0</v>
      </c>
      <c r="AB83" s="3149">
        <v>0</v>
      </c>
      <c r="AC83" s="3149">
        <v>0</v>
      </c>
      <c r="AD83" s="3149">
        <v>0</v>
      </c>
      <c r="AE83" s="3149">
        <v>0</v>
      </c>
      <c r="AF83" s="3149">
        <v>0</v>
      </c>
      <c r="AG83" s="3149">
        <v>0</v>
      </c>
      <c r="AH83" s="3149"/>
      <c r="AI83" s="3146">
        <f t="shared" si="12"/>
        <v>0</v>
      </c>
      <c r="AJ83" s="3147">
        <f t="shared" si="13"/>
        <v>0</v>
      </c>
      <c r="AK83" s="2645" t="s">
        <v>92</v>
      </c>
      <c r="AL83" s="2645"/>
      <c r="AM83" s="2646">
        <f t="shared" si="14"/>
        <v>0</v>
      </c>
    </row>
    <row r="84" spans="1:50" ht="33.75" customHeight="1">
      <c r="A84" s="2644">
        <v>70</v>
      </c>
      <c r="B84" s="2644">
        <v>14</v>
      </c>
      <c r="C84" s="3247" t="str">
        <f>'Chấm công công nhân'!L84</f>
        <v>Thảo Đăm Đi</v>
      </c>
      <c r="D84" s="3149">
        <v>0</v>
      </c>
      <c r="E84" s="3149">
        <v>0</v>
      </c>
      <c r="F84" s="3149">
        <v>0</v>
      </c>
      <c r="G84" s="3149">
        <v>0</v>
      </c>
      <c r="H84" s="3149">
        <v>0</v>
      </c>
      <c r="I84" s="3149">
        <v>0</v>
      </c>
      <c r="J84" s="3149">
        <v>0</v>
      </c>
      <c r="K84" s="3149">
        <v>0</v>
      </c>
      <c r="L84" s="3149">
        <v>0</v>
      </c>
      <c r="M84" s="3149">
        <v>0</v>
      </c>
      <c r="N84" s="3149">
        <v>0</v>
      </c>
      <c r="O84" s="3149">
        <v>0</v>
      </c>
      <c r="P84" s="3149">
        <v>0</v>
      </c>
      <c r="Q84" s="3149">
        <v>0</v>
      </c>
      <c r="R84" s="3149">
        <v>0</v>
      </c>
      <c r="S84" s="3149">
        <v>0</v>
      </c>
      <c r="T84" s="3149">
        <v>0</v>
      </c>
      <c r="U84" s="3149">
        <v>0</v>
      </c>
      <c r="V84" s="3149">
        <v>0</v>
      </c>
      <c r="W84" s="3149">
        <v>0</v>
      </c>
      <c r="X84" s="3149">
        <v>0</v>
      </c>
      <c r="Y84" s="3149">
        <v>0</v>
      </c>
      <c r="Z84" s="3149">
        <v>0</v>
      </c>
      <c r="AA84" s="3149">
        <v>0</v>
      </c>
      <c r="AB84" s="3149">
        <v>0</v>
      </c>
      <c r="AC84" s="3149">
        <v>0</v>
      </c>
      <c r="AD84" s="3149">
        <v>0</v>
      </c>
      <c r="AE84" s="3149">
        <v>0</v>
      </c>
      <c r="AF84" s="3149">
        <v>0</v>
      </c>
      <c r="AG84" s="3149">
        <v>0</v>
      </c>
      <c r="AH84" s="3149"/>
      <c r="AI84" s="3146">
        <f t="shared" si="12"/>
        <v>0</v>
      </c>
      <c r="AJ84" s="3147">
        <f t="shared" si="13"/>
        <v>0</v>
      </c>
      <c r="AK84" s="2645" t="s">
        <v>92</v>
      </c>
      <c r="AL84" s="2645"/>
      <c r="AM84" s="2646">
        <f t="shared" si="14"/>
        <v>0</v>
      </c>
    </row>
    <row r="85" spans="1:50" ht="31.5" customHeight="1">
      <c r="A85" s="2644">
        <v>71</v>
      </c>
      <c r="B85" s="2644">
        <v>15</v>
      </c>
      <c r="C85" s="3247" t="str">
        <f>'Chấm công công nhân'!L85</f>
        <v xml:space="preserve"> Thảo Khên </v>
      </c>
      <c r="D85" s="3147">
        <v>0</v>
      </c>
      <c r="E85" s="3147">
        <v>0</v>
      </c>
      <c r="F85" s="3147">
        <v>0</v>
      </c>
      <c r="G85" s="3147">
        <v>0</v>
      </c>
      <c r="H85" s="3147">
        <v>0</v>
      </c>
      <c r="I85" s="3152">
        <v>0</v>
      </c>
      <c r="J85" s="3152">
        <v>0</v>
      </c>
      <c r="K85" s="3152">
        <v>0</v>
      </c>
      <c r="L85" s="3152">
        <v>0</v>
      </c>
      <c r="M85" s="3147">
        <v>0</v>
      </c>
      <c r="N85" s="3152">
        <v>0</v>
      </c>
      <c r="O85" s="3152">
        <v>0</v>
      </c>
      <c r="P85" s="3152">
        <v>0</v>
      </c>
      <c r="Q85" s="3152">
        <v>0</v>
      </c>
      <c r="R85" s="3152">
        <v>0</v>
      </c>
      <c r="S85" s="3152">
        <v>0</v>
      </c>
      <c r="T85" s="3147">
        <v>0</v>
      </c>
      <c r="U85" s="3152">
        <v>0</v>
      </c>
      <c r="V85" s="3152">
        <v>0</v>
      </c>
      <c r="W85" s="3152">
        <v>0</v>
      </c>
      <c r="X85" s="3152">
        <v>0</v>
      </c>
      <c r="Y85" s="3152">
        <v>0</v>
      </c>
      <c r="Z85" s="3152">
        <v>0</v>
      </c>
      <c r="AA85" s="3153">
        <v>0</v>
      </c>
      <c r="AB85" s="3152">
        <v>0</v>
      </c>
      <c r="AC85" s="3152">
        <v>0</v>
      </c>
      <c r="AD85" s="3154">
        <v>13</v>
      </c>
      <c r="AE85" s="3154">
        <v>0</v>
      </c>
      <c r="AF85" s="3154">
        <v>0</v>
      </c>
      <c r="AG85" s="3154">
        <v>0</v>
      </c>
      <c r="AH85" s="3154"/>
      <c r="AI85" s="3146">
        <f t="shared" si="12"/>
        <v>13</v>
      </c>
      <c r="AJ85" s="3147">
        <f t="shared" si="13"/>
        <v>8.0197247437774521</v>
      </c>
      <c r="AK85" s="2645" t="s">
        <v>52</v>
      </c>
      <c r="AL85" s="2645"/>
      <c r="AM85" s="2646">
        <f t="shared" si="14"/>
        <v>0</v>
      </c>
    </row>
    <row r="86" spans="1:50" ht="31.5" customHeight="1">
      <c r="A86" s="2644">
        <v>72</v>
      </c>
      <c r="B86" s="2644">
        <v>16</v>
      </c>
      <c r="C86" s="3247" t="str">
        <f>'Chấm công công nhân'!L86</f>
        <v xml:space="preserve"> Thảo Đăm </v>
      </c>
      <c r="D86" s="3147">
        <v>0</v>
      </c>
      <c r="E86" s="3147">
        <v>0</v>
      </c>
      <c r="F86" s="3147">
        <v>0</v>
      </c>
      <c r="G86" s="3147">
        <v>0</v>
      </c>
      <c r="H86" s="3147">
        <v>0</v>
      </c>
      <c r="I86" s="3152">
        <v>0</v>
      </c>
      <c r="J86" s="3152">
        <v>0</v>
      </c>
      <c r="K86" s="3152">
        <v>0</v>
      </c>
      <c r="L86" s="3152">
        <v>0</v>
      </c>
      <c r="M86" s="3147">
        <v>0</v>
      </c>
      <c r="N86" s="3152">
        <v>0</v>
      </c>
      <c r="O86" s="3152">
        <v>0</v>
      </c>
      <c r="P86" s="3152">
        <v>0</v>
      </c>
      <c r="Q86" s="3152">
        <v>0</v>
      </c>
      <c r="R86" s="3152">
        <v>0</v>
      </c>
      <c r="S86" s="3152">
        <v>0</v>
      </c>
      <c r="T86" s="3147">
        <v>0</v>
      </c>
      <c r="U86" s="3152">
        <v>0</v>
      </c>
      <c r="V86" s="3152">
        <v>0</v>
      </c>
      <c r="W86" s="3152">
        <v>0</v>
      </c>
      <c r="X86" s="3152">
        <v>0</v>
      </c>
      <c r="Y86" s="3152">
        <v>0</v>
      </c>
      <c r="Z86" s="3152">
        <v>0</v>
      </c>
      <c r="AA86" s="3153">
        <v>0</v>
      </c>
      <c r="AB86" s="3152">
        <v>35</v>
      </c>
      <c r="AC86" s="3152">
        <v>0</v>
      </c>
      <c r="AD86" s="3154">
        <v>0</v>
      </c>
      <c r="AE86" s="3154">
        <v>0</v>
      </c>
      <c r="AF86" s="3154">
        <v>0</v>
      </c>
      <c r="AG86" s="3154">
        <v>0</v>
      </c>
      <c r="AH86" s="3154"/>
      <c r="AI86" s="3146">
        <f t="shared" si="12"/>
        <v>35</v>
      </c>
      <c r="AJ86" s="3147">
        <f t="shared" si="13"/>
        <v>21.591566617862373</v>
      </c>
      <c r="AK86" s="2645" t="s">
        <v>52</v>
      </c>
      <c r="AL86" s="2645"/>
      <c r="AM86" s="2646"/>
    </row>
    <row r="87" spans="1:50" s="3157" customFormat="1" ht="34.5" customHeight="1">
      <c r="A87" s="3972" t="s">
        <v>807</v>
      </c>
      <c r="B87" s="3973"/>
      <c r="C87" s="3974"/>
      <c r="D87" s="3155">
        <f t="shared" ref="D87:AI87" si="15">+D12+D50+D70</f>
        <v>0</v>
      </c>
      <c r="E87" s="3155">
        <f t="shared" si="15"/>
        <v>0</v>
      </c>
      <c r="F87" s="3155">
        <f t="shared" si="15"/>
        <v>0</v>
      </c>
      <c r="G87" s="3155">
        <f t="shared" si="15"/>
        <v>0</v>
      </c>
      <c r="H87" s="3155">
        <f t="shared" si="15"/>
        <v>0</v>
      </c>
      <c r="I87" s="3155">
        <f t="shared" si="15"/>
        <v>0</v>
      </c>
      <c r="J87" s="3155">
        <f t="shared" si="15"/>
        <v>0</v>
      </c>
      <c r="K87" s="3155">
        <f t="shared" si="15"/>
        <v>0</v>
      </c>
      <c r="L87" s="3155">
        <f t="shared" si="15"/>
        <v>0</v>
      </c>
      <c r="M87" s="3155">
        <f t="shared" si="15"/>
        <v>0</v>
      </c>
      <c r="N87" s="3155">
        <f t="shared" si="15"/>
        <v>0</v>
      </c>
      <c r="O87" s="3155">
        <f t="shared" si="15"/>
        <v>0</v>
      </c>
      <c r="P87" s="3155">
        <f t="shared" si="15"/>
        <v>0</v>
      </c>
      <c r="Q87" s="3155">
        <f t="shared" si="15"/>
        <v>0</v>
      </c>
      <c r="R87" s="3155">
        <f t="shared" si="15"/>
        <v>0</v>
      </c>
      <c r="S87" s="3155">
        <f t="shared" si="15"/>
        <v>0</v>
      </c>
      <c r="T87" s="3155">
        <f t="shared" si="15"/>
        <v>0</v>
      </c>
      <c r="U87" s="3155">
        <f t="shared" si="15"/>
        <v>0</v>
      </c>
      <c r="V87" s="3155">
        <f t="shared" si="15"/>
        <v>0</v>
      </c>
      <c r="W87" s="3155">
        <f t="shared" si="15"/>
        <v>0</v>
      </c>
      <c r="X87" s="3155">
        <f t="shared" si="15"/>
        <v>0</v>
      </c>
      <c r="Y87" s="3155">
        <f t="shared" si="15"/>
        <v>0</v>
      </c>
      <c r="Z87" s="3155">
        <f t="shared" si="15"/>
        <v>0</v>
      </c>
      <c r="AA87" s="3155">
        <f t="shared" si="15"/>
        <v>851</v>
      </c>
      <c r="AB87" s="3155">
        <f t="shared" si="15"/>
        <v>1360</v>
      </c>
      <c r="AC87" s="3155">
        <f t="shared" si="15"/>
        <v>1581</v>
      </c>
      <c r="AD87" s="3155">
        <f t="shared" si="15"/>
        <v>1512</v>
      </c>
      <c r="AE87" s="3155">
        <f t="shared" si="15"/>
        <v>1822</v>
      </c>
      <c r="AF87" s="3155">
        <f t="shared" si="15"/>
        <v>1493</v>
      </c>
      <c r="AG87" s="3155">
        <f t="shared" si="15"/>
        <v>1318</v>
      </c>
      <c r="AH87" s="3155"/>
      <c r="AI87" s="3155">
        <f t="shared" si="15"/>
        <v>9937</v>
      </c>
      <c r="AJ87" s="3155">
        <f>+AJ12+AJ50+AJ70</f>
        <v>5465.5649999999987</v>
      </c>
      <c r="AK87" s="3156"/>
      <c r="AL87" s="3156"/>
      <c r="AX87" s="3696"/>
    </row>
    <row r="88" spans="1:50">
      <c r="A88" s="2654"/>
      <c r="B88" s="2655"/>
      <c r="C88" s="2655"/>
      <c r="D88" s="2656"/>
      <c r="E88" s="2656"/>
      <c r="F88" s="2657"/>
      <c r="G88" s="2656"/>
      <c r="H88" s="2656"/>
      <c r="I88" s="2656"/>
      <c r="J88" s="2658"/>
      <c r="K88" s="2658"/>
      <c r="L88" s="2658"/>
      <c r="M88" s="2658"/>
      <c r="N88" s="2658"/>
      <c r="O88" s="2658"/>
      <c r="P88" s="2658"/>
      <c r="Q88" s="2658"/>
      <c r="R88" s="2658"/>
      <c r="S88" s="2658"/>
      <c r="T88" s="2658"/>
      <c r="U88" s="2658"/>
      <c r="V88" s="2658"/>
      <c r="W88" s="2658"/>
      <c r="X88" s="2658"/>
      <c r="Y88" s="2658"/>
      <c r="Z88" s="2658"/>
      <c r="AA88" s="2658"/>
      <c r="AB88" s="2658"/>
      <c r="AC88" s="2658"/>
      <c r="AK88" s="2659"/>
      <c r="AL88" s="2659"/>
    </row>
    <row r="89" spans="1:50" s="2636" customFormat="1" ht="24" customHeight="1">
      <c r="A89" s="3969" t="s">
        <v>1</v>
      </c>
      <c r="B89" s="3970"/>
      <c r="C89" s="3971"/>
      <c r="D89" s="3967" t="s">
        <v>544</v>
      </c>
      <c r="E89" s="3967"/>
      <c r="F89" s="3967"/>
      <c r="G89" s="3967" t="s">
        <v>1146</v>
      </c>
      <c r="H89" s="3967"/>
      <c r="I89" s="3967"/>
      <c r="J89" s="3967" t="s">
        <v>1147</v>
      </c>
      <c r="K89" s="3967"/>
      <c r="L89" s="3967"/>
      <c r="M89" s="3967"/>
      <c r="N89" s="3967"/>
      <c r="O89" s="3967"/>
      <c r="P89" s="3967" t="s">
        <v>1308</v>
      </c>
      <c r="Q89" s="3967"/>
      <c r="R89" s="3967"/>
      <c r="S89" s="3967"/>
      <c r="T89" s="3967"/>
      <c r="U89" s="3967"/>
      <c r="V89" s="3967"/>
      <c r="W89" s="3975" t="s">
        <v>1685</v>
      </c>
      <c r="X89" s="3976"/>
      <c r="Y89" s="3976"/>
      <c r="Z89" s="3976"/>
      <c r="AA89" s="3976"/>
      <c r="AB89" s="3975" t="s">
        <v>634</v>
      </c>
      <c r="AC89" s="3976"/>
      <c r="AD89" s="3976"/>
      <c r="AE89" s="3977"/>
      <c r="AF89" s="3553"/>
      <c r="AG89" s="3553"/>
      <c r="AH89" s="3553"/>
      <c r="AI89" s="3158"/>
      <c r="AJ89" s="3141"/>
    </row>
    <row r="90" spans="1:50" ht="24" customHeight="1">
      <c r="A90" s="3984">
        <v>1</v>
      </c>
      <c r="B90" s="3985"/>
      <c r="C90" s="3986"/>
      <c r="D90" s="3987">
        <f>SUM(COUNTIF(AK13:AK86,"A"))</f>
        <v>36</v>
      </c>
      <c r="E90" s="3987"/>
      <c r="F90" s="3987"/>
      <c r="G90" s="3987" t="s">
        <v>52</v>
      </c>
      <c r="H90" s="3987"/>
      <c r="I90" s="3987"/>
      <c r="J90" s="3988">
        <f ca="1">SUMIF($AK$13:$AK$86,"A",$AI$13:$AI$85)</f>
        <v>6303</v>
      </c>
      <c r="K90" s="3988"/>
      <c r="L90" s="3988"/>
      <c r="M90" s="3988"/>
      <c r="N90" s="3988"/>
      <c r="O90" s="3988"/>
      <c r="P90" s="3988">
        <f ca="1">SUMIF($AK$13:$AK$86,"A",$AJ$13:$AJ$85)</f>
        <v>3468.6306304294908</v>
      </c>
      <c r="Q90" s="3988"/>
      <c r="R90" s="3988"/>
      <c r="S90" s="3988"/>
      <c r="T90" s="3988"/>
      <c r="U90" s="3988"/>
      <c r="V90" s="3988"/>
      <c r="W90" s="3975">
        <f ca="1">P90/$P$94*100</f>
        <v>63.463349725590888</v>
      </c>
      <c r="X90" s="3976"/>
      <c r="Y90" s="3976"/>
      <c r="Z90" s="3976"/>
      <c r="AA90" s="3977"/>
      <c r="AB90" s="3975"/>
      <c r="AC90" s="3976"/>
      <c r="AD90" s="3976"/>
      <c r="AE90" s="3977"/>
      <c r="AF90" s="3553"/>
      <c r="AG90" s="3553"/>
      <c r="AH90" s="3553"/>
    </row>
    <row r="91" spans="1:50" ht="24" customHeight="1">
      <c r="A91" s="3984">
        <v>2</v>
      </c>
      <c r="B91" s="3985"/>
      <c r="C91" s="3986"/>
      <c r="D91" s="3987">
        <f>SUM(COUNTIF(AK13:AK86,"B"))</f>
        <v>32</v>
      </c>
      <c r="E91" s="3987"/>
      <c r="F91" s="3987"/>
      <c r="G91" s="3987" t="s">
        <v>92</v>
      </c>
      <c r="H91" s="3987"/>
      <c r="I91" s="3987"/>
      <c r="J91" s="3988">
        <f ca="1">SUMIF($AK$13:$AK$86,"B",$AI$13:$AI$85)</f>
        <v>3219</v>
      </c>
      <c r="K91" s="3988"/>
      <c r="L91" s="3988"/>
      <c r="M91" s="3988"/>
      <c r="N91" s="3988"/>
      <c r="O91" s="3988"/>
      <c r="P91" s="3988">
        <f ca="1">SUMIF($AK$13:$AK$86,"B",$AJ$13:$AJ$85)</f>
        <v>1774.0381182118165</v>
      </c>
      <c r="Q91" s="3988"/>
      <c r="R91" s="3988"/>
      <c r="S91" s="3988"/>
      <c r="T91" s="3988"/>
      <c r="U91" s="3988"/>
      <c r="V91" s="3988"/>
      <c r="W91" s="3975">
        <f t="shared" ref="W91:W92" ca="1" si="16">P91/$P$94*100</f>
        <v>32.458457967507783</v>
      </c>
      <c r="X91" s="3976"/>
      <c r="Y91" s="3976"/>
      <c r="Z91" s="3976"/>
      <c r="AA91" s="3977"/>
      <c r="AB91" s="3975"/>
      <c r="AC91" s="3976"/>
      <c r="AD91" s="3976"/>
      <c r="AE91" s="3977"/>
      <c r="AF91" s="3553"/>
      <c r="AG91" s="3553"/>
      <c r="AH91" s="3553"/>
      <c r="AP91" s="3159">
        <f>97677*43.16</f>
        <v>4215739.3199999994</v>
      </c>
    </row>
    <row r="92" spans="1:50" ht="24" customHeight="1">
      <c r="A92" s="3984">
        <v>3</v>
      </c>
      <c r="B92" s="3985"/>
      <c r="C92" s="3986"/>
      <c r="D92" s="3987">
        <f>SUM(COUNTIF(AK13:AK86,"C"))</f>
        <v>4</v>
      </c>
      <c r="E92" s="3987"/>
      <c r="F92" s="3987"/>
      <c r="G92" s="3987" t="s">
        <v>53</v>
      </c>
      <c r="H92" s="3987"/>
      <c r="I92" s="3987"/>
      <c r="J92" s="3988">
        <f ca="1">SUMIF($AK$13:$AK$86,"C",$AI$13:$AI$85)</f>
        <v>415</v>
      </c>
      <c r="K92" s="3988"/>
      <c r="L92" s="3988"/>
      <c r="M92" s="3988"/>
      <c r="N92" s="3988"/>
      <c r="O92" s="3988"/>
      <c r="P92" s="3988">
        <f ca="1">SUMIF($AK$13:$AK$86,"C",$AJ$13:$AJ$85)</f>
        <v>222.89625135869073</v>
      </c>
      <c r="Q92" s="3988"/>
      <c r="R92" s="3988"/>
      <c r="S92" s="3988"/>
      <c r="T92" s="3988"/>
      <c r="U92" s="3988"/>
      <c r="V92" s="3988"/>
      <c r="W92" s="3975">
        <f t="shared" ca="1" si="16"/>
        <v>4.0781923069013137</v>
      </c>
      <c r="X92" s="3976"/>
      <c r="Y92" s="3976"/>
      <c r="Z92" s="3976"/>
      <c r="AA92" s="3977"/>
      <c r="AB92" s="3975"/>
      <c r="AC92" s="3976"/>
      <c r="AD92" s="3976"/>
      <c r="AE92" s="3977"/>
      <c r="AF92" s="3553"/>
      <c r="AG92" s="3553"/>
      <c r="AH92" s="3553"/>
    </row>
    <row r="93" spans="1:50" ht="24" hidden="1" customHeight="1">
      <c r="A93" s="3984">
        <v>4</v>
      </c>
      <c r="B93" s="3985"/>
      <c r="C93" s="3986"/>
      <c r="D93" s="3987">
        <f>SUM(COUNTIF(AK13:AK80,"D"))</f>
        <v>0</v>
      </c>
      <c r="E93" s="3987"/>
      <c r="F93" s="3987"/>
      <c r="G93" s="3987" t="s">
        <v>93</v>
      </c>
      <c r="H93" s="3987"/>
      <c r="I93" s="3987"/>
      <c r="J93" s="3988">
        <f>SUMIF($AK$13:$AK$77,"D",$AI$13:$AI$77)</f>
        <v>0</v>
      </c>
      <c r="K93" s="3988"/>
      <c r="L93" s="3988"/>
      <c r="M93" s="3988"/>
      <c r="N93" s="3988"/>
      <c r="O93" s="3988"/>
      <c r="P93" s="3988">
        <f>SUMIF($AK$13:$AK$77,"D",$AJ$13:$AJ$77)</f>
        <v>0</v>
      </c>
      <c r="Q93" s="3988"/>
      <c r="R93" s="3988"/>
      <c r="S93" s="3988"/>
      <c r="T93" s="3988"/>
      <c r="U93" s="3988"/>
      <c r="V93" s="3988"/>
      <c r="W93" s="3975"/>
      <c r="X93" s="3976"/>
      <c r="Y93" s="3976"/>
      <c r="Z93" s="3976"/>
      <c r="AA93" s="3977"/>
      <c r="AB93" s="3975"/>
      <c r="AC93" s="3976"/>
      <c r="AD93" s="3976"/>
      <c r="AE93" s="3977"/>
      <c r="AF93" s="3553"/>
      <c r="AG93" s="3553"/>
      <c r="AH93" s="3553"/>
    </row>
    <row r="94" spans="1:50" s="2643" customFormat="1" ht="24" customHeight="1">
      <c r="A94" s="3969" t="s">
        <v>187</v>
      </c>
      <c r="B94" s="3970"/>
      <c r="C94" s="3971"/>
      <c r="D94" s="3967">
        <f>SUM(D90:F93)</f>
        <v>72</v>
      </c>
      <c r="E94" s="3967"/>
      <c r="F94" s="3967"/>
      <c r="G94" s="3967"/>
      <c r="H94" s="3967"/>
      <c r="I94" s="3967"/>
      <c r="J94" s="3989">
        <f ca="1">SUM(J90:O93)</f>
        <v>9937</v>
      </c>
      <c r="K94" s="3989"/>
      <c r="L94" s="3989"/>
      <c r="M94" s="3989"/>
      <c r="N94" s="3989"/>
      <c r="O94" s="3989"/>
      <c r="P94" s="3989">
        <f ca="1">SUM(P90:V93)</f>
        <v>5465.5649999999987</v>
      </c>
      <c r="Q94" s="3989"/>
      <c r="R94" s="3989"/>
      <c r="S94" s="3989"/>
      <c r="T94" s="3989"/>
      <c r="U94" s="3989"/>
      <c r="V94" s="3989"/>
      <c r="W94" s="3975">
        <v>100</v>
      </c>
      <c r="X94" s="3976"/>
      <c r="Y94" s="3976"/>
      <c r="Z94" s="3976"/>
      <c r="AA94" s="3977"/>
      <c r="AB94" s="3975"/>
      <c r="AC94" s="3976"/>
      <c r="AD94" s="3976"/>
      <c r="AE94" s="3977"/>
      <c r="AF94" s="3553"/>
      <c r="AG94" s="3553"/>
      <c r="AH94" s="3553"/>
      <c r="AI94" s="3160"/>
      <c r="AJ94" s="3140"/>
    </row>
    <row r="95" spans="1:50" s="2663" customFormat="1" ht="19.5" customHeight="1">
      <c r="A95" s="2662"/>
      <c r="E95" s="3161"/>
      <c r="G95" s="3161"/>
      <c r="H95" s="3161"/>
      <c r="I95" s="3161"/>
      <c r="J95" s="3162"/>
      <c r="K95" s="2664"/>
      <c r="M95" s="2664"/>
      <c r="N95" s="2664"/>
      <c r="O95" s="2664"/>
      <c r="P95" s="2664"/>
      <c r="Q95" s="2664"/>
      <c r="R95" s="2664"/>
      <c r="S95" s="2665"/>
      <c r="T95" s="2665"/>
      <c r="U95" s="2665"/>
      <c r="V95" s="2665"/>
      <c r="W95" s="3990" t="s">
        <v>1803</v>
      </c>
      <c r="X95" s="3990"/>
      <c r="Y95" s="3990"/>
      <c r="Z95" s="3990"/>
      <c r="AA95" s="3990"/>
      <c r="AB95" s="3990"/>
      <c r="AC95" s="3990"/>
      <c r="AD95" s="3990"/>
      <c r="AE95" s="3990"/>
      <c r="AF95" s="3990"/>
      <c r="AG95" s="3990"/>
      <c r="AH95" s="3990"/>
      <c r="AI95" s="3990"/>
      <c r="AJ95" s="3990"/>
      <c r="AK95" s="3990"/>
      <c r="AL95" s="3990"/>
      <c r="AM95" s="3236"/>
      <c r="AN95" s="3236"/>
    </row>
    <row r="96" spans="1:50" ht="28.5" customHeight="1">
      <c r="B96" s="2666"/>
      <c r="D96" s="2666"/>
      <c r="E96" s="3444" t="s">
        <v>46</v>
      </c>
      <c r="F96" s="3445"/>
      <c r="G96" s="3446"/>
      <c r="H96" s="3164"/>
      <c r="I96" s="3164"/>
      <c r="J96" s="2667"/>
      <c r="K96" s="2633"/>
      <c r="L96" s="2668"/>
      <c r="M96" s="2668"/>
      <c r="N96" s="2668"/>
      <c r="O96" s="3991" t="s">
        <v>1144</v>
      </c>
      <c r="P96" s="3991"/>
      <c r="Q96" s="3991"/>
      <c r="R96" s="3991"/>
      <c r="S96" s="3991"/>
      <c r="T96" s="3991"/>
      <c r="U96" s="3991"/>
      <c r="V96" s="3991"/>
      <c r="W96" s="2633"/>
      <c r="X96" s="2667"/>
      <c r="Y96" s="2669"/>
      <c r="AB96" s="3991" t="s">
        <v>1104</v>
      </c>
      <c r="AC96" s="3991"/>
      <c r="AD96" s="3991"/>
      <c r="AE96" s="3991"/>
      <c r="AF96" s="3991"/>
      <c r="AG96" s="3991"/>
      <c r="AH96" s="3991"/>
      <c r="AI96" s="3991"/>
      <c r="AJ96" s="3991"/>
      <c r="AK96" s="3991"/>
      <c r="AL96" s="3661"/>
    </row>
    <row r="102" spans="28:37" ht="20.25">
      <c r="AB102" s="3992" t="s">
        <v>1010</v>
      </c>
      <c r="AC102" s="3992"/>
      <c r="AD102" s="3992"/>
      <c r="AE102" s="3992"/>
      <c r="AF102" s="3992"/>
      <c r="AG102" s="3992"/>
      <c r="AH102" s="3992"/>
      <c r="AI102" s="3992"/>
      <c r="AJ102" s="3992"/>
      <c r="AK102" s="3992"/>
    </row>
  </sheetData>
  <mergeCells count="64">
    <mergeCell ref="W95:AL95"/>
    <mergeCell ref="O96:V96"/>
    <mergeCell ref="AB96:AK96"/>
    <mergeCell ref="AB102:AK102"/>
    <mergeCell ref="W93:AA93"/>
    <mergeCell ref="AB93:AE93"/>
    <mergeCell ref="W94:AA94"/>
    <mergeCell ref="AB94:AE94"/>
    <mergeCell ref="A94:C94"/>
    <mergeCell ref="D94:F94"/>
    <mergeCell ref="G94:I94"/>
    <mergeCell ref="J94:O94"/>
    <mergeCell ref="P94:V94"/>
    <mergeCell ref="A93:C93"/>
    <mergeCell ref="D93:F93"/>
    <mergeCell ref="G93:I93"/>
    <mergeCell ref="J93:O93"/>
    <mergeCell ref="P93:V93"/>
    <mergeCell ref="W91:AA91"/>
    <mergeCell ref="AB91:AE91"/>
    <mergeCell ref="A92:C92"/>
    <mergeCell ref="D92:F92"/>
    <mergeCell ref="G92:I92"/>
    <mergeCell ref="J92:O92"/>
    <mergeCell ref="P92:V92"/>
    <mergeCell ref="W92:AA92"/>
    <mergeCell ref="AB92:AE92"/>
    <mergeCell ref="A91:C91"/>
    <mergeCell ref="D91:F91"/>
    <mergeCell ref="G91:I91"/>
    <mergeCell ref="J91:O91"/>
    <mergeCell ref="P91:V91"/>
    <mergeCell ref="AB90:AE90"/>
    <mergeCell ref="B10:B11"/>
    <mergeCell ref="C10:C11"/>
    <mergeCell ref="B12:C12"/>
    <mergeCell ref="A90:C90"/>
    <mergeCell ref="D90:F90"/>
    <mergeCell ref="G90:I90"/>
    <mergeCell ref="J90:O90"/>
    <mergeCell ref="P90:V90"/>
    <mergeCell ref="A10:A11"/>
    <mergeCell ref="W90:AA90"/>
    <mergeCell ref="A5:N5"/>
    <mergeCell ref="A6:N6"/>
    <mergeCell ref="A1:AL1"/>
    <mergeCell ref="A2:AL2"/>
    <mergeCell ref="A3:AL3"/>
    <mergeCell ref="A8:AL8"/>
    <mergeCell ref="D10:AH10"/>
    <mergeCell ref="AK10:AK11"/>
    <mergeCell ref="AI10:AI11"/>
    <mergeCell ref="P89:V89"/>
    <mergeCell ref="AJ10:AJ11"/>
    <mergeCell ref="A89:C89"/>
    <mergeCell ref="D89:F89"/>
    <mergeCell ref="G89:I89"/>
    <mergeCell ref="J89:O89"/>
    <mergeCell ref="A87:C87"/>
    <mergeCell ref="W89:AA89"/>
    <mergeCell ref="AB89:AE89"/>
    <mergeCell ref="AL10:AL12"/>
    <mergeCell ref="B50:C50"/>
    <mergeCell ref="B70:C70"/>
  </mergeCells>
  <pageMargins left="0.51181102362204722" right="0.15748031496062992" top="0.43307086614173229" bottom="0.43307086614173229" header="0.31496062992125984" footer="0.31496062992125984"/>
  <pageSetup paperSize="9" scale="51" orientation="landscape" r:id="rId1"/>
  <colBreaks count="1" manualBreakCount="1">
    <brk id="3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46A1F80-603D-449F-B017-7E384F28A885}">
            <xm:f>'\NHÂN 2024\Tháng 08\SL TỔ\[SL mủ Tổ 1 27-8.xlsx]axit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D13:H49 J13:K49</xm:sqref>
        </x14:conditionalFormatting>
        <x14:conditionalFormatting xmlns:xm="http://schemas.microsoft.com/office/excel/2006/main">
          <x14:cfRule type="expression" priority="4" id="{49CEAC34-8F17-4BDF-BADE-9D2806B91B74}">
            <xm:f>'\NHÂN 2024\Tháng 08\SL TỔ\[SL mủ Tổ 2 27-08.xlsx]axit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D51:K69</xm:sqref>
        </x14:conditionalFormatting>
        <x14:conditionalFormatting xmlns:xm="http://schemas.microsoft.com/office/excel/2006/main">
          <x14:cfRule type="expression" priority="3" id="{96AC7F60-4E7D-4607-85F4-F5B741AD2A5F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D71:K82</xm:sqref>
        </x14:conditionalFormatting>
        <x14:conditionalFormatting xmlns:xm="http://schemas.microsoft.com/office/excel/2006/main">
          <x14:cfRule type="expression" priority="2" id="{BC4EDC25-3A57-4B0A-A0A2-E34935C305C7}">
            <xm:f>'\Users\Administrator\Desktop\[SL mủ Tổ 2 30-08.xlsx]axit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AB51:AC69</xm:sqref>
        </x14:conditionalFormatting>
        <x14:conditionalFormatting xmlns:xm="http://schemas.microsoft.com/office/excel/2006/main">
          <x14:cfRule type="expression" priority="1" id="{1122D2EB-778B-4F3B-8A9B-7573EC42DE0C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488"/>
  <sheetViews>
    <sheetView topLeftCell="J67" zoomScale="85" zoomScaleNormal="85" workbookViewId="0">
      <selection activeCell="AM66" sqref="AM66"/>
    </sheetView>
  </sheetViews>
  <sheetFormatPr defaultColWidth="3.375" defaultRowHeight="15.75"/>
  <cols>
    <col min="1" max="1" width="10.25" style="2731" hidden="1" customWidth="1"/>
    <col min="2" max="2" width="7.75" style="2730" hidden="1" customWidth="1"/>
    <col min="3" max="3" width="9.375" style="2730" hidden="1" customWidth="1"/>
    <col min="4" max="4" width="8.125" style="2730" hidden="1" customWidth="1"/>
    <col min="5" max="5" width="6.875" style="2731" hidden="1" customWidth="1"/>
    <col min="6" max="6" width="8.375" style="2732" hidden="1" customWidth="1"/>
    <col min="7" max="7" width="9" style="2733" hidden="1" customWidth="1"/>
    <col min="8" max="8" width="10.375" style="2731" hidden="1" customWidth="1"/>
    <col min="9" max="9" width="3" style="2734" hidden="1" customWidth="1"/>
    <col min="10" max="10" width="4" style="2731" customWidth="1"/>
    <col min="11" max="11" width="4" style="2730" customWidth="1"/>
    <col min="12" max="12" width="15.375" style="2730" customWidth="1"/>
    <col min="13" max="13" width="4.125" style="2785" customWidth="1"/>
    <col min="14" max="19" width="3.625" style="2785" customWidth="1"/>
    <col min="20" max="20" width="4.375" style="2785" customWidth="1"/>
    <col min="21" max="33" width="3.625" style="2785" customWidth="1"/>
    <col min="34" max="34" width="3.625" style="2784" customWidth="1"/>
    <col min="35" max="42" width="3.625" style="2785" customWidth="1"/>
    <col min="43" max="43" width="3.875" style="2785" hidden="1" customWidth="1"/>
    <col min="44" max="44" width="9.375" style="2730" customWidth="1"/>
    <col min="45" max="45" width="8.625" style="2730" customWidth="1"/>
    <col min="46" max="46" width="8.125" style="2730" customWidth="1"/>
    <col min="47" max="47" width="6.375" style="2730" customWidth="1"/>
    <col min="48" max="48" width="9.25" style="3872" customWidth="1"/>
    <col min="49" max="49" width="14.625" style="2730" customWidth="1"/>
    <col min="50" max="50" width="7.75" style="2730" hidden="1" customWidth="1"/>
    <col min="51" max="51" width="9.375" style="3872" hidden="1" customWidth="1"/>
    <col min="52" max="52" width="11.75" style="2730" customWidth="1"/>
    <col min="53" max="53" width="7.75" style="2730" customWidth="1"/>
    <col min="54" max="54" width="7.75" style="2730" hidden="1" customWidth="1"/>
    <col min="55" max="55" width="12.75" style="2730" customWidth="1"/>
    <col min="56" max="56" width="10.125" style="2730" customWidth="1"/>
    <col min="57" max="58" width="7.75" style="2730" customWidth="1"/>
    <col min="59" max="59" width="9" style="2730" customWidth="1"/>
    <col min="60" max="202" width="7.75" style="2730" customWidth="1"/>
    <col min="203" max="203" width="3.375" style="2730" customWidth="1"/>
    <col min="204" max="204" width="8" style="2730" customWidth="1"/>
    <col min="205" max="205" width="14.625" style="2730" customWidth="1"/>
    <col min="206" max="207" width="3" style="2730" customWidth="1"/>
    <col min="208" max="16384" width="3.375" style="2730"/>
  </cols>
  <sheetData>
    <row r="1" spans="1:63" s="3872" customFormat="1" ht="26.25" customHeight="1">
      <c r="A1" s="4021" t="s">
        <v>165</v>
      </c>
      <c r="B1" s="4021"/>
      <c r="C1" s="4021"/>
      <c r="D1" s="4021"/>
      <c r="E1" s="4021"/>
      <c r="F1" s="4021"/>
      <c r="G1" s="4021"/>
      <c r="H1" s="4021"/>
      <c r="I1" s="4021"/>
      <c r="J1" s="4021"/>
      <c r="K1" s="4021"/>
      <c r="L1" s="4021"/>
      <c r="M1" s="4021"/>
      <c r="N1" s="4021"/>
      <c r="O1" s="4021"/>
      <c r="P1" s="4021"/>
      <c r="Q1" s="4021"/>
      <c r="R1" s="4021"/>
      <c r="S1" s="4021"/>
      <c r="T1" s="4021"/>
      <c r="U1" s="4021"/>
      <c r="V1" s="4021"/>
      <c r="W1" s="4021"/>
      <c r="X1" s="4021"/>
      <c r="Y1" s="4021"/>
      <c r="Z1" s="4021"/>
      <c r="AA1" s="4021"/>
      <c r="AB1" s="4021"/>
      <c r="AC1" s="4021"/>
      <c r="AD1" s="4021"/>
      <c r="AE1" s="4021"/>
      <c r="AF1" s="4021"/>
      <c r="AG1" s="4021"/>
      <c r="AH1" s="4021"/>
      <c r="AI1" s="4021"/>
      <c r="AJ1" s="4021"/>
      <c r="AK1" s="4021"/>
      <c r="AL1" s="4021"/>
      <c r="AM1" s="4021"/>
      <c r="AN1" s="4021"/>
      <c r="AO1" s="4021"/>
      <c r="AP1" s="4021"/>
      <c r="AQ1" s="4021"/>
      <c r="AR1" s="4021"/>
      <c r="AS1" s="4021"/>
      <c r="AT1" s="4021"/>
      <c r="AU1" s="4021"/>
      <c r="AV1" s="4021"/>
      <c r="AW1" s="4021"/>
      <c r="AX1" s="4021"/>
      <c r="AY1" s="4021"/>
    </row>
    <row r="2" spans="1:63" s="3872" customFormat="1" ht="18" customHeight="1">
      <c r="A2" s="4021" t="s">
        <v>171</v>
      </c>
      <c r="B2" s="4021"/>
      <c r="C2" s="4021"/>
      <c r="D2" s="4021"/>
      <c r="E2" s="4021"/>
      <c r="F2" s="4021"/>
      <c r="G2" s="4021"/>
      <c r="H2" s="4021"/>
      <c r="I2" s="4021"/>
      <c r="J2" s="4021"/>
      <c r="K2" s="4021"/>
      <c r="L2" s="4021"/>
      <c r="M2" s="4021"/>
      <c r="N2" s="4021"/>
      <c r="O2" s="4021"/>
      <c r="P2" s="4021"/>
      <c r="Q2" s="4021"/>
      <c r="R2" s="4021"/>
      <c r="S2" s="4021"/>
      <c r="T2" s="4021"/>
      <c r="U2" s="4021"/>
      <c r="V2" s="4021"/>
      <c r="W2" s="4021"/>
      <c r="X2" s="4021"/>
      <c r="Y2" s="4021"/>
      <c r="Z2" s="4021"/>
      <c r="AA2" s="4021"/>
      <c r="AB2" s="4021"/>
      <c r="AC2" s="4021"/>
      <c r="AD2" s="4021"/>
      <c r="AE2" s="4021"/>
      <c r="AF2" s="4021"/>
      <c r="AG2" s="4021"/>
      <c r="AH2" s="4021"/>
      <c r="AI2" s="4021"/>
      <c r="AJ2" s="4021"/>
      <c r="AK2" s="4021"/>
      <c r="AL2" s="4021"/>
      <c r="AM2" s="4021"/>
      <c r="AN2" s="4021"/>
      <c r="AO2" s="4021"/>
      <c r="AP2" s="4021"/>
      <c r="AQ2" s="4021"/>
      <c r="AR2" s="4021"/>
      <c r="AS2" s="4021"/>
      <c r="AT2" s="4021"/>
      <c r="AU2" s="4021"/>
      <c r="AV2" s="4021"/>
      <c r="AW2" s="4021"/>
      <c r="AX2" s="4021"/>
      <c r="AY2" s="4021"/>
    </row>
    <row r="3" spans="1:63" s="3872" customFormat="1" ht="12.75" customHeight="1">
      <c r="A3" s="4021" t="s">
        <v>726</v>
      </c>
      <c r="B3" s="4021"/>
      <c r="C3" s="4021"/>
      <c r="D3" s="4021"/>
      <c r="E3" s="4021"/>
      <c r="F3" s="4021"/>
      <c r="G3" s="4021"/>
      <c r="H3" s="4021"/>
      <c r="I3" s="4021"/>
      <c r="J3" s="4021"/>
      <c r="K3" s="4021"/>
      <c r="L3" s="4021"/>
      <c r="M3" s="4021"/>
      <c r="N3" s="4021"/>
      <c r="O3" s="4021"/>
      <c r="P3" s="4021"/>
      <c r="Q3" s="4021"/>
      <c r="R3" s="4021"/>
      <c r="S3" s="4021"/>
      <c r="T3" s="4021"/>
      <c r="U3" s="4021"/>
      <c r="V3" s="4021"/>
      <c r="W3" s="4021"/>
      <c r="X3" s="4021"/>
      <c r="Y3" s="4021"/>
      <c r="Z3" s="4021"/>
      <c r="AA3" s="4021"/>
      <c r="AB3" s="4021"/>
      <c r="AC3" s="4021"/>
      <c r="AD3" s="4021"/>
      <c r="AE3" s="4021"/>
      <c r="AF3" s="4021"/>
      <c r="AG3" s="4021"/>
      <c r="AH3" s="4021"/>
      <c r="AI3" s="4021"/>
      <c r="AJ3" s="4021"/>
      <c r="AK3" s="4021"/>
      <c r="AL3" s="4021"/>
      <c r="AM3" s="4021"/>
      <c r="AN3" s="4021"/>
      <c r="AO3" s="4021"/>
      <c r="AP3" s="4021"/>
      <c r="AQ3" s="4021"/>
      <c r="AR3" s="4021"/>
      <c r="AS3" s="4021"/>
      <c r="AT3" s="4021"/>
      <c r="AU3" s="4021"/>
      <c r="AV3" s="4021"/>
      <c r="AW3" s="4021"/>
      <c r="AX3" s="4021"/>
      <c r="AY3" s="4021"/>
    </row>
    <row r="4" spans="1:63" s="3872" customFormat="1" ht="25.5" customHeight="1">
      <c r="H4" s="3871"/>
      <c r="I4" s="3871"/>
      <c r="J4" s="4022" t="s">
        <v>602</v>
      </c>
      <c r="K4" s="4022"/>
      <c r="L4" s="4022"/>
      <c r="M4" s="4022"/>
      <c r="N4" s="4022"/>
      <c r="O4" s="4022"/>
      <c r="P4" s="4022"/>
      <c r="Q4" s="4022"/>
      <c r="R4" s="4022"/>
      <c r="S4" s="4022"/>
      <c r="T4" s="4022"/>
      <c r="U4" s="4022"/>
      <c r="V4" s="4022"/>
      <c r="W4" s="2671"/>
      <c r="X4" s="2671"/>
      <c r="Y4" s="2671"/>
      <c r="Z4" s="2671"/>
      <c r="AA4" s="2671"/>
      <c r="AB4" s="2671"/>
      <c r="AC4" s="2671"/>
      <c r="AD4" s="2671"/>
      <c r="AE4" s="2671"/>
      <c r="AF4" s="2671"/>
      <c r="AG4" s="2671"/>
      <c r="AH4" s="2724"/>
      <c r="AI4" s="2671"/>
      <c r="AJ4" s="2671"/>
      <c r="AK4" s="2671"/>
      <c r="AL4" s="2671"/>
      <c r="AM4" s="2671"/>
      <c r="AN4" s="2671"/>
      <c r="AO4" s="2671"/>
      <c r="AP4" s="2671"/>
      <c r="AQ4" s="2671"/>
    </row>
    <row r="5" spans="1:63" s="3872" customFormat="1" ht="24" customHeight="1">
      <c r="A5" s="4020" t="s">
        <v>541</v>
      </c>
      <c r="B5" s="4020"/>
      <c r="C5" s="4020"/>
      <c r="D5" s="4020"/>
      <c r="E5" s="4020"/>
      <c r="F5" s="4020"/>
      <c r="G5" s="4020"/>
      <c r="H5" s="3871"/>
      <c r="I5" s="3871"/>
      <c r="J5" s="4021" t="s">
        <v>541</v>
      </c>
      <c r="K5" s="4021"/>
      <c r="L5" s="4021"/>
      <c r="M5" s="4021"/>
      <c r="N5" s="4021"/>
      <c r="O5" s="4021"/>
      <c r="P5" s="4021"/>
      <c r="Q5" s="4021"/>
      <c r="R5" s="4021"/>
      <c r="S5" s="4021"/>
      <c r="T5" s="4021"/>
      <c r="U5" s="4021"/>
      <c r="V5" s="4021"/>
      <c r="W5" s="2671"/>
      <c r="X5" s="2671"/>
      <c r="Y5" s="2671"/>
      <c r="Z5" s="2671"/>
      <c r="AA5" s="2671"/>
      <c r="AB5" s="2671"/>
      <c r="AC5" s="2671"/>
      <c r="AD5" s="2671"/>
      <c r="AE5" s="2671"/>
      <c r="AF5" s="2671"/>
      <c r="AG5" s="2671"/>
      <c r="AH5" s="2724"/>
      <c r="AI5" s="2671"/>
      <c r="AJ5" s="2671"/>
      <c r="AK5" s="2671"/>
      <c r="AL5" s="2671"/>
      <c r="AM5" s="2671"/>
      <c r="AN5" s="2671"/>
      <c r="AO5" s="2671"/>
      <c r="AP5" s="2671"/>
      <c r="AQ5" s="2671"/>
    </row>
    <row r="6" spans="1:63" s="3872" customFormat="1" ht="6" customHeight="1">
      <c r="A6" s="3871"/>
      <c r="B6" s="3871"/>
      <c r="C6" s="3871"/>
      <c r="D6" s="3871"/>
      <c r="E6" s="3871"/>
      <c r="F6" s="3871"/>
      <c r="G6" s="3871"/>
      <c r="H6" s="3871"/>
      <c r="I6" s="3871"/>
      <c r="J6" s="3871"/>
      <c r="K6" s="3871"/>
      <c r="L6" s="3871"/>
      <c r="M6" s="2670"/>
      <c r="N6" s="2670"/>
      <c r="O6" s="2670"/>
      <c r="P6" s="2670"/>
      <c r="Q6" s="2670"/>
      <c r="R6" s="2670"/>
      <c r="S6" s="2670"/>
      <c r="T6" s="2670"/>
      <c r="U6" s="2671"/>
      <c r="V6" s="2671"/>
      <c r="W6" s="2671"/>
      <c r="X6" s="2671"/>
      <c r="Y6" s="2671"/>
      <c r="Z6" s="2671"/>
      <c r="AA6" s="2671"/>
      <c r="AB6" s="2671"/>
      <c r="AC6" s="2671"/>
      <c r="AD6" s="2671"/>
      <c r="AE6" s="2671"/>
      <c r="AF6" s="2671"/>
      <c r="AG6" s="2671"/>
      <c r="AH6" s="2724"/>
      <c r="AI6" s="2671"/>
      <c r="AJ6" s="2671"/>
      <c r="AK6" s="2671"/>
      <c r="AL6" s="2671"/>
      <c r="AM6" s="2671"/>
      <c r="AN6" s="2671"/>
      <c r="AO6" s="2671"/>
      <c r="AP6" s="2671"/>
      <c r="AQ6" s="2671"/>
    </row>
    <row r="7" spans="1:63" ht="26.25" customHeight="1">
      <c r="A7" s="3864"/>
      <c r="J7" s="4025" t="s">
        <v>1765</v>
      </c>
      <c r="K7" s="4025"/>
      <c r="L7" s="4025"/>
      <c r="M7" s="4025"/>
      <c r="N7" s="4025"/>
      <c r="O7" s="4025"/>
      <c r="P7" s="4025"/>
      <c r="Q7" s="4025"/>
      <c r="R7" s="4025"/>
      <c r="S7" s="4025"/>
      <c r="T7" s="4025"/>
      <c r="U7" s="4025"/>
      <c r="V7" s="4025"/>
      <c r="W7" s="4025"/>
      <c r="X7" s="4025"/>
      <c r="Y7" s="4025"/>
      <c r="Z7" s="4025"/>
      <c r="AA7" s="4025"/>
      <c r="AB7" s="4025"/>
      <c r="AC7" s="4025"/>
      <c r="AD7" s="4025"/>
      <c r="AE7" s="4025"/>
      <c r="AF7" s="4025"/>
      <c r="AG7" s="4025"/>
      <c r="AH7" s="4025"/>
      <c r="AI7" s="4025"/>
      <c r="AJ7" s="4025"/>
      <c r="AK7" s="4025"/>
      <c r="AL7" s="4025"/>
      <c r="AM7" s="4025"/>
      <c r="AN7" s="4025"/>
      <c r="AO7" s="4025"/>
      <c r="AP7" s="4025"/>
      <c r="AQ7" s="4025"/>
      <c r="AR7" s="4025"/>
      <c r="AS7" s="4025"/>
      <c r="AT7" s="4025"/>
      <c r="AU7" s="4025"/>
      <c r="AV7" s="4025"/>
      <c r="AW7" s="4025"/>
      <c r="AX7" s="4025"/>
      <c r="AY7" s="4025"/>
    </row>
    <row r="8" spans="1:63" ht="17.25" customHeight="1">
      <c r="A8" s="2735"/>
      <c r="K8" s="3872"/>
      <c r="L8" s="3872"/>
      <c r="M8" s="2671"/>
      <c r="N8" s="2671"/>
      <c r="O8" s="2671"/>
      <c r="P8" s="2671"/>
      <c r="Q8" s="2671"/>
      <c r="R8" s="2671"/>
      <c r="S8" s="2671"/>
      <c r="T8" s="2671"/>
      <c r="U8" s="2671"/>
      <c r="V8" s="2671"/>
      <c r="W8" s="2671"/>
      <c r="X8" s="2671"/>
      <c r="Y8" s="2671"/>
      <c r="Z8" s="2671"/>
      <c r="AA8" s="2671"/>
      <c r="AB8" s="2671"/>
      <c r="AC8" s="2671"/>
      <c r="AD8" s="2671"/>
      <c r="AE8" s="2671"/>
      <c r="AF8" s="2671"/>
      <c r="AG8" s="2671"/>
      <c r="AH8" s="2724"/>
      <c r="AI8" s="2671"/>
      <c r="AJ8" s="2671"/>
      <c r="AK8" s="2671"/>
      <c r="AL8" s="2671"/>
      <c r="AM8" s="2671"/>
      <c r="AN8" s="2671"/>
      <c r="AO8" s="2671"/>
      <c r="AP8" s="2671"/>
      <c r="AQ8" s="2671"/>
      <c r="AR8" s="3872"/>
      <c r="AS8" s="3872"/>
      <c r="AT8" s="3872"/>
      <c r="AU8" s="3872"/>
    </row>
    <row r="9" spans="1:63" ht="16.5" customHeight="1">
      <c r="A9" s="4014" t="s">
        <v>642</v>
      </c>
      <c r="B9" s="4017" t="s">
        <v>643</v>
      </c>
      <c r="C9" s="3993" t="s">
        <v>644</v>
      </c>
      <c r="D9" s="4017" t="s">
        <v>645</v>
      </c>
      <c r="E9" s="4006" t="s">
        <v>646</v>
      </c>
      <c r="F9" s="3993" t="s">
        <v>647</v>
      </c>
      <c r="G9" s="3996" t="s">
        <v>648</v>
      </c>
      <c r="H9" s="4006" t="s">
        <v>649</v>
      </c>
      <c r="I9" s="4009" t="s">
        <v>650</v>
      </c>
      <c r="J9" s="4004" t="s">
        <v>19</v>
      </c>
      <c r="K9" s="3999" t="s">
        <v>19</v>
      </c>
      <c r="L9" s="3999" t="s">
        <v>20</v>
      </c>
      <c r="M9" s="4001" t="s">
        <v>50</v>
      </c>
      <c r="N9" s="4002"/>
      <c r="O9" s="4002"/>
      <c r="P9" s="4002"/>
      <c r="Q9" s="4002"/>
      <c r="R9" s="4002"/>
      <c r="S9" s="4002"/>
      <c r="T9" s="4002"/>
      <c r="U9" s="4002"/>
      <c r="V9" s="4002"/>
      <c r="W9" s="4002"/>
      <c r="X9" s="4002"/>
      <c r="Y9" s="4002"/>
      <c r="Z9" s="4002"/>
      <c r="AA9" s="4002"/>
      <c r="AB9" s="4002"/>
      <c r="AC9" s="4002"/>
      <c r="AD9" s="4002"/>
      <c r="AE9" s="4002"/>
      <c r="AF9" s="4002"/>
      <c r="AG9" s="4002"/>
      <c r="AH9" s="4002"/>
      <c r="AI9" s="4002"/>
      <c r="AJ9" s="4002"/>
      <c r="AK9" s="4002"/>
      <c r="AL9" s="4002"/>
      <c r="AM9" s="4002"/>
      <c r="AN9" s="4002"/>
      <c r="AO9" s="4002"/>
      <c r="AP9" s="4002"/>
      <c r="AQ9" s="4003"/>
      <c r="AR9" s="4014" t="s">
        <v>1877</v>
      </c>
      <c r="AS9" s="4014" t="s">
        <v>1578</v>
      </c>
      <c r="AT9" s="4014" t="s">
        <v>1579</v>
      </c>
      <c r="AU9" s="4014" t="s">
        <v>1580</v>
      </c>
      <c r="AV9" s="4026" t="s">
        <v>804</v>
      </c>
      <c r="AW9" s="4026" t="s">
        <v>1156</v>
      </c>
      <c r="AY9" s="4026" t="s">
        <v>1156</v>
      </c>
    </row>
    <row r="10" spans="1:63" ht="110.25" customHeight="1">
      <c r="A10" s="4015"/>
      <c r="B10" s="4018"/>
      <c r="C10" s="3994"/>
      <c r="D10" s="4018"/>
      <c r="E10" s="4007"/>
      <c r="F10" s="3994"/>
      <c r="G10" s="3997"/>
      <c r="H10" s="4007"/>
      <c r="I10" s="4010"/>
      <c r="J10" s="4005"/>
      <c r="K10" s="4000"/>
      <c r="L10" s="4000"/>
      <c r="M10" s="3454">
        <v>1</v>
      </c>
      <c r="N10" s="3454">
        <v>2</v>
      </c>
      <c r="O10" s="3454">
        <v>3</v>
      </c>
      <c r="P10" s="3454">
        <v>4</v>
      </c>
      <c r="Q10" s="3454">
        <v>5</v>
      </c>
      <c r="R10" s="3345">
        <v>6</v>
      </c>
      <c r="S10" s="3454">
        <v>7</v>
      </c>
      <c r="T10" s="3454">
        <v>8</v>
      </c>
      <c r="U10" s="3454">
        <v>9</v>
      </c>
      <c r="V10" s="3454">
        <v>10</v>
      </c>
      <c r="W10" s="3454">
        <v>11</v>
      </c>
      <c r="X10" s="3454">
        <v>12</v>
      </c>
      <c r="Y10" s="3345">
        <v>13</v>
      </c>
      <c r="Z10" s="3454">
        <v>14</v>
      </c>
      <c r="AA10" s="3454">
        <v>15</v>
      </c>
      <c r="AB10" s="3454">
        <v>16</v>
      </c>
      <c r="AC10" s="3454">
        <v>17</v>
      </c>
      <c r="AD10" s="3454">
        <v>18</v>
      </c>
      <c r="AE10" s="3454">
        <v>19</v>
      </c>
      <c r="AF10" s="3345">
        <v>20</v>
      </c>
      <c r="AG10" s="3454">
        <v>21</v>
      </c>
      <c r="AH10" s="3454">
        <v>22</v>
      </c>
      <c r="AI10" s="3454">
        <v>23</v>
      </c>
      <c r="AJ10" s="3454">
        <v>24</v>
      </c>
      <c r="AK10" s="3454">
        <v>25</v>
      </c>
      <c r="AL10" s="3454">
        <v>26</v>
      </c>
      <c r="AM10" s="3345">
        <v>27</v>
      </c>
      <c r="AN10" s="3454">
        <v>28</v>
      </c>
      <c r="AO10" s="3454">
        <v>29</v>
      </c>
      <c r="AP10" s="3454">
        <v>30</v>
      </c>
      <c r="AQ10" s="3454"/>
      <c r="AR10" s="4028"/>
      <c r="AS10" s="4028"/>
      <c r="AT10" s="4028"/>
      <c r="AU10" s="4028"/>
      <c r="AV10" s="4027"/>
      <c r="AW10" s="4027"/>
      <c r="AY10" s="4027"/>
    </row>
    <row r="11" spans="1:63" ht="29.25" hidden="1" customHeight="1">
      <c r="A11" s="4015"/>
      <c r="B11" s="4018"/>
      <c r="C11" s="3994"/>
      <c r="D11" s="4018"/>
      <c r="E11" s="4007"/>
      <c r="F11" s="3994"/>
      <c r="G11" s="3997"/>
      <c r="H11" s="4007"/>
      <c r="I11" s="4010"/>
      <c r="J11" s="2736"/>
      <c r="K11" s="2737"/>
      <c r="L11" s="2738"/>
      <c r="M11" s="3454" t="s">
        <v>93</v>
      </c>
      <c r="N11" s="3454" t="s">
        <v>52</v>
      </c>
      <c r="O11" s="3454" t="s">
        <v>92</v>
      </c>
      <c r="P11" s="3454" t="s">
        <v>53</v>
      </c>
      <c r="Q11" s="3454" t="s">
        <v>93</v>
      </c>
      <c r="R11" s="3454" t="s">
        <v>52</v>
      </c>
      <c r="S11" s="3454" t="s">
        <v>92</v>
      </c>
      <c r="T11" s="3454" t="s">
        <v>53</v>
      </c>
      <c r="U11" s="3454" t="s">
        <v>93</v>
      </c>
      <c r="V11" s="3454" t="s">
        <v>52</v>
      </c>
      <c r="W11" s="3454" t="s">
        <v>92</v>
      </c>
      <c r="X11" s="3454" t="s">
        <v>53</v>
      </c>
      <c r="Y11" s="3454" t="s">
        <v>93</v>
      </c>
      <c r="Z11" s="3454" t="s">
        <v>52</v>
      </c>
      <c r="AA11" s="3454" t="s">
        <v>92</v>
      </c>
      <c r="AB11" s="3454" t="s">
        <v>53</v>
      </c>
      <c r="AC11" s="3454" t="s">
        <v>93</v>
      </c>
      <c r="AD11" s="3454" t="s">
        <v>52</v>
      </c>
      <c r="AE11" s="3454" t="s">
        <v>92</v>
      </c>
      <c r="AF11" s="3454" t="s">
        <v>53</v>
      </c>
      <c r="AG11" s="3454" t="s">
        <v>93</v>
      </c>
      <c r="AH11" s="3454" t="s">
        <v>52</v>
      </c>
      <c r="AI11" s="3454" t="s">
        <v>92</v>
      </c>
      <c r="AJ11" s="3454" t="s">
        <v>53</v>
      </c>
      <c r="AK11" s="3454" t="s">
        <v>93</v>
      </c>
      <c r="AL11" s="3454" t="s">
        <v>52</v>
      </c>
      <c r="AM11" s="3454" t="s">
        <v>92</v>
      </c>
      <c r="AN11" s="3454" t="s">
        <v>53</v>
      </c>
      <c r="AO11" s="3454"/>
      <c r="AP11" s="3454"/>
      <c r="AQ11" s="3454"/>
      <c r="AR11" s="3867"/>
      <c r="AS11" s="3867"/>
      <c r="AT11" s="3867"/>
      <c r="AU11" s="3867"/>
      <c r="AV11" s="3866"/>
      <c r="AW11" s="2739"/>
      <c r="AY11" s="3866"/>
      <c r="BK11" s="2730">
        <v>23</v>
      </c>
    </row>
    <row r="12" spans="1:63" ht="33" customHeight="1">
      <c r="A12" s="4016"/>
      <c r="B12" s="4019"/>
      <c r="C12" s="3995"/>
      <c r="D12" s="4019"/>
      <c r="E12" s="4008"/>
      <c r="F12" s="3995"/>
      <c r="G12" s="3998"/>
      <c r="H12" s="4008"/>
      <c r="I12" s="4011"/>
      <c r="J12" s="3873" t="s">
        <v>52</v>
      </c>
      <c r="K12" s="4012" t="s">
        <v>796</v>
      </c>
      <c r="L12" s="4013"/>
      <c r="M12" s="3346">
        <f>COUNTIF(M13:M49,"X")+COUNTIF(M13:M49,"CN")+COUNTIF(M13:M49,"X1")+COUNTIF(M13:M49,"CN1")</f>
        <v>0</v>
      </c>
      <c r="N12" s="3346">
        <f t="shared" ref="N12:AP12" si="0">COUNTIF(N13:N49,"X")+COUNTIF(N13:N49,"CN")+COUNTIF(N13:N49,"X1")+COUNTIF(N13:N49,"CN1")</f>
        <v>0</v>
      </c>
      <c r="O12" s="3346">
        <f t="shared" si="0"/>
        <v>0</v>
      </c>
      <c r="P12" s="3346">
        <f t="shared" si="0"/>
        <v>0</v>
      </c>
      <c r="Q12" s="3346">
        <f t="shared" si="0"/>
        <v>11</v>
      </c>
      <c r="R12" s="2725">
        <f t="shared" si="0"/>
        <v>13</v>
      </c>
      <c r="S12" s="3346">
        <f t="shared" si="0"/>
        <v>10</v>
      </c>
      <c r="T12" s="3346">
        <f t="shared" si="0"/>
        <v>15</v>
      </c>
      <c r="U12" s="3346">
        <f t="shared" si="0"/>
        <v>26</v>
      </c>
      <c r="V12" s="3346">
        <f t="shared" si="0"/>
        <v>28</v>
      </c>
      <c r="W12" s="3346">
        <f t="shared" si="0"/>
        <v>27</v>
      </c>
      <c r="X12" s="3346">
        <f t="shared" si="0"/>
        <v>31</v>
      </c>
      <c r="Y12" s="2725">
        <f t="shared" si="0"/>
        <v>27</v>
      </c>
      <c r="Z12" s="3346">
        <f t="shared" si="0"/>
        <v>13</v>
      </c>
      <c r="AA12" s="3346">
        <f t="shared" si="0"/>
        <v>9</v>
      </c>
      <c r="AB12" s="3346">
        <f t="shared" si="0"/>
        <v>5</v>
      </c>
      <c r="AC12" s="3346">
        <f t="shared" si="0"/>
        <v>8</v>
      </c>
      <c r="AD12" s="3346">
        <f t="shared" si="0"/>
        <v>24</v>
      </c>
      <c r="AE12" s="3346">
        <f t="shared" si="0"/>
        <v>32</v>
      </c>
      <c r="AF12" s="2725">
        <f t="shared" si="0"/>
        <v>32</v>
      </c>
      <c r="AG12" s="3346">
        <f t="shared" si="0"/>
        <v>32</v>
      </c>
      <c r="AH12" s="3346">
        <f t="shared" si="0"/>
        <v>35</v>
      </c>
      <c r="AI12" s="3346">
        <f t="shared" si="0"/>
        <v>34</v>
      </c>
      <c r="AJ12" s="3346">
        <f t="shared" si="0"/>
        <v>31</v>
      </c>
      <c r="AK12" s="3346">
        <f t="shared" si="0"/>
        <v>21</v>
      </c>
      <c r="AL12" s="3346">
        <f t="shared" si="0"/>
        <v>37</v>
      </c>
      <c r="AM12" s="2725">
        <f t="shared" si="0"/>
        <v>37</v>
      </c>
      <c r="AN12" s="3346">
        <f t="shared" si="0"/>
        <v>33</v>
      </c>
      <c r="AO12" s="3346">
        <f t="shared" si="0"/>
        <v>37</v>
      </c>
      <c r="AP12" s="3346">
        <f t="shared" si="0"/>
        <v>37</v>
      </c>
      <c r="AQ12" s="3346"/>
      <c r="AR12" s="2762">
        <f>SUM(AR13:AR49)</f>
        <v>531</v>
      </c>
      <c r="AS12" s="2762">
        <f t="shared" ref="AS12:AV12" si="1">SUM(AS13:AS49)</f>
        <v>108</v>
      </c>
      <c r="AT12" s="2762">
        <f t="shared" si="1"/>
        <v>5</v>
      </c>
      <c r="AU12" s="2762">
        <f t="shared" si="1"/>
        <v>1</v>
      </c>
      <c r="AV12" s="2762">
        <f t="shared" si="1"/>
        <v>645</v>
      </c>
      <c r="AW12" s="2740"/>
      <c r="AX12" s="2740">
        <f>SUM(AX13:AX48)</f>
        <v>0</v>
      </c>
      <c r="AY12" s="2740"/>
      <c r="BF12" s="2741"/>
    </row>
    <row r="13" spans="1:63" ht="21.75" customHeight="1">
      <c r="A13" s="2742"/>
      <c r="B13" s="2743"/>
      <c r="C13" s="2744"/>
      <c r="D13" s="2744"/>
      <c r="E13" s="2745"/>
      <c r="F13" s="2739"/>
      <c r="G13" s="2746"/>
      <c r="H13" s="2745"/>
      <c r="I13" s="2747"/>
      <c r="J13" s="2748">
        <v>1</v>
      </c>
      <c r="K13" s="2748">
        <v>1</v>
      </c>
      <c r="L13" s="2749" t="s">
        <v>104</v>
      </c>
      <c r="M13" s="3673"/>
      <c r="N13" s="3674"/>
      <c r="O13" s="3673"/>
      <c r="P13" s="3675"/>
      <c r="Q13" s="3673"/>
      <c r="R13" s="3676"/>
      <c r="S13" s="3673"/>
      <c r="T13" s="3676" t="s">
        <v>150</v>
      </c>
      <c r="U13" s="3673"/>
      <c r="V13" s="3676"/>
      <c r="W13" s="3673"/>
      <c r="X13" s="3676" t="s">
        <v>150</v>
      </c>
      <c r="Y13" s="3676" t="s">
        <v>237</v>
      </c>
      <c r="Z13" s="3676"/>
      <c r="AA13" s="3673"/>
      <c r="AB13" s="3675"/>
      <c r="AC13" s="3673"/>
      <c r="AD13" s="3676" t="s">
        <v>150</v>
      </c>
      <c r="AE13" s="3673" t="s">
        <v>150</v>
      </c>
      <c r="AF13" s="3676" t="s">
        <v>237</v>
      </c>
      <c r="AG13" s="3673" t="s">
        <v>150</v>
      </c>
      <c r="AH13" s="3676" t="s">
        <v>150</v>
      </c>
      <c r="AI13" s="3673" t="s">
        <v>150</v>
      </c>
      <c r="AJ13" s="3676" t="s">
        <v>150</v>
      </c>
      <c r="AK13" s="3677"/>
      <c r="AL13" s="3677" t="s">
        <v>150</v>
      </c>
      <c r="AM13" s="3676" t="s">
        <v>237</v>
      </c>
      <c r="AN13" s="3677"/>
      <c r="AO13" s="3676" t="s">
        <v>150</v>
      </c>
      <c r="AP13" s="3676" t="s">
        <v>150</v>
      </c>
      <c r="AQ13" s="3455"/>
      <c r="AR13" s="2750">
        <f>COUNTIF(M13:AQ13,"X")</f>
        <v>11</v>
      </c>
      <c r="AS13" s="2751">
        <f t="shared" ref="AS13:AS49" si="2">+COUNTIF(M13:AQ13,"CN")</f>
        <v>3</v>
      </c>
      <c r="AT13" s="2752">
        <f t="shared" ref="AT13:AT49" si="3">COUNTIF(M13:AQ13,"X1")</f>
        <v>0</v>
      </c>
      <c r="AU13" s="2753">
        <f t="shared" ref="AU13:AU49" si="4">+COUNTIF(M13:AQ13,"CN1")</f>
        <v>0</v>
      </c>
      <c r="AV13" s="2751">
        <f>+SUM(AR13:AU13)</f>
        <v>14</v>
      </c>
      <c r="AW13" s="2754"/>
      <c r="AX13" s="2755"/>
      <c r="AY13" s="2751"/>
    </row>
    <row r="14" spans="1:63" ht="21.75" customHeight="1">
      <c r="A14" s="2742"/>
      <c r="B14" s="2743"/>
      <c r="C14" s="2744"/>
      <c r="D14" s="2744"/>
      <c r="E14" s="2745"/>
      <c r="F14" s="2739"/>
      <c r="G14" s="2746"/>
      <c r="H14" s="2745"/>
      <c r="I14" s="2747"/>
      <c r="J14" s="2748">
        <v>2</v>
      </c>
      <c r="K14" s="2748">
        <v>2</v>
      </c>
      <c r="L14" s="2749" t="s">
        <v>1766</v>
      </c>
      <c r="M14" s="3676"/>
      <c r="N14" s="3676"/>
      <c r="O14" s="3677"/>
      <c r="P14" s="3676"/>
      <c r="Q14" s="3676" t="s">
        <v>150</v>
      </c>
      <c r="R14" s="3676" t="s">
        <v>237</v>
      </c>
      <c r="S14" s="3677" t="s">
        <v>150</v>
      </c>
      <c r="T14" s="3676" t="s">
        <v>150</v>
      </c>
      <c r="U14" s="3676" t="s">
        <v>150</v>
      </c>
      <c r="V14" s="3676" t="s">
        <v>150</v>
      </c>
      <c r="W14" s="3677" t="s">
        <v>150</v>
      </c>
      <c r="X14" s="3676" t="s">
        <v>150</v>
      </c>
      <c r="Y14" s="3676" t="s">
        <v>237</v>
      </c>
      <c r="Z14" s="3676"/>
      <c r="AA14" s="3677"/>
      <c r="AB14" s="3676"/>
      <c r="AC14" s="3676" t="s">
        <v>150</v>
      </c>
      <c r="AD14" s="3676" t="s">
        <v>150</v>
      </c>
      <c r="AE14" s="3677" t="s">
        <v>150</v>
      </c>
      <c r="AF14" s="3676" t="s">
        <v>237</v>
      </c>
      <c r="AG14" s="3676" t="s">
        <v>150</v>
      </c>
      <c r="AH14" s="3673" t="s">
        <v>150</v>
      </c>
      <c r="AI14" s="3677" t="s">
        <v>150</v>
      </c>
      <c r="AJ14" s="3676" t="s">
        <v>150</v>
      </c>
      <c r="AK14" s="3673" t="s">
        <v>150</v>
      </c>
      <c r="AL14" s="3677" t="s">
        <v>150</v>
      </c>
      <c r="AM14" s="3676" t="s">
        <v>237</v>
      </c>
      <c r="AN14" s="3676" t="s">
        <v>150</v>
      </c>
      <c r="AO14" s="3676" t="s">
        <v>150</v>
      </c>
      <c r="AP14" s="3676" t="s">
        <v>150</v>
      </c>
      <c r="AQ14" s="3456"/>
      <c r="AR14" s="2750">
        <f t="shared" ref="AR14:AR49" si="5">COUNTIF(M14:AQ14,"X")</f>
        <v>19</v>
      </c>
      <c r="AS14" s="2751">
        <f t="shared" si="2"/>
        <v>4</v>
      </c>
      <c r="AT14" s="2752">
        <f t="shared" si="3"/>
        <v>0</v>
      </c>
      <c r="AU14" s="2753">
        <f t="shared" si="4"/>
        <v>0</v>
      </c>
      <c r="AV14" s="2751">
        <f t="shared" ref="AV14:AV49" si="6">+SUM(AR14:AU14)</f>
        <v>23</v>
      </c>
      <c r="AW14" s="2754"/>
      <c r="AX14" s="2755"/>
      <c r="AY14" s="2751"/>
    </row>
    <row r="15" spans="1:63" ht="21.75" customHeight="1">
      <c r="A15" s="2742"/>
      <c r="B15" s="2743"/>
      <c r="C15" s="2744"/>
      <c r="D15" s="2744"/>
      <c r="E15" s="2745"/>
      <c r="F15" s="2739"/>
      <c r="G15" s="2746"/>
      <c r="H15" s="2745"/>
      <c r="I15" s="2747"/>
      <c r="J15" s="2748">
        <v>3</v>
      </c>
      <c r="K15" s="2748">
        <v>3</v>
      </c>
      <c r="L15" s="2756" t="s">
        <v>661</v>
      </c>
      <c r="M15" s="3676"/>
      <c r="N15" s="3678"/>
      <c r="O15" s="3677"/>
      <c r="P15" s="3676"/>
      <c r="Q15" s="3676"/>
      <c r="R15" s="3675"/>
      <c r="S15" s="3677"/>
      <c r="T15" s="3676"/>
      <c r="U15" s="3676" t="s">
        <v>150</v>
      </c>
      <c r="V15" s="3677" t="s">
        <v>150</v>
      </c>
      <c r="W15" s="3677" t="s">
        <v>150</v>
      </c>
      <c r="X15" s="3676" t="s">
        <v>150</v>
      </c>
      <c r="Y15" s="3676" t="s">
        <v>237</v>
      </c>
      <c r="Z15" s="3675"/>
      <c r="AA15" s="3677"/>
      <c r="AB15" s="3676"/>
      <c r="AC15" s="3676"/>
      <c r="AD15" s="3675"/>
      <c r="AE15" s="3677" t="s">
        <v>150</v>
      </c>
      <c r="AF15" s="3676" t="s">
        <v>237</v>
      </c>
      <c r="AG15" s="3676" t="s">
        <v>150</v>
      </c>
      <c r="AH15" s="3676" t="s">
        <v>150</v>
      </c>
      <c r="AI15" s="3677" t="s">
        <v>150</v>
      </c>
      <c r="AJ15" s="3676"/>
      <c r="AK15" s="3677"/>
      <c r="AL15" s="3677" t="s">
        <v>150</v>
      </c>
      <c r="AM15" s="3676" t="s">
        <v>237</v>
      </c>
      <c r="AN15" s="3676" t="s">
        <v>150</v>
      </c>
      <c r="AO15" s="3676" t="s">
        <v>150</v>
      </c>
      <c r="AP15" s="3676" t="s">
        <v>150</v>
      </c>
      <c r="AQ15" s="3456"/>
      <c r="AR15" s="2750">
        <f t="shared" si="5"/>
        <v>12</v>
      </c>
      <c r="AS15" s="2751">
        <f t="shared" si="2"/>
        <v>3</v>
      </c>
      <c r="AT15" s="2752">
        <f t="shared" si="3"/>
        <v>0</v>
      </c>
      <c r="AU15" s="2753">
        <f t="shared" si="4"/>
        <v>0</v>
      </c>
      <c r="AV15" s="2751">
        <f t="shared" si="6"/>
        <v>15</v>
      </c>
      <c r="AW15" s="2754"/>
      <c r="AX15" s="2755"/>
      <c r="AY15" s="2751"/>
    </row>
    <row r="16" spans="1:63" ht="21.75" customHeight="1">
      <c r="A16" s="2742"/>
      <c r="B16" s="2743"/>
      <c r="C16" s="2744"/>
      <c r="D16" s="2744"/>
      <c r="E16" s="2745"/>
      <c r="F16" s="2739"/>
      <c r="G16" s="2746"/>
      <c r="H16" s="2745"/>
      <c r="I16" s="2747"/>
      <c r="J16" s="2748">
        <v>4</v>
      </c>
      <c r="K16" s="2748">
        <v>4</v>
      </c>
      <c r="L16" s="2749" t="s">
        <v>1767</v>
      </c>
      <c r="M16" s="3679"/>
      <c r="N16" s="3680"/>
      <c r="O16" s="3681"/>
      <c r="P16" s="3676"/>
      <c r="Q16" s="3676" t="s">
        <v>150</v>
      </c>
      <c r="R16" s="3676" t="s">
        <v>237</v>
      </c>
      <c r="S16" s="3677" t="s">
        <v>150</v>
      </c>
      <c r="T16" s="3676" t="s">
        <v>150</v>
      </c>
      <c r="U16" s="3676" t="s">
        <v>150</v>
      </c>
      <c r="V16" s="3676" t="s">
        <v>150</v>
      </c>
      <c r="W16" s="3676" t="s">
        <v>150</v>
      </c>
      <c r="X16" s="3676" t="s">
        <v>150</v>
      </c>
      <c r="Y16" s="3676" t="s">
        <v>237</v>
      </c>
      <c r="Z16" s="3676" t="s">
        <v>150</v>
      </c>
      <c r="AA16" s="3676" t="s">
        <v>150</v>
      </c>
      <c r="AB16" s="3676"/>
      <c r="AC16" s="3676" t="s">
        <v>150</v>
      </c>
      <c r="AD16" s="3676" t="s">
        <v>150</v>
      </c>
      <c r="AE16" s="3676" t="s">
        <v>150</v>
      </c>
      <c r="AF16" s="3676" t="s">
        <v>237</v>
      </c>
      <c r="AG16" s="3676" t="s">
        <v>150</v>
      </c>
      <c r="AH16" s="3676" t="s">
        <v>150</v>
      </c>
      <c r="AI16" s="3676" t="s">
        <v>150</v>
      </c>
      <c r="AJ16" s="3676" t="s">
        <v>150</v>
      </c>
      <c r="AK16" s="3673" t="s">
        <v>150</v>
      </c>
      <c r="AL16" s="3677" t="s">
        <v>150</v>
      </c>
      <c r="AM16" s="3676" t="s">
        <v>237</v>
      </c>
      <c r="AN16" s="3676" t="s">
        <v>150</v>
      </c>
      <c r="AO16" s="3676" t="s">
        <v>150</v>
      </c>
      <c r="AP16" s="3676" t="s">
        <v>150</v>
      </c>
      <c r="AQ16" s="3457"/>
      <c r="AR16" s="2750">
        <f t="shared" si="5"/>
        <v>21</v>
      </c>
      <c r="AS16" s="2751">
        <f t="shared" si="2"/>
        <v>4</v>
      </c>
      <c r="AT16" s="2752">
        <f t="shared" si="3"/>
        <v>0</v>
      </c>
      <c r="AU16" s="2753">
        <f t="shared" si="4"/>
        <v>0</v>
      </c>
      <c r="AV16" s="2751">
        <f t="shared" si="6"/>
        <v>25</v>
      </c>
      <c r="AW16" s="2754"/>
      <c r="AX16" s="2755"/>
      <c r="AY16" s="2751"/>
    </row>
    <row r="17" spans="1:51" ht="21.75" customHeight="1">
      <c r="A17" s="2742"/>
      <c r="B17" s="2743"/>
      <c r="C17" s="2744"/>
      <c r="D17" s="2744"/>
      <c r="E17" s="2745"/>
      <c r="F17" s="2739"/>
      <c r="G17" s="2746"/>
      <c r="H17" s="2745"/>
      <c r="I17" s="2747"/>
      <c r="J17" s="2748">
        <v>5</v>
      </c>
      <c r="K17" s="2748">
        <v>5</v>
      </c>
      <c r="L17" s="2748" t="s">
        <v>1768</v>
      </c>
      <c r="M17" s="3675"/>
      <c r="N17" s="3682"/>
      <c r="O17" s="3674"/>
      <c r="P17" s="3675"/>
      <c r="Q17" s="3675"/>
      <c r="R17" s="3676"/>
      <c r="S17" s="3674"/>
      <c r="T17" s="3676" t="s">
        <v>150</v>
      </c>
      <c r="U17" s="3676" t="s">
        <v>150</v>
      </c>
      <c r="V17" s="3676" t="s">
        <v>150</v>
      </c>
      <c r="W17" s="3674"/>
      <c r="X17" s="3677" t="s">
        <v>150</v>
      </c>
      <c r="Y17" s="3676" t="s">
        <v>237</v>
      </c>
      <c r="Z17" s="3676"/>
      <c r="AA17" s="3674"/>
      <c r="AB17" s="3675"/>
      <c r="AC17" s="3675"/>
      <c r="AD17" s="3676"/>
      <c r="AE17" s="3676" t="s">
        <v>150</v>
      </c>
      <c r="AF17" s="3676" t="s">
        <v>237</v>
      </c>
      <c r="AG17" s="3676" t="s">
        <v>150</v>
      </c>
      <c r="AH17" s="3676" t="s">
        <v>150</v>
      </c>
      <c r="AI17" s="3676" t="s">
        <v>150</v>
      </c>
      <c r="AJ17" s="3676" t="s">
        <v>150</v>
      </c>
      <c r="AK17" s="3677"/>
      <c r="AL17" s="3677" t="s">
        <v>150</v>
      </c>
      <c r="AM17" s="3676" t="s">
        <v>237</v>
      </c>
      <c r="AN17" s="3675"/>
      <c r="AO17" s="3676" t="s">
        <v>150</v>
      </c>
      <c r="AP17" s="3676" t="s">
        <v>150</v>
      </c>
      <c r="AQ17" s="3457"/>
      <c r="AR17" s="2750">
        <f t="shared" si="5"/>
        <v>12</v>
      </c>
      <c r="AS17" s="2751">
        <f t="shared" si="2"/>
        <v>3</v>
      </c>
      <c r="AT17" s="2752">
        <f t="shared" si="3"/>
        <v>0</v>
      </c>
      <c r="AU17" s="2753">
        <f t="shared" si="4"/>
        <v>0</v>
      </c>
      <c r="AV17" s="2751">
        <f t="shared" si="6"/>
        <v>15</v>
      </c>
      <c r="AW17" s="2754"/>
      <c r="AX17" s="2755"/>
      <c r="AY17" s="2751"/>
    </row>
    <row r="18" spans="1:51" ht="21.75" customHeight="1">
      <c r="A18" s="2742"/>
      <c r="B18" s="2743"/>
      <c r="C18" s="2744"/>
      <c r="D18" s="2744"/>
      <c r="E18" s="2745"/>
      <c r="F18" s="2739"/>
      <c r="G18" s="2746"/>
      <c r="H18" s="2745"/>
      <c r="I18" s="2747"/>
      <c r="J18" s="2748">
        <v>6</v>
      </c>
      <c r="K18" s="2748">
        <v>6</v>
      </c>
      <c r="L18" s="2749" t="s">
        <v>949</v>
      </c>
      <c r="M18" s="3676"/>
      <c r="N18" s="3676"/>
      <c r="O18" s="3677"/>
      <c r="P18" s="3676"/>
      <c r="Q18" s="3676"/>
      <c r="R18" s="3676"/>
      <c r="S18" s="3677"/>
      <c r="T18" s="3676"/>
      <c r="U18" s="3676" t="s">
        <v>150</v>
      </c>
      <c r="V18" s="3676" t="s">
        <v>150</v>
      </c>
      <c r="W18" s="3677" t="s">
        <v>150</v>
      </c>
      <c r="X18" s="3676" t="s">
        <v>150</v>
      </c>
      <c r="Y18" s="3676" t="s">
        <v>237</v>
      </c>
      <c r="Z18" s="3676"/>
      <c r="AA18" s="3677"/>
      <c r="AB18" s="3676"/>
      <c r="AC18" s="3676"/>
      <c r="AD18" s="3676" t="s">
        <v>150</v>
      </c>
      <c r="AE18" s="3677" t="s">
        <v>150</v>
      </c>
      <c r="AF18" s="3676" t="s">
        <v>237</v>
      </c>
      <c r="AG18" s="3676" t="s">
        <v>150</v>
      </c>
      <c r="AH18" s="3676" t="s">
        <v>150</v>
      </c>
      <c r="AI18" s="3677" t="s">
        <v>150</v>
      </c>
      <c r="AJ18" s="3676"/>
      <c r="AK18" s="3677"/>
      <c r="AL18" s="3677" t="s">
        <v>150</v>
      </c>
      <c r="AM18" s="3676" t="s">
        <v>237</v>
      </c>
      <c r="AN18" s="3676" t="s">
        <v>150</v>
      </c>
      <c r="AO18" s="3676" t="s">
        <v>150</v>
      </c>
      <c r="AP18" s="3676" t="s">
        <v>150</v>
      </c>
      <c r="AQ18" s="3457"/>
      <c r="AR18" s="2750">
        <f t="shared" si="5"/>
        <v>13</v>
      </c>
      <c r="AS18" s="2751">
        <f t="shared" si="2"/>
        <v>3</v>
      </c>
      <c r="AT18" s="2752">
        <f t="shared" si="3"/>
        <v>0</v>
      </c>
      <c r="AU18" s="2753">
        <f t="shared" si="4"/>
        <v>0</v>
      </c>
      <c r="AV18" s="2751">
        <f t="shared" si="6"/>
        <v>16</v>
      </c>
      <c r="AW18" s="2754"/>
      <c r="AX18" s="2755"/>
      <c r="AY18" s="2751"/>
    </row>
    <row r="19" spans="1:51" ht="21.75" customHeight="1">
      <c r="A19" s="2742"/>
      <c r="B19" s="2743"/>
      <c r="C19" s="2744"/>
      <c r="D19" s="2744"/>
      <c r="E19" s="2745"/>
      <c r="F19" s="2739"/>
      <c r="G19" s="2746"/>
      <c r="H19" s="2745"/>
      <c r="I19" s="2747"/>
      <c r="J19" s="2748">
        <v>7</v>
      </c>
      <c r="K19" s="2748">
        <v>7</v>
      </c>
      <c r="L19" s="2748" t="s">
        <v>1769</v>
      </c>
      <c r="M19" s="3676"/>
      <c r="N19" s="3676"/>
      <c r="O19" s="3677"/>
      <c r="P19" s="3676"/>
      <c r="Q19" s="3676" t="s">
        <v>150</v>
      </c>
      <c r="R19" s="3676" t="s">
        <v>237</v>
      </c>
      <c r="S19" s="3677" t="s">
        <v>150</v>
      </c>
      <c r="T19" s="3676" t="s">
        <v>150</v>
      </c>
      <c r="U19" s="3676" t="s">
        <v>150</v>
      </c>
      <c r="V19" s="3676" t="s">
        <v>150</v>
      </c>
      <c r="W19" s="3677" t="s">
        <v>150</v>
      </c>
      <c r="X19" s="3676" t="s">
        <v>150</v>
      </c>
      <c r="Y19" s="3676" t="s">
        <v>237</v>
      </c>
      <c r="Z19" s="3676" t="s">
        <v>150</v>
      </c>
      <c r="AA19" s="3677" t="s">
        <v>150</v>
      </c>
      <c r="AB19" s="3676" t="s">
        <v>150</v>
      </c>
      <c r="AC19" s="3676" t="s">
        <v>150</v>
      </c>
      <c r="AD19" s="3676" t="s">
        <v>150</v>
      </c>
      <c r="AE19" s="3677" t="s">
        <v>150</v>
      </c>
      <c r="AF19" s="3676" t="s">
        <v>237</v>
      </c>
      <c r="AG19" s="3676" t="s">
        <v>150</v>
      </c>
      <c r="AH19" s="3676" t="s">
        <v>150</v>
      </c>
      <c r="AI19" s="3677" t="s">
        <v>150</v>
      </c>
      <c r="AJ19" s="3676" t="s">
        <v>150</v>
      </c>
      <c r="AK19" s="3673" t="s">
        <v>150</v>
      </c>
      <c r="AL19" s="3677" t="s">
        <v>150</v>
      </c>
      <c r="AM19" s="3676" t="s">
        <v>237</v>
      </c>
      <c r="AN19" s="3676" t="s">
        <v>150</v>
      </c>
      <c r="AO19" s="3676" t="s">
        <v>150</v>
      </c>
      <c r="AP19" s="3676" t="s">
        <v>150</v>
      </c>
      <c r="AQ19" s="3457"/>
      <c r="AR19" s="2750">
        <f t="shared" si="5"/>
        <v>22</v>
      </c>
      <c r="AS19" s="2751">
        <f t="shared" si="2"/>
        <v>4</v>
      </c>
      <c r="AT19" s="2752">
        <f t="shared" si="3"/>
        <v>0</v>
      </c>
      <c r="AU19" s="2753">
        <f t="shared" si="4"/>
        <v>0</v>
      </c>
      <c r="AV19" s="2751">
        <f t="shared" si="6"/>
        <v>26</v>
      </c>
      <c r="AW19" s="2754"/>
      <c r="AX19" s="2755"/>
      <c r="AY19" s="2751"/>
    </row>
    <row r="20" spans="1:51" ht="21.75" customHeight="1">
      <c r="A20" s="2742"/>
      <c r="B20" s="2743"/>
      <c r="C20" s="2744"/>
      <c r="D20" s="2744"/>
      <c r="E20" s="2745"/>
      <c r="F20" s="2739"/>
      <c r="G20" s="2746"/>
      <c r="H20" s="2745"/>
      <c r="I20" s="2747"/>
      <c r="J20" s="2748">
        <v>8</v>
      </c>
      <c r="K20" s="2748">
        <v>8</v>
      </c>
      <c r="L20" s="2748" t="s">
        <v>1179</v>
      </c>
      <c r="M20" s="3676"/>
      <c r="N20" s="3676"/>
      <c r="O20" s="3677"/>
      <c r="P20" s="3676"/>
      <c r="Q20" s="3676" t="s">
        <v>150</v>
      </c>
      <c r="R20" s="3676" t="s">
        <v>237</v>
      </c>
      <c r="S20" s="3677" t="s">
        <v>150</v>
      </c>
      <c r="T20" s="3676"/>
      <c r="U20" s="3676" t="s">
        <v>150</v>
      </c>
      <c r="V20" s="3676" t="s">
        <v>150</v>
      </c>
      <c r="W20" s="3677" t="s">
        <v>150</v>
      </c>
      <c r="X20" s="3676" t="s">
        <v>150</v>
      </c>
      <c r="Y20" s="3676" t="s">
        <v>237</v>
      </c>
      <c r="Z20" s="3676" t="s">
        <v>150</v>
      </c>
      <c r="AA20" s="3677" t="s">
        <v>150</v>
      </c>
      <c r="AB20" s="3676" t="s">
        <v>150</v>
      </c>
      <c r="AC20" s="3676" t="s">
        <v>150</v>
      </c>
      <c r="AD20" s="3676" t="s">
        <v>150</v>
      </c>
      <c r="AE20" s="3677" t="s">
        <v>150</v>
      </c>
      <c r="AF20" s="3676" t="s">
        <v>237</v>
      </c>
      <c r="AG20" s="3676" t="s">
        <v>150</v>
      </c>
      <c r="AH20" s="3676" t="s">
        <v>150</v>
      </c>
      <c r="AI20" s="3677" t="s">
        <v>150</v>
      </c>
      <c r="AJ20" s="3676" t="s">
        <v>150</v>
      </c>
      <c r="AK20" s="3677" t="s">
        <v>150</v>
      </c>
      <c r="AL20" s="3677" t="s">
        <v>150</v>
      </c>
      <c r="AM20" s="3676" t="s">
        <v>237</v>
      </c>
      <c r="AN20" s="3676" t="s">
        <v>150</v>
      </c>
      <c r="AO20" s="3676" t="s">
        <v>150</v>
      </c>
      <c r="AP20" s="3676" t="s">
        <v>150</v>
      </c>
      <c r="AQ20" s="3456"/>
      <c r="AR20" s="2750">
        <f t="shared" si="5"/>
        <v>21</v>
      </c>
      <c r="AS20" s="2751">
        <f t="shared" si="2"/>
        <v>4</v>
      </c>
      <c r="AT20" s="2752">
        <f t="shared" si="3"/>
        <v>0</v>
      </c>
      <c r="AU20" s="2753">
        <f t="shared" si="4"/>
        <v>0</v>
      </c>
      <c r="AV20" s="2751">
        <f t="shared" si="6"/>
        <v>25</v>
      </c>
      <c r="AW20" s="2754"/>
      <c r="AX20" s="2755"/>
      <c r="AY20" s="2751"/>
    </row>
    <row r="21" spans="1:51" ht="21.75" customHeight="1">
      <c r="A21" s="2742"/>
      <c r="B21" s="2743"/>
      <c r="C21" s="2744"/>
      <c r="D21" s="2744"/>
      <c r="E21" s="2745"/>
      <c r="F21" s="2739"/>
      <c r="G21" s="2746"/>
      <c r="H21" s="2745"/>
      <c r="I21" s="2747"/>
      <c r="J21" s="2748">
        <v>9</v>
      </c>
      <c r="K21" s="2748">
        <v>9</v>
      </c>
      <c r="L21" s="2749" t="s">
        <v>1180</v>
      </c>
      <c r="M21" s="3676"/>
      <c r="N21" s="3676"/>
      <c r="O21" s="3677"/>
      <c r="P21" s="3676"/>
      <c r="Q21" s="3676"/>
      <c r="R21" s="3676"/>
      <c r="S21" s="3677"/>
      <c r="T21" s="3676"/>
      <c r="U21" s="3676"/>
      <c r="V21" s="3676" t="s">
        <v>150</v>
      </c>
      <c r="W21" s="3677"/>
      <c r="X21" s="3676" t="s">
        <v>150</v>
      </c>
      <c r="Y21" s="3676"/>
      <c r="Z21" s="3676"/>
      <c r="AA21" s="3677"/>
      <c r="AB21" s="3676"/>
      <c r="AC21" s="3676"/>
      <c r="AD21" s="3676" t="s">
        <v>150</v>
      </c>
      <c r="AE21" s="3677" t="s">
        <v>150</v>
      </c>
      <c r="AF21" s="3676" t="s">
        <v>237</v>
      </c>
      <c r="AG21" s="3676"/>
      <c r="AH21" s="3676" t="s">
        <v>150</v>
      </c>
      <c r="AI21" s="3677" t="s">
        <v>150</v>
      </c>
      <c r="AJ21" s="3676"/>
      <c r="AK21" s="3677" t="s">
        <v>150</v>
      </c>
      <c r="AL21" s="3677" t="s">
        <v>150</v>
      </c>
      <c r="AM21" s="3676" t="s">
        <v>237</v>
      </c>
      <c r="AN21" s="3676" t="s">
        <v>150</v>
      </c>
      <c r="AO21" s="3676" t="s">
        <v>150</v>
      </c>
      <c r="AP21" s="3676" t="s">
        <v>150</v>
      </c>
      <c r="AQ21" s="3456"/>
      <c r="AR21" s="2750">
        <f t="shared" si="5"/>
        <v>11</v>
      </c>
      <c r="AS21" s="2751">
        <f t="shared" si="2"/>
        <v>2</v>
      </c>
      <c r="AT21" s="2752">
        <f t="shared" si="3"/>
        <v>0</v>
      </c>
      <c r="AU21" s="2753">
        <f t="shared" si="4"/>
        <v>0</v>
      </c>
      <c r="AV21" s="2751">
        <f t="shared" si="6"/>
        <v>13</v>
      </c>
      <c r="AW21" s="2754"/>
      <c r="AX21" s="2755"/>
      <c r="AY21" s="2751"/>
    </row>
    <row r="22" spans="1:51" ht="21.75" customHeight="1">
      <c r="A22" s="2742"/>
      <c r="B22" s="2743"/>
      <c r="C22" s="2744"/>
      <c r="D22" s="2744"/>
      <c r="E22" s="2745"/>
      <c r="F22" s="2739"/>
      <c r="G22" s="2746"/>
      <c r="H22" s="2745"/>
      <c r="I22" s="2747"/>
      <c r="J22" s="2748">
        <v>10</v>
      </c>
      <c r="K22" s="2748">
        <v>10</v>
      </c>
      <c r="L22" s="2748" t="s">
        <v>944</v>
      </c>
      <c r="M22" s="3676"/>
      <c r="N22" s="3676"/>
      <c r="O22" s="3677"/>
      <c r="P22" s="3676"/>
      <c r="Q22" s="3676" t="s">
        <v>150</v>
      </c>
      <c r="R22" s="3676" t="s">
        <v>237</v>
      </c>
      <c r="S22" s="3677" t="s">
        <v>150</v>
      </c>
      <c r="T22" s="3676" t="s">
        <v>150</v>
      </c>
      <c r="U22" s="3676" t="s">
        <v>150</v>
      </c>
      <c r="V22" s="3676" t="s">
        <v>150</v>
      </c>
      <c r="W22" s="3677" t="s">
        <v>150</v>
      </c>
      <c r="X22" s="3676" t="s">
        <v>150</v>
      </c>
      <c r="Y22" s="3676" t="s">
        <v>237</v>
      </c>
      <c r="Z22" s="3676"/>
      <c r="AA22" s="3677"/>
      <c r="AB22" s="3676"/>
      <c r="AC22" s="3676"/>
      <c r="AD22" s="3676"/>
      <c r="AE22" s="3677" t="s">
        <v>150</v>
      </c>
      <c r="AF22" s="3676" t="s">
        <v>237</v>
      </c>
      <c r="AG22" s="3676" t="s">
        <v>150</v>
      </c>
      <c r="AH22" s="3676" t="s">
        <v>150</v>
      </c>
      <c r="AI22" s="3677" t="s">
        <v>150</v>
      </c>
      <c r="AJ22" s="3676" t="s">
        <v>150</v>
      </c>
      <c r="AK22" s="3673" t="s">
        <v>150</v>
      </c>
      <c r="AL22" s="3677" t="s">
        <v>150</v>
      </c>
      <c r="AM22" s="3676" t="s">
        <v>237</v>
      </c>
      <c r="AN22" s="3676" t="s">
        <v>150</v>
      </c>
      <c r="AO22" s="3676" t="s">
        <v>150</v>
      </c>
      <c r="AP22" s="3676" t="s">
        <v>150</v>
      </c>
      <c r="AQ22" s="3456"/>
      <c r="AR22" s="2750">
        <f t="shared" si="5"/>
        <v>17</v>
      </c>
      <c r="AS22" s="2751">
        <f t="shared" si="2"/>
        <v>4</v>
      </c>
      <c r="AT22" s="2752">
        <f t="shared" si="3"/>
        <v>0</v>
      </c>
      <c r="AU22" s="2753">
        <f t="shared" si="4"/>
        <v>0</v>
      </c>
      <c r="AV22" s="2751">
        <f t="shared" si="6"/>
        <v>21</v>
      </c>
      <c r="AW22" s="2754"/>
      <c r="AX22" s="2755"/>
      <c r="AY22" s="2751"/>
    </row>
    <row r="23" spans="1:51" ht="21.75" customHeight="1">
      <c r="A23" s="2742"/>
      <c r="B23" s="2743"/>
      <c r="C23" s="2744"/>
      <c r="D23" s="2744"/>
      <c r="E23" s="2745"/>
      <c r="F23" s="2739"/>
      <c r="G23" s="2746"/>
      <c r="H23" s="2745"/>
      <c r="I23" s="2747"/>
      <c r="J23" s="2748">
        <v>11</v>
      </c>
      <c r="K23" s="2748">
        <v>11</v>
      </c>
      <c r="L23" s="2749" t="s">
        <v>1770</v>
      </c>
      <c r="M23" s="3673"/>
      <c r="N23" s="3676"/>
      <c r="O23" s="3676"/>
      <c r="P23" s="3676"/>
      <c r="Q23" s="3676"/>
      <c r="R23" s="3676"/>
      <c r="S23" s="3676"/>
      <c r="T23" s="3676"/>
      <c r="U23" s="3676"/>
      <c r="V23" s="3676"/>
      <c r="W23" s="3676"/>
      <c r="X23" s="3676"/>
      <c r="Y23" s="3676"/>
      <c r="Z23" s="3676"/>
      <c r="AA23" s="3676"/>
      <c r="AB23" s="3676"/>
      <c r="AC23" s="3676"/>
      <c r="AD23" s="3676"/>
      <c r="AE23" s="3676"/>
      <c r="AF23" s="3676"/>
      <c r="AG23" s="3676" t="s">
        <v>150</v>
      </c>
      <c r="AH23" s="3676" t="s">
        <v>150</v>
      </c>
      <c r="AI23" s="3676" t="s">
        <v>150</v>
      </c>
      <c r="AJ23" s="3676" t="s">
        <v>150</v>
      </c>
      <c r="AK23" s="3673" t="s">
        <v>150</v>
      </c>
      <c r="AL23" s="3677" t="s">
        <v>150</v>
      </c>
      <c r="AM23" s="3676" t="s">
        <v>237</v>
      </c>
      <c r="AN23" s="3676" t="s">
        <v>150</v>
      </c>
      <c r="AO23" s="3676" t="s">
        <v>150</v>
      </c>
      <c r="AP23" s="3676" t="s">
        <v>150</v>
      </c>
      <c r="AQ23" s="3456"/>
      <c r="AR23" s="2750">
        <f t="shared" si="5"/>
        <v>9</v>
      </c>
      <c r="AS23" s="2751">
        <f t="shared" si="2"/>
        <v>1</v>
      </c>
      <c r="AT23" s="2752">
        <f t="shared" si="3"/>
        <v>0</v>
      </c>
      <c r="AU23" s="2753">
        <f t="shared" si="4"/>
        <v>0</v>
      </c>
      <c r="AV23" s="2751">
        <f t="shared" si="6"/>
        <v>10</v>
      </c>
      <c r="AW23" s="2754"/>
      <c r="AX23" s="2755"/>
      <c r="AY23" s="2751"/>
    </row>
    <row r="24" spans="1:51" ht="21.75" customHeight="1">
      <c r="A24" s="2742"/>
      <c r="B24" s="2743"/>
      <c r="C24" s="2744"/>
      <c r="D24" s="2744"/>
      <c r="E24" s="2745"/>
      <c r="F24" s="2739"/>
      <c r="G24" s="2746"/>
      <c r="H24" s="2745"/>
      <c r="I24" s="2747"/>
      <c r="J24" s="2748">
        <v>12</v>
      </c>
      <c r="K24" s="2748">
        <v>12</v>
      </c>
      <c r="L24" s="2748" t="s">
        <v>941</v>
      </c>
      <c r="M24" s="3676"/>
      <c r="N24" s="3677"/>
      <c r="O24" s="3676"/>
      <c r="P24" s="3676"/>
      <c r="Q24" s="3676"/>
      <c r="R24" s="3673"/>
      <c r="S24" s="3676"/>
      <c r="T24" s="3676"/>
      <c r="U24" s="3677" t="s">
        <v>150</v>
      </c>
      <c r="V24" s="3677" t="s">
        <v>150</v>
      </c>
      <c r="W24" s="3676" t="s">
        <v>150</v>
      </c>
      <c r="X24" s="3676" t="s">
        <v>150</v>
      </c>
      <c r="Y24" s="3676"/>
      <c r="Z24" s="3673"/>
      <c r="AA24" s="3676"/>
      <c r="AB24" s="3676"/>
      <c r="AC24" s="3677"/>
      <c r="AD24" s="3673" t="s">
        <v>150</v>
      </c>
      <c r="AE24" s="3676" t="s">
        <v>150</v>
      </c>
      <c r="AF24" s="3676" t="s">
        <v>237</v>
      </c>
      <c r="AG24" s="3676" t="s">
        <v>150</v>
      </c>
      <c r="AH24" s="3676" t="s">
        <v>150</v>
      </c>
      <c r="AI24" s="3676" t="s">
        <v>150</v>
      </c>
      <c r="AJ24" s="3676" t="s">
        <v>150</v>
      </c>
      <c r="AK24" s="3677"/>
      <c r="AL24" s="3677" t="s">
        <v>150</v>
      </c>
      <c r="AM24" s="3676" t="s">
        <v>237</v>
      </c>
      <c r="AN24" s="3676" t="s">
        <v>150</v>
      </c>
      <c r="AO24" s="3676" t="s">
        <v>150</v>
      </c>
      <c r="AP24" s="3673" t="s">
        <v>150</v>
      </c>
      <c r="AQ24" s="3456"/>
      <c r="AR24" s="2750">
        <f t="shared" si="5"/>
        <v>14</v>
      </c>
      <c r="AS24" s="2751">
        <f t="shared" si="2"/>
        <v>2</v>
      </c>
      <c r="AT24" s="2752">
        <f t="shared" si="3"/>
        <v>0</v>
      </c>
      <c r="AU24" s="2753">
        <f t="shared" si="4"/>
        <v>0</v>
      </c>
      <c r="AV24" s="2751">
        <f t="shared" si="6"/>
        <v>16</v>
      </c>
      <c r="AW24" s="2754"/>
      <c r="AX24" s="2755"/>
      <c r="AY24" s="2751"/>
    </row>
    <row r="25" spans="1:51" ht="21.75" customHeight="1">
      <c r="A25" s="2742"/>
      <c r="B25" s="2743"/>
      <c r="C25" s="2744"/>
      <c r="D25" s="2744"/>
      <c r="E25" s="2745"/>
      <c r="F25" s="2739"/>
      <c r="G25" s="2746"/>
      <c r="H25" s="2745"/>
      <c r="I25" s="2747"/>
      <c r="J25" s="2748">
        <v>13</v>
      </c>
      <c r="K25" s="2748">
        <v>13</v>
      </c>
      <c r="L25" s="2748" t="s">
        <v>1256</v>
      </c>
      <c r="M25" s="3676"/>
      <c r="N25" s="3677"/>
      <c r="O25" s="3676"/>
      <c r="P25" s="3676"/>
      <c r="Q25" s="3673"/>
      <c r="R25" s="3676"/>
      <c r="S25" s="3676"/>
      <c r="T25" s="3676"/>
      <c r="U25" s="3677" t="s">
        <v>150</v>
      </c>
      <c r="V25" s="3677" t="s">
        <v>150</v>
      </c>
      <c r="W25" s="3676" t="s">
        <v>150</v>
      </c>
      <c r="X25" s="3676" t="s">
        <v>150</v>
      </c>
      <c r="Y25" s="3673"/>
      <c r="Z25" s="3676"/>
      <c r="AA25" s="3676"/>
      <c r="AB25" s="3676"/>
      <c r="AC25" s="3677"/>
      <c r="AD25" s="3676" t="s">
        <v>150</v>
      </c>
      <c r="AE25" s="3676" t="s">
        <v>150</v>
      </c>
      <c r="AF25" s="3676" t="s">
        <v>237</v>
      </c>
      <c r="AG25" s="3673" t="s">
        <v>150</v>
      </c>
      <c r="AH25" s="3676" t="s">
        <v>150</v>
      </c>
      <c r="AI25" s="3676" t="s">
        <v>150</v>
      </c>
      <c r="AJ25" s="3676" t="s">
        <v>150</v>
      </c>
      <c r="AK25" s="3677"/>
      <c r="AL25" s="3677" t="s">
        <v>150</v>
      </c>
      <c r="AM25" s="3676" t="s">
        <v>237</v>
      </c>
      <c r="AN25" s="3676" t="s">
        <v>150</v>
      </c>
      <c r="AO25" s="3676" t="s">
        <v>150</v>
      </c>
      <c r="AP25" s="3676" t="s">
        <v>150</v>
      </c>
      <c r="AQ25" s="3456"/>
      <c r="AR25" s="2750">
        <f t="shared" si="5"/>
        <v>14</v>
      </c>
      <c r="AS25" s="2751">
        <f t="shared" si="2"/>
        <v>2</v>
      </c>
      <c r="AT25" s="2752">
        <f t="shared" si="3"/>
        <v>0</v>
      </c>
      <c r="AU25" s="2753">
        <f t="shared" si="4"/>
        <v>0</v>
      </c>
      <c r="AV25" s="2751">
        <f t="shared" si="6"/>
        <v>16</v>
      </c>
      <c r="AW25" s="2754"/>
      <c r="AX25" s="2755"/>
      <c r="AY25" s="2751"/>
    </row>
    <row r="26" spans="1:51" ht="21.75" customHeight="1">
      <c r="A26" s="2742"/>
      <c r="B26" s="2743"/>
      <c r="C26" s="2744"/>
      <c r="D26" s="2744"/>
      <c r="E26" s="2745"/>
      <c r="F26" s="2739"/>
      <c r="G26" s="2746"/>
      <c r="H26" s="2745"/>
      <c r="I26" s="2747"/>
      <c r="J26" s="2748">
        <v>14</v>
      </c>
      <c r="K26" s="2748">
        <v>14</v>
      </c>
      <c r="L26" s="2748" t="s">
        <v>1255</v>
      </c>
      <c r="M26" s="3676"/>
      <c r="N26" s="3676"/>
      <c r="O26" s="3676"/>
      <c r="P26" s="3675"/>
      <c r="Q26" s="3676"/>
      <c r="R26" s="3676"/>
      <c r="S26" s="3676"/>
      <c r="T26" s="3676"/>
      <c r="U26" s="3676" t="s">
        <v>150</v>
      </c>
      <c r="V26" s="3676" t="s">
        <v>150</v>
      </c>
      <c r="W26" s="3676" t="s">
        <v>150</v>
      </c>
      <c r="X26" s="3676" t="s">
        <v>150</v>
      </c>
      <c r="Y26" s="3676"/>
      <c r="Z26" s="3676"/>
      <c r="AA26" s="3676"/>
      <c r="AB26" s="3675"/>
      <c r="AC26" s="3676"/>
      <c r="AD26" s="3676"/>
      <c r="AE26" s="3676" t="s">
        <v>150</v>
      </c>
      <c r="AF26" s="3676" t="s">
        <v>237</v>
      </c>
      <c r="AG26" s="3676" t="s">
        <v>150</v>
      </c>
      <c r="AH26" s="3676" t="s">
        <v>150</v>
      </c>
      <c r="AI26" s="3676" t="s">
        <v>150</v>
      </c>
      <c r="AJ26" s="3676" t="s">
        <v>150</v>
      </c>
      <c r="AK26" s="3673" t="s">
        <v>150</v>
      </c>
      <c r="AL26" s="3677" t="s">
        <v>150</v>
      </c>
      <c r="AM26" s="3676" t="s">
        <v>237</v>
      </c>
      <c r="AN26" s="3676" t="s">
        <v>150</v>
      </c>
      <c r="AO26" s="3676" t="s">
        <v>150</v>
      </c>
      <c r="AP26" s="3676" t="s">
        <v>150</v>
      </c>
      <c r="AQ26" s="3456"/>
      <c r="AR26" s="2750">
        <f t="shared" si="5"/>
        <v>14</v>
      </c>
      <c r="AS26" s="2751">
        <f t="shared" si="2"/>
        <v>2</v>
      </c>
      <c r="AT26" s="2752">
        <f t="shared" si="3"/>
        <v>0</v>
      </c>
      <c r="AU26" s="2753">
        <f t="shared" si="4"/>
        <v>0</v>
      </c>
      <c r="AV26" s="2751">
        <f t="shared" si="6"/>
        <v>16</v>
      </c>
      <c r="AW26" s="2754"/>
      <c r="AX26" s="2755"/>
      <c r="AY26" s="2751"/>
    </row>
    <row r="27" spans="1:51" ht="21.75" customHeight="1">
      <c r="A27" s="2742"/>
      <c r="B27" s="2743"/>
      <c r="C27" s="2744"/>
      <c r="D27" s="2744"/>
      <c r="E27" s="2745"/>
      <c r="F27" s="2739"/>
      <c r="G27" s="2746"/>
      <c r="H27" s="2745"/>
      <c r="I27" s="2747"/>
      <c r="J27" s="2748">
        <v>15</v>
      </c>
      <c r="K27" s="2748">
        <v>15</v>
      </c>
      <c r="L27" s="2756" t="s">
        <v>1182</v>
      </c>
      <c r="M27" s="3675"/>
      <c r="N27" s="3676"/>
      <c r="O27" s="3676"/>
      <c r="P27" s="3676"/>
      <c r="Q27" s="3676"/>
      <c r="R27" s="3675"/>
      <c r="S27" s="3676"/>
      <c r="T27" s="3676"/>
      <c r="U27" s="3676" t="s">
        <v>150</v>
      </c>
      <c r="V27" s="3676" t="s">
        <v>150</v>
      </c>
      <c r="W27" s="3676" t="s">
        <v>150</v>
      </c>
      <c r="X27" s="3676" t="s">
        <v>150</v>
      </c>
      <c r="Y27" s="3676" t="s">
        <v>237</v>
      </c>
      <c r="Z27" s="3675"/>
      <c r="AA27" s="3676"/>
      <c r="AB27" s="3676"/>
      <c r="AC27" s="3676"/>
      <c r="AD27" s="3675"/>
      <c r="AE27" s="3676" t="s">
        <v>150</v>
      </c>
      <c r="AF27" s="3676" t="s">
        <v>237</v>
      </c>
      <c r="AG27" s="3676" t="s">
        <v>150</v>
      </c>
      <c r="AH27" s="3676" t="s">
        <v>150</v>
      </c>
      <c r="AI27" s="3676" t="s">
        <v>150</v>
      </c>
      <c r="AJ27" s="3676"/>
      <c r="AK27" s="3677"/>
      <c r="AL27" s="3677" t="s">
        <v>150</v>
      </c>
      <c r="AM27" s="3676" t="s">
        <v>237</v>
      </c>
      <c r="AN27" s="3676" t="s">
        <v>150</v>
      </c>
      <c r="AO27" s="3676" t="s">
        <v>150</v>
      </c>
      <c r="AP27" s="3676" t="s">
        <v>150</v>
      </c>
      <c r="AQ27" s="3456"/>
      <c r="AR27" s="2750">
        <f t="shared" si="5"/>
        <v>12</v>
      </c>
      <c r="AS27" s="2751">
        <f t="shared" si="2"/>
        <v>3</v>
      </c>
      <c r="AT27" s="2752">
        <f t="shared" si="3"/>
        <v>0</v>
      </c>
      <c r="AU27" s="2753">
        <f t="shared" si="4"/>
        <v>0</v>
      </c>
      <c r="AV27" s="2751">
        <f t="shared" si="6"/>
        <v>15</v>
      </c>
      <c r="AW27" s="2754"/>
      <c r="AX27" s="2755"/>
      <c r="AY27" s="2751"/>
    </row>
    <row r="28" spans="1:51" ht="21.75" customHeight="1">
      <c r="A28" s="2742" t="e">
        <f>#REF!*#REF!+#REF!*#REF!</f>
        <v>#REF!</v>
      </c>
      <c r="B28" s="2743" t="e">
        <f>IF(#REF!&gt;15,40,IF(#REF!&gt;12,35,IF(#REF!&gt;9,30,25)))</f>
        <v>#REF!</v>
      </c>
      <c r="C28" s="2744" t="s">
        <v>92</v>
      </c>
      <c r="D28" s="2744">
        <f t="shared" ref="D28:D84" si="7">IF(C28="A",60,IF(C28="B",50,IF(C28="C",45,40)))</f>
        <v>50</v>
      </c>
      <c r="E28" s="2745" t="e">
        <f t="shared" ref="E28:E84" si="8">D28+B28</f>
        <v>#REF!</v>
      </c>
      <c r="F28" s="2739" t="e">
        <f t="shared" ref="F28:F84" si="9">IF(E28&gt;94,"A",IF(E28&gt;80,"B",IF(E28&gt;69,"C","D")))</f>
        <v>#REF!</v>
      </c>
      <c r="G28" s="2746">
        <f>('[8]LÁT A'!N11+'[8]LÁT D'!N11+'[8]LÁT C'!N11+'[8]LÁT B'!N11)*0.4+'[8]MỦ DÂY'!AH11*0.5</f>
        <v>16</v>
      </c>
      <c r="H28" s="2745" t="e">
        <f>G28*IF(F28="A",#REF!,IF(F28="B",#REF!,IF(F28="C",#REF!,#REF!)))</f>
        <v>#REF!</v>
      </c>
      <c r="I28" s="2747" t="e">
        <f t="shared" ref="I28:I84" si="10">A28+H28</f>
        <v>#REF!</v>
      </c>
      <c r="J28" s="2748">
        <v>16</v>
      </c>
      <c r="K28" s="2748">
        <v>16</v>
      </c>
      <c r="L28" s="2749" t="s">
        <v>1771</v>
      </c>
      <c r="M28" s="3676"/>
      <c r="N28" s="3675"/>
      <c r="O28" s="3675"/>
      <c r="P28" s="3675"/>
      <c r="Q28" s="3676" t="s">
        <v>150</v>
      </c>
      <c r="R28" s="3675"/>
      <c r="S28" s="3675"/>
      <c r="T28" s="3675"/>
      <c r="U28" s="3675"/>
      <c r="V28" s="3676" t="s">
        <v>150</v>
      </c>
      <c r="W28" s="3675"/>
      <c r="X28" s="3675"/>
      <c r="Y28" s="3676" t="s">
        <v>237</v>
      </c>
      <c r="Z28" s="3675"/>
      <c r="AA28" s="3675"/>
      <c r="AB28" s="3675"/>
      <c r="AC28" s="3675"/>
      <c r="AD28" s="3675"/>
      <c r="AE28" s="3675" t="s">
        <v>150</v>
      </c>
      <c r="AF28" s="3676" t="s">
        <v>237</v>
      </c>
      <c r="AG28" s="3676" t="s">
        <v>150</v>
      </c>
      <c r="AH28" s="3676" t="s">
        <v>150</v>
      </c>
      <c r="AI28" s="3676" t="s">
        <v>150</v>
      </c>
      <c r="AJ28" s="3676" t="s">
        <v>150</v>
      </c>
      <c r="AK28" s="3677"/>
      <c r="AL28" s="3677" t="s">
        <v>150</v>
      </c>
      <c r="AM28" s="3676" t="s">
        <v>237</v>
      </c>
      <c r="AN28" s="3676" t="s">
        <v>150</v>
      </c>
      <c r="AO28" s="3676" t="s">
        <v>150</v>
      </c>
      <c r="AP28" s="3676" t="s">
        <v>150</v>
      </c>
      <c r="AQ28" s="3457"/>
      <c r="AR28" s="2750">
        <f t="shared" si="5"/>
        <v>11</v>
      </c>
      <c r="AS28" s="2751">
        <f t="shared" si="2"/>
        <v>3</v>
      </c>
      <c r="AT28" s="2752">
        <f t="shared" si="3"/>
        <v>0</v>
      </c>
      <c r="AU28" s="2753">
        <f t="shared" si="4"/>
        <v>0</v>
      </c>
      <c r="AV28" s="2751">
        <f t="shared" si="6"/>
        <v>14</v>
      </c>
      <c r="AW28" s="2744"/>
      <c r="AX28" s="2755" t="b">
        <f>IF(AV28=31,20,IF(AV28&gt;=25,10))</f>
        <v>0</v>
      </c>
      <c r="AY28" s="2751"/>
    </row>
    <row r="29" spans="1:51" ht="21.75" customHeight="1">
      <c r="A29" s="2742" t="e">
        <f>#REF!*#REF!+#REF!*#REF!</f>
        <v>#REF!</v>
      </c>
      <c r="B29" s="2743" t="e">
        <f>IF(#REF!&gt;15,40,IF(#REF!&gt;12,35,IF(#REF!&gt;9,30,25)))</f>
        <v>#REF!</v>
      </c>
      <c r="C29" s="2744" t="s">
        <v>92</v>
      </c>
      <c r="D29" s="2744">
        <f t="shared" si="7"/>
        <v>50</v>
      </c>
      <c r="E29" s="2745" t="e">
        <f t="shared" si="8"/>
        <v>#REF!</v>
      </c>
      <c r="F29" s="2739" t="e">
        <f t="shared" si="9"/>
        <v>#REF!</v>
      </c>
      <c r="G29" s="2746">
        <f>('[8]LÁT A'!N12+'[8]LÁT D'!N12+'[8]LÁT C'!N12+'[8]LÁT B'!N12)*0.4+'[8]MỦ DÂY'!AH12*0.5</f>
        <v>0</v>
      </c>
      <c r="H29" s="2745" t="e">
        <f>G29*IF(F29="A",#REF!,IF(F29="B",#REF!,IF(F29="C",#REF!,#REF!)))</f>
        <v>#REF!</v>
      </c>
      <c r="I29" s="2747" t="e">
        <f t="shared" si="10"/>
        <v>#REF!</v>
      </c>
      <c r="J29" s="2748">
        <v>17</v>
      </c>
      <c r="K29" s="2748">
        <v>17</v>
      </c>
      <c r="L29" s="2748" t="s">
        <v>1772</v>
      </c>
      <c r="M29" s="3676"/>
      <c r="N29" s="3675"/>
      <c r="O29" s="3676"/>
      <c r="P29" s="3676"/>
      <c r="Q29" s="3675"/>
      <c r="R29" s="3676"/>
      <c r="S29" s="3676"/>
      <c r="T29" s="3676"/>
      <c r="U29" s="3675"/>
      <c r="V29" s="3676" t="s">
        <v>150</v>
      </c>
      <c r="W29" s="3676" t="s">
        <v>150</v>
      </c>
      <c r="X29" s="3676"/>
      <c r="Y29" s="3676" t="s">
        <v>237</v>
      </c>
      <c r="Z29" s="3676"/>
      <c r="AA29" s="3676"/>
      <c r="AB29" s="3676"/>
      <c r="AC29" s="3675"/>
      <c r="AD29" s="3676"/>
      <c r="AE29" s="3676" t="s">
        <v>150</v>
      </c>
      <c r="AF29" s="3676" t="s">
        <v>237</v>
      </c>
      <c r="AG29" s="3676" t="s">
        <v>150</v>
      </c>
      <c r="AH29" s="3676" t="s">
        <v>150</v>
      </c>
      <c r="AI29" s="3676" t="s">
        <v>150</v>
      </c>
      <c r="AJ29" s="3676" t="s">
        <v>150</v>
      </c>
      <c r="AK29" s="3676"/>
      <c r="AL29" s="3677" t="s">
        <v>150</v>
      </c>
      <c r="AM29" s="3676" t="s">
        <v>237</v>
      </c>
      <c r="AN29" s="3676" t="s">
        <v>150</v>
      </c>
      <c r="AO29" s="3676" t="s">
        <v>150</v>
      </c>
      <c r="AP29" s="3676" t="s">
        <v>150</v>
      </c>
      <c r="AQ29" s="3457"/>
      <c r="AR29" s="2750">
        <f t="shared" si="5"/>
        <v>11</v>
      </c>
      <c r="AS29" s="2751">
        <f t="shared" si="2"/>
        <v>3</v>
      </c>
      <c r="AT29" s="2752">
        <f t="shared" si="3"/>
        <v>0</v>
      </c>
      <c r="AU29" s="2753">
        <f t="shared" si="4"/>
        <v>0</v>
      </c>
      <c r="AV29" s="2751">
        <f t="shared" si="6"/>
        <v>14</v>
      </c>
      <c r="AW29" s="2744"/>
      <c r="AX29" s="2755" t="b">
        <f>IF(AV29=31,20,IF(AV29&gt;=25,10))</f>
        <v>0</v>
      </c>
      <c r="AY29" s="2751"/>
    </row>
    <row r="30" spans="1:51" ht="21.75" customHeight="1">
      <c r="A30" s="2742" t="e">
        <f>#REF!*#REF!+#REF!*#REF!</f>
        <v>#REF!</v>
      </c>
      <c r="B30" s="2743" t="e">
        <f>IF(#REF!&gt;15,40,IF(#REF!&gt;12,35,IF(#REF!&gt;9,30,25)))</f>
        <v>#REF!</v>
      </c>
      <c r="C30" s="2744" t="s">
        <v>92</v>
      </c>
      <c r="D30" s="2744">
        <f t="shared" si="7"/>
        <v>50</v>
      </c>
      <c r="E30" s="2745" t="e">
        <f t="shared" si="8"/>
        <v>#REF!</v>
      </c>
      <c r="F30" s="2739" t="e">
        <f t="shared" si="9"/>
        <v>#REF!</v>
      </c>
      <c r="G30" s="2746">
        <f>('[8]LÁT A'!N13+'[8]LÁT D'!N13+'[8]LÁT C'!N13+'[8]LÁT B'!N13)*0.4+'[8]MỦ DÂY'!AH13*0.5</f>
        <v>16</v>
      </c>
      <c r="H30" s="2745" t="e">
        <f>G30*IF(F30="A",#REF!,IF(F30="B",#REF!,IF(F30="C",#REF!,#REF!)))</f>
        <v>#REF!</v>
      </c>
      <c r="I30" s="2747" t="e">
        <f t="shared" si="10"/>
        <v>#REF!</v>
      </c>
      <c r="J30" s="2748">
        <v>18</v>
      </c>
      <c r="K30" s="2748">
        <v>18</v>
      </c>
      <c r="L30" s="2749" t="s">
        <v>1773</v>
      </c>
      <c r="M30" s="3676"/>
      <c r="N30" s="3676"/>
      <c r="O30" s="3676"/>
      <c r="P30" s="3676"/>
      <c r="Q30" s="3676"/>
      <c r="R30" s="3676"/>
      <c r="S30" s="3676"/>
      <c r="T30" s="3676"/>
      <c r="U30" s="3676" t="s">
        <v>150</v>
      </c>
      <c r="V30" s="3676"/>
      <c r="W30" s="3676" t="s">
        <v>150</v>
      </c>
      <c r="X30" s="3676" t="s">
        <v>150</v>
      </c>
      <c r="Y30" s="3676" t="s">
        <v>237</v>
      </c>
      <c r="Z30" s="3676"/>
      <c r="AA30" s="3676"/>
      <c r="AB30" s="3676"/>
      <c r="AC30" s="3676"/>
      <c r="AD30" s="3676"/>
      <c r="AE30" s="3676" t="s">
        <v>150</v>
      </c>
      <c r="AF30" s="3676" t="s">
        <v>237</v>
      </c>
      <c r="AG30" s="3676" t="s">
        <v>150</v>
      </c>
      <c r="AH30" s="3676" t="s">
        <v>150</v>
      </c>
      <c r="AI30" s="3676" t="s">
        <v>150</v>
      </c>
      <c r="AJ30" s="3676" t="s">
        <v>150</v>
      </c>
      <c r="AK30" s="3676"/>
      <c r="AL30" s="3677" t="s">
        <v>150</v>
      </c>
      <c r="AM30" s="3676" t="s">
        <v>237</v>
      </c>
      <c r="AN30" s="3676" t="s">
        <v>150</v>
      </c>
      <c r="AO30" s="3676" t="s">
        <v>150</v>
      </c>
      <c r="AP30" s="3676" t="s">
        <v>150</v>
      </c>
      <c r="AQ30" s="3457"/>
      <c r="AR30" s="2750">
        <f t="shared" si="5"/>
        <v>12</v>
      </c>
      <c r="AS30" s="2751">
        <f t="shared" si="2"/>
        <v>3</v>
      </c>
      <c r="AT30" s="2752">
        <f t="shared" si="3"/>
        <v>0</v>
      </c>
      <c r="AU30" s="2753">
        <f t="shared" si="4"/>
        <v>0</v>
      </c>
      <c r="AV30" s="2751">
        <f t="shared" si="6"/>
        <v>15</v>
      </c>
      <c r="AW30" s="2744"/>
      <c r="AX30" s="2755" t="b">
        <f t="shared" ref="AX30:AX48" si="11">IF(AV30=31,20,IF(AV30&gt;=25,10))</f>
        <v>0</v>
      </c>
      <c r="AY30" s="2751"/>
    </row>
    <row r="31" spans="1:51" ht="21.75" customHeight="1">
      <c r="A31" s="2742" t="e">
        <f>#REF!*#REF!+#REF!*#REF!</f>
        <v>#REF!</v>
      </c>
      <c r="B31" s="2743" t="e">
        <f>IF(#REF!&gt;15,40,IF(#REF!&gt;12,35,IF(#REF!&gt;9,30,25)))</f>
        <v>#REF!</v>
      </c>
      <c r="C31" s="2744" t="s">
        <v>92</v>
      </c>
      <c r="D31" s="2744">
        <f t="shared" si="7"/>
        <v>50</v>
      </c>
      <c r="E31" s="2745" t="e">
        <f t="shared" si="8"/>
        <v>#REF!</v>
      </c>
      <c r="F31" s="2739" t="e">
        <f t="shared" si="9"/>
        <v>#REF!</v>
      </c>
      <c r="G31" s="2746">
        <f>('[8]LÁT A'!N14+'[8]LÁT D'!N14+'[8]LÁT C'!N14+'[8]LÁT B'!N14)*0.4+'[8]MỦ DÂY'!AH14*0.5</f>
        <v>24</v>
      </c>
      <c r="H31" s="2745" t="e">
        <f>G31*IF(F31="A",#REF!,IF(F31="B",#REF!,IF(F31="C",#REF!,#REF!)))</f>
        <v>#REF!</v>
      </c>
      <c r="I31" s="2747" t="e">
        <f t="shared" si="10"/>
        <v>#REF!</v>
      </c>
      <c r="J31" s="2748">
        <v>19</v>
      </c>
      <c r="K31" s="2748">
        <v>19</v>
      </c>
      <c r="L31" s="2749" t="s">
        <v>1257</v>
      </c>
      <c r="M31" s="3676"/>
      <c r="N31" s="3676"/>
      <c r="O31" s="3675"/>
      <c r="P31" s="3676"/>
      <c r="Q31" s="3676"/>
      <c r="R31" s="3676"/>
      <c r="S31" s="3675"/>
      <c r="T31" s="3676"/>
      <c r="U31" s="3676" t="s">
        <v>150</v>
      </c>
      <c r="V31" s="3676"/>
      <c r="W31" s="3676" t="s">
        <v>150</v>
      </c>
      <c r="X31" s="3676" t="s">
        <v>150</v>
      </c>
      <c r="Y31" s="3676"/>
      <c r="Z31" s="3676"/>
      <c r="AA31" s="3675"/>
      <c r="AB31" s="3676"/>
      <c r="AC31" s="3676"/>
      <c r="AD31" s="3676"/>
      <c r="AE31" s="3677" t="s">
        <v>150</v>
      </c>
      <c r="AF31" s="3676" t="s">
        <v>237</v>
      </c>
      <c r="AG31" s="3676" t="s">
        <v>150</v>
      </c>
      <c r="AH31" s="3676" t="s">
        <v>150</v>
      </c>
      <c r="AI31" s="3676" t="s">
        <v>150</v>
      </c>
      <c r="AJ31" s="3676"/>
      <c r="AK31" s="3677"/>
      <c r="AL31" s="3677" t="s">
        <v>150</v>
      </c>
      <c r="AM31" s="3676" t="s">
        <v>237</v>
      </c>
      <c r="AN31" s="3676" t="s">
        <v>150</v>
      </c>
      <c r="AO31" s="3676" t="s">
        <v>150</v>
      </c>
      <c r="AP31" s="3676" t="s">
        <v>150</v>
      </c>
      <c r="AQ31" s="3457"/>
      <c r="AR31" s="2750">
        <f t="shared" si="5"/>
        <v>11</v>
      </c>
      <c r="AS31" s="2751">
        <f t="shared" si="2"/>
        <v>2</v>
      </c>
      <c r="AT31" s="2752">
        <f t="shared" si="3"/>
        <v>0</v>
      </c>
      <c r="AU31" s="2753">
        <f t="shared" si="4"/>
        <v>0</v>
      </c>
      <c r="AV31" s="2751">
        <f t="shared" si="6"/>
        <v>13</v>
      </c>
      <c r="AW31" s="2744"/>
      <c r="AX31" s="2755" t="b">
        <f t="shared" si="11"/>
        <v>0</v>
      </c>
      <c r="AY31" s="2751"/>
    </row>
    <row r="32" spans="1:51" ht="21.75" customHeight="1">
      <c r="A32" s="2742" t="e">
        <f>#REF!*#REF!+#REF!*#REF!</f>
        <v>#REF!</v>
      </c>
      <c r="B32" s="2743" t="e">
        <f>IF(#REF!&gt;15,40,IF(#REF!&gt;12,35,IF(#REF!&gt;9,30,25)))</f>
        <v>#REF!</v>
      </c>
      <c r="C32" s="2744" t="s">
        <v>92</v>
      </c>
      <c r="D32" s="2744">
        <f t="shared" si="7"/>
        <v>50</v>
      </c>
      <c r="E32" s="2745" t="e">
        <f t="shared" si="8"/>
        <v>#REF!</v>
      </c>
      <c r="F32" s="2739" t="e">
        <f t="shared" si="9"/>
        <v>#REF!</v>
      </c>
      <c r="G32" s="2746">
        <f>('[8]LÁT A'!N15+'[8]LÁT D'!N15+'[8]LÁT C'!N15+'[8]LÁT B'!N15)*0.4+'[8]MỦ DÂY'!AH15*0.5</f>
        <v>24</v>
      </c>
      <c r="H32" s="2745" t="e">
        <f>G32*IF(F32="A",#REF!,IF(F32="B",#REF!,IF(F32="C",#REF!,#REF!)))</f>
        <v>#REF!</v>
      </c>
      <c r="I32" s="2747" t="e">
        <f t="shared" si="10"/>
        <v>#REF!</v>
      </c>
      <c r="J32" s="2748">
        <v>20</v>
      </c>
      <c r="K32" s="2748">
        <v>20</v>
      </c>
      <c r="L32" s="2749" t="s">
        <v>1380</v>
      </c>
      <c r="M32" s="3676"/>
      <c r="N32" s="3676"/>
      <c r="O32" s="3676"/>
      <c r="P32" s="3676"/>
      <c r="Q32" s="3676"/>
      <c r="R32" s="3676" t="s">
        <v>237</v>
      </c>
      <c r="S32" s="3676"/>
      <c r="T32" s="3676" t="s">
        <v>150</v>
      </c>
      <c r="U32" s="3676" t="s">
        <v>150</v>
      </c>
      <c r="V32" s="3676" t="s">
        <v>150</v>
      </c>
      <c r="W32" s="3676"/>
      <c r="X32" s="3676" t="s">
        <v>150</v>
      </c>
      <c r="Y32" s="3676" t="s">
        <v>237</v>
      </c>
      <c r="Z32" s="3676"/>
      <c r="AA32" s="3676"/>
      <c r="AB32" s="3676"/>
      <c r="AC32" s="3676"/>
      <c r="AD32" s="3676" t="s">
        <v>150</v>
      </c>
      <c r="AE32" s="3676" t="s">
        <v>150</v>
      </c>
      <c r="AF32" s="3676" t="s">
        <v>237</v>
      </c>
      <c r="AG32" s="3676" t="s">
        <v>150</v>
      </c>
      <c r="AH32" s="3676" t="s">
        <v>150</v>
      </c>
      <c r="AI32" s="3676" t="s">
        <v>150</v>
      </c>
      <c r="AJ32" s="3676" t="s">
        <v>150</v>
      </c>
      <c r="AK32" s="3677"/>
      <c r="AL32" s="3677" t="s">
        <v>150</v>
      </c>
      <c r="AM32" s="3676" t="s">
        <v>237</v>
      </c>
      <c r="AN32" s="3676"/>
      <c r="AO32" s="3676" t="s">
        <v>150</v>
      </c>
      <c r="AP32" s="3676" t="s">
        <v>150</v>
      </c>
      <c r="AQ32" s="3457"/>
      <c r="AR32" s="2750">
        <f t="shared" si="5"/>
        <v>13</v>
      </c>
      <c r="AS32" s="2751">
        <f t="shared" si="2"/>
        <v>4</v>
      </c>
      <c r="AT32" s="2752">
        <f t="shared" si="3"/>
        <v>0</v>
      </c>
      <c r="AU32" s="2753">
        <f t="shared" si="4"/>
        <v>0</v>
      </c>
      <c r="AV32" s="2751">
        <f t="shared" si="6"/>
        <v>17</v>
      </c>
      <c r="AW32" s="2754"/>
      <c r="AX32" s="2755" t="b">
        <f t="shared" si="11"/>
        <v>0</v>
      </c>
      <c r="AY32" s="2751"/>
    </row>
    <row r="33" spans="1:63" ht="21.75" customHeight="1">
      <c r="A33" s="2742" t="e">
        <f>#REF!*#REF!+#REF!*#REF!</f>
        <v>#REF!</v>
      </c>
      <c r="B33" s="2743" t="e">
        <f>IF(#REF!&gt;15,40,IF(#REF!&gt;12,35,IF(#REF!&gt;9,30,25)))</f>
        <v>#REF!</v>
      </c>
      <c r="C33" s="2744" t="s">
        <v>92</v>
      </c>
      <c r="D33" s="2744">
        <f t="shared" si="7"/>
        <v>50</v>
      </c>
      <c r="E33" s="2745" t="e">
        <f t="shared" si="8"/>
        <v>#REF!</v>
      </c>
      <c r="F33" s="2739" t="e">
        <f t="shared" si="9"/>
        <v>#REF!</v>
      </c>
      <c r="G33" s="2746">
        <f>('[8]LÁT A'!N16+'[8]LÁT D'!N16+'[8]LÁT C'!N16+'[8]LÁT B'!N16)*0.4+'[8]MỦ DÂY'!AH16*0.5</f>
        <v>0</v>
      </c>
      <c r="H33" s="2745" t="e">
        <f>G33*IF(F33="A",#REF!,IF(F33="B",#REF!,IF(F33="C",#REF!,#REF!)))</f>
        <v>#REF!</v>
      </c>
      <c r="I33" s="2747" t="e">
        <f t="shared" si="10"/>
        <v>#REF!</v>
      </c>
      <c r="J33" s="2748">
        <v>21</v>
      </c>
      <c r="K33" s="2748">
        <v>21</v>
      </c>
      <c r="L33" s="2749" t="s">
        <v>1774</v>
      </c>
      <c r="M33" s="3673"/>
      <c r="N33" s="3676"/>
      <c r="O33" s="3676"/>
      <c r="P33" s="3676"/>
      <c r="Q33" s="3676"/>
      <c r="R33" s="3676"/>
      <c r="S33" s="3676"/>
      <c r="T33" s="3676" t="s">
        <v>150</v>
      </c>
      <c r="U33" s="3676" t="s">
        <v>150</v>
      </c>
      <c r="V33" s="3676" t="s">
        <v>150</v>
      </c>
      <c r="W33" s="3676" t="s">
        <v>150</v>
      </c>
      <c r="X33" s="3676" t="s">
        <v>150</v>
      </c>
      <c r="Y33" s="3676" t="s">
        <v>237</v>
      </c>
      <c r="Z33" s="3676"/>
      <c r="AA33" s="3676"/>
      <c r="AB33" s="3676"/>
      <c r="AC33" s="3676"/>
      <c r="AD33" s="3676" t="s">
        <v>150</v>
      </c>
      <c r="AE33" s="3676"/>
      <c r="AF33" s="3676" t="s">
        <v>237</v>
      </c>
      <c r="AG33" s="3676" t="s">
        <v>150</v>
      </c>
      <c r="AH33" s="3676" t="s">
        <v>150</v>
      </c>
      <c r="AI33" s="3676" t="s">
        <v>150</v>
      </c>
      <c r="AJ33" s="3676" t="s">
        <v>150</v>
      </c>
      <c r="AK33" s="3673"/>
      <c r="AL33" s="3677" t="s">
        <v>150</v>
      </c>
      <c r="AM33" s="3676" t="s">
        <v>237</v>
      </c>
      <c r="AN33" s="3676" t="s">
        <v>150</v>
      </c>
      <c r="AO33" s="3676" t="s">
        <v>150</v>
      </c>
      <c r="AP33" s="3676" t="s">
        <v>150</v>
      </c>
      <c r="AQ33" s="3457"/>
      <c r="AR33" s="2750">
        <f t="shared" si="5"/>
        <v>14</v>
      </c>
      <c r="AS33" s="2751">
        <f t="shared" si="2"/>
        <v>3</v>
      </c>
      <c r="AT33" s="2752">
        <f t="shared" si="3"/>
        <v>0</v>
      </c>
      <c r="AU33" s="2753">
        <f t="shared" si="4"/>
        <v>0</v>
      </c>
      <c r="AV33" s="2751">
        <f t="shared" si="6"/>
        <v>17</v>
      </c>
      <c r="AW33" s="2744"/>
      <c r="AX33" s="2755" t="b">
        <f t="shared" si="11"/>
        <v>0</v>
      </c>
      <c r="AY33" s="2751"/>
    </row>
    <row r="34" spans="1:63" ht="21.75" customHeight="1">
      <c r="A34" s="2742" t="e">
        <f>#REF!*#REF!+#REF!*#REF!</f>
        <v>#REF!</v>
      </c>
      <c r="B34" s="2743" t="e">
        <f>IF(#REF!&gt;15,40,IF(#REF!&gt;12,35,IF(#REF!&gt;9,30,25)))</f>
        <v>#REF!</v>
      </c>
      <c r="C34" s="2744" t="s">
        <v>92</v>
      </c>
      <c r="D34" s="2744">
        <f t="shared" si="7"/>
        <v>50</v>
      </c>
      <c r="E34" s="2745" t="e">
        <f t="shared" si="8"/>
        <v>#REF!</v>
      </c>
      <c r="F34" s="2739" t="e">
        <f t="shared" si="9"/>
        <v>#REF!</v>
      </c>
      <c r="G34" s="2746">
        <f>('[8]LÁT A'!N17+'[8]LÁT D'!N17+'[8]LÁT C'!N17+'[8]LÁT B'!N17)*0.4+'[8]MỦ DÂY'!AH17*0.5</f>
        <v>0</v>
      </c>
      <c r="H34" s="2745" t="e">
        <f>G34*IF(F34="A",#REF!,IF(F34="B",#REF!,IF(F34="C",#REF!,#REF!)))</f>
        <v>#REF!</v>
      </c>
      <c r="I34" s="2747" t="e">
        <f t="shared" si="10"/>
        <v>#REF!</v>
      </c>
      <c r="J34" s="2748">
        <v>22</v>
      </c>
      <c r="K34" s="2748">
        <v>22</v>
      </c>
      <c r="L34" s="2748" t="s">
        <v>1181</v>
      </c>
      <c r="M34" s="3676"/>
      <c r="N34" s="3676"/>
      <c r="O34" s="3676"/>
      <c r="P34" s="3676"/>
      <c r="Q34" s="3676"/>
      <c r="R34" s="3676"/>
      <c r="S34" s="3676"/>
      <c r="T34" s="3676"/>
      <c r="U34" s="3676" t="s">
        <v>150</v>
      </c>
      <c r="V34" s="3676" t="s">
        <v>150</v>
      </c>
      <c r="W34" s="3676" t="s">
        <v>150</v>
      </c>
      <c r="X34" s="3676" t="s">
        <v>150</v>
      </c>
      <c r="Y34" s="3676" t="s">
        <v>237</v>
      </c>
      <c r="Z34" s="3676"/>
      <c r="AA34" s="3676"/>
      <c r="AB34" s="3676"/>
      <c r="AC34" s="3676"/>
      <c r="AD34" s="3676" t="s">
        <v>150</v>
      </c>
      <c r="AE34" s="3676" t="s">
        <v>150</v>
      </c>
      <c r="AF34" s="3676" t="s">
        <v>237</v>
      </c>
      <c r="AG34" s="3676" t="s">
        <v>150</v>
      </c>
      <c r="AH34" s="3676" t="s">
        <v>150</v>
      </c>
      <c r="AI34" s="3676" t="s">
        <v>150</v>
      </c>
      <c r="AJ34" s="3676" t="s">
        <v>150</v>
      </c>
      <c r="AK34" s="3673"/>
      <c r="AL34" s="3677" t="s">
        <v>150</v>
      </c>
      <c r="AM34" s="3676" t="s">
        <v>237</v>
      </c>
      <c r="AN34" s="3676" t="s">
        <v>150</v>
      </c>
      <c r="AO34" s="3676" t="s">
        <v>150</v>
      </c>
      <c r="AP34" s="3676" t="s">
        <v>150</v>
      </c>
      <c r="AQ34" s="3457"/>
      <c r="AR34" s="2750">
        <f t="shared" si="5"/>
        <v>14</v>
      </c>
      <c r="AS34" s="2751">
        <f t="shared" si="2"/>
        <v>3</v>
      </c>
      <c r="AT34" s="2752">
        <f t="shared" si="3"/>
        <v>0</v>
      </c>
      <c r="AU34" s="2753">
        <f t="shared" si="4"/>
        <v>0</v>
      </c>
      <c r="AV34" s="2751">
        <f t="shared" si="6"/>
        <v>17</v>
      </c>
      <c r="AW34" s="2754"/>
      <c r="AX34" s="2755" t="b">
        <f t="shared" si="11"/>
        <v>0</v>
      </c>
      <c r="AY34" s="2751"/>
    </row>
    <row r="35" spans="1:63" ht="21.75" customHeight="1">
      <c r="A35" s="2742" t="e">
        <f>#REF!*#REF!+#REF!*#REF!</f>
        <v>#REF!</v>
      </c>
      <c r="B35" s="2743" t="e">
        <f>IF(#REF!&gt;15,40,IF(#REF!&gt;12,35,IF(#REF!&gt;9,30,25)))</f>
        <v>#REF!</v>
      </c>
      <c r="C35" s="2744" t="s">
        <v>92</v>
      </c>
      <c r="D35" s="2744">
        <f t="shared" si="7"/>
        <v>50</v>
      </c>
      <c r="E35" s="2745" t="e">
        <f t="shared" si="8"/>
        <v>#REF!</v>
      </c>
      <c r="F35" s="2739" t="e">
        <f t="shared" si="9"/>
        <v>#REF!</v>
      </c>
      <c r="G35" s="2746">
        <f>('[8]LÁT A'!N18+'[8]LÁT D'!N18+'[8]LÁT C'!N18+'[8]LÁT B'!N18)*0.4+'[8]MỦ DÂY'!AH18*0.5</f>
        <v>16</v>
      </c>
      <c r="H35" s="2745" t="e">
        <f>G35*IF(F35="A",#REF!,IF(F35="B",#REF!,IF(F35="C",#REF!,#REF!)))</f>
        <v>#REF!</v>
      </c>
      <c r="I35" s="2747" t="e">
        <f t="shared" si="10"/>
        <v>#REF!</v>
      </c>
      <c r="J35" s="2748">
        <v>23</v>
      </c>
      <c r="K35" s="2748">
        <v>23</v>
      </c>
      <c r="L35" s="2748" t="s">
        <v>1775</v>
      </c>
      <c r="M35" s="3676"/>
      <c r="N35" s="3676"/>
      <c r="O35" s="3677"/>
      <c r="P35" s="3676"/>
      <c r="Q35" s="3676"/>
      <c r="R35" s="3676"/>
      <c r="S35" s="3677"/>
      <c r="T35" s="3676"/>
      <c r="U35" s="3676"/>
      <c r="V35" s="3676" t="s">
        <v>150</v>
      </c>
      <c r="W35" s="3677"/>
      <c r="X35" s="3676" t="s">
        <v>150</v>
      </c>
      <c r="Y35" s="3676"/>
      <c r="Z35" s="3676"/>
      <c r="AA35" s="3677"/>
      <c r="AB35" s="3676"/>
      <c r="AC35" s="3676"/>
      <c r="AD35" s="3676"/>
      <c r="AE35" s="3677"/>
      <c r="AF35" s="3676" t="s">
        <v>237</v>
      </c>
      <c r="AG35" s="3676" t="s">
        <v>150</v>
      </c>
      <c r="AH35" s="3676"/>
      <c r="AI35" s="3677" t="s">
        <v>150</v>
      </c>
      <c r="AJ35" s="3676" t="s">
        <v>150</v>
      </c>
      <c r="AK35" s="3677"/>
      <c r="AL35" s="3677" t="s">
        <v>150</v>
      </c>
      <c r="AM35" s="3676" t="s">
        <v>237</v>
      </c>
      <c r="AN35" s="3676"/>
      <c r="AO35" s="3676" t="s">
        <v>150</v>
      </c>
      <c r="AP35" s="3676" t="s">
        <v>150</v>
      </c>
      <c r="AQ35" s="3456"/>
      <c r="AR35" s="2750">
        <f t="shared" si="5"/>
        <v>8</v>
      </c>
      <c r="AS35" s="2751">
        <f t="shared" si="2"/>
        <v>2</v>
      </c>
      <c r="AT35" s="2752">
        <f t="shared" si="3"/>
        <v>0</v>
      </c>
      <c r="AU35" s="2753">
        <f t="shared" si="4"/>
        <v>0</v>
      </c>
      <c r="AV35" s="2751">
        <f t="shared" si="6"/>
        <v>10</v>
      </c>
      <c r="AW35" s="2744"/>
      <c r="AX35" s="2755" t="b">
        <f t="shared" si="11"/>
        <v>0</v>
      </c>
      <c r="AY35" s="2751"/>
    </row>
    <row r="36" spans="1:63" ht="21.75" customHeight="1">
      <c r="A36" s="2742" t="e">
        <f>#REF!*#REF!+#REF!*#REF!</f>
        <v>#REF!</v>
      </c>
      <c r="B36" s="2743" t="e">
        <f>IF(#REF!&gt;15,40,IF(#REF!&gt;12,35,IF(#REF!&gt;9,30,25)))</f>
        <v>#REF!</v>
      </c>
      <c r="C36" s="2744" t="s">
        <v>92</v>
      </c>
      <c r="D36" s="2744">
        <f t="shared" si="7"/>
        <v>50</v>
      </c>
      <c r="E36" s="2745" t="e">
        <f t="shared" si="8"/>
        <v>#REF!</v>
      </c>
      <c r="F36" s="2739" t="e">
        <f t="shared" si="9"/>
        <v>#REF!</v>
      </c>
      <c r="G36" s="2746">
        <f>('[8]LÁT A'!N19+'[8]LÁT D'!N19+'[8]LÁT C'!N19+'[8]LÁT B'!N19)*0.4+'[8]MỦ DÂY'!AH19*0.5</f>
        <v>0</v>
      </c>
      <c r="H36" s="2745" t="e">
        <f>G36*IF(F36="A",#REF!,IF(F36="B",#REF!,IF(F36="C",#REF!,#REF!)))</f>
        <v>#REF!</v>
      </c>
      <c r="I36" s="2747" t="e">
        <f t="shared" si="10"/>
        <v>#REF!</v>
      </c>
      <c r="J36" s="2748">
        <v>24</v>
      </c>
      <c r="K36" s="2748">
        <v>24</v>
      </c>
      <c r="L36" s="2748" t="s">
        <v>1177</v>
      </c>
      <c r="M36" s="3676"/>
      <c r="N36" s="3676"/>
      <c r="O36" s="3677"/>
      <c r="P36" s="3676"/>
      <c r="Q36" s="3676"/>
      <c r="R36" s="3673"/>
      <c r="S36" s="3677"/>
      <c r="T36" s="3676"/>
      <c r="U36" s="3676"/>
      <c r="V36" s="3677"/>
      <c r="W36" s="3677" t="s">
        <v>150</v>
      </c>
      <c r="X36" s="3676" t="s">
        <v>150</v>
      </c>
      <c r="Y36" s="3676" t="s">
        <v>237</v>
      </c>
      <c r="Z36" s="3673" t="s">
        <v>150</v>
      </c>
      <c r="AA36" s="3677"/>
      <c r="AB36" s="3676"/>
      <c r="AC36" s="3676"/>
      <c r="AD36" s="3673" t="s">
        <v>150</v>
      </c>
      <c r="AE36" s="3677" t="s">
        <v>150</v>
      </c>
      <c r="AF36" s="3676" t="s">
        <v>237</v>
      </c>
      <c r="AG36" s="3676" t="s">
        <v>150</v>
      </c>
      <c r="AH36" s="3676" t="s">
        <v>150</v>
      </c>
      <c r="AI36" s="3677" t="s">
        <v>150</v>
      </c>
      <c r="AJ36" s="3676" t="s">
        <v>150</v>
      </c>
      <c r="AK36" s="3676" t="s">
        <v>150</v>
      </c>
      <c r="AL36" s="3677" t="s">
        <v>150</v>
      </c>
      <c r="AM36" s="3676" t="s">
        <v>237</v>
      </c>
      <c r="AN36" s="3676" t="s">
        <v>150</v>
      </c>
      <c r="AO36" s="3676" t="s">
        <v>150</v>
      </c>
      <c r="AP36" s="3673" t="s">
        <v>150</v>
      </c>
      <c r="AQ36" s="3456"/>
      <c r="AR36" s="2750">
        <f t="shared" si="5"/>
        <v>14</v>
      </c>
      <c r="AS36" s="2751">
        <f t="shared" si="2"/>
        <v>3</v>
      </c>
      <c r="AT36" s="2752">
        <f t="shared" si="3"/>
        <v>0</v>
      </c>
      <c r="AU36" s="2753">
        <f t="shared" si="4"/>
        <v>0</v>
      </c>
      <c r="AV36" s="2751">
        <f t="shared" si="6"/>
        <v>17</v>
      </c>
      <c r="AW36" s="2754"/>
      <c r="AX36" s="2755" t="b">
        <f t="shared" si="11"/>
        <v>0</v>
      </c>
      <c r="AY36" s="2751"/>
    </row>
    <row r="37" spans="1:63" ht="21.75" customHeight="1">
      <c r="A37" s="2742" t="e">
        <f>#REF!*#REF!+#REF!*#REF!</f>
        <v>#REF!</v>
      </c>
      <c r="B37" s="2743" t="e">
        <f>IF(#REF!&gt;15,40,IF(#REF!&gt;12,35,IF(#REF!&gt;9,30,25)))</f>
        <v>#REF!</v>
      </c>
      <c r="C37" s="2744" t="s">
        <v>92</v>
      </c>
      <c r="D37" s="2744">
        <f t="shared" si="7"/>
        <v>50</v>
      </c>
      <c r="E37" s="2745" t="e">
        <f t="shared" si="8"/>
        <v>#REF!</v>
      </c>
      <c r="F37" s="2739" t="e">
        <f t="shared" si="9"/>
        <v>#REF!</v>
      </c>
      <c r="G37" s="2746">
        <f>('[8]LÁT A'!N12+'[8]LÁT D'!N12+'[8]LÁT C'!N12+'[8]LÁT B'!N12)*0.4+'[8]MỦ DÂY'!AH12*0.5</f>
        <v>0</v>
      </c>
      <c r="H37" s="2745" t="e">
        <f>G37*IF(F37="A",#REF!,IF(F37="B",#REF!,IF(F37="C",#REF!,#REF!)))</f>
        <v>#REF!</v>
      </c>
      <c r="I37" s="2747" t="e">
        <f t="shared" si="10"/>
        <v>#REF!</v>
      </c>
      <c r="J37" s="2748">
        <v>25</v>
      </c>
      <c r="K37" s="2748">
        <v>25</v>
      </c>
      <c r="L37" s="2748" t="s">
        <v>945</v>
      </c>
      <c r="M37" s="3675"/>
      <c r="N37" s="3673"/>
      <c r="O37" s="3677"/>
      <c r="P37" s="3676"/>
      <c r="Q37" s="3676" t="s">
        <v>150</v>
      </c>
      <c r="R37" s="3676" t="s">
        <v>237</v>
      </c>
      <c r="S37" s="3677" t="s">
        <v>150</v>
      </c>
      <c r="T37" s="3676" t="s">
        <v>150</v>
      </c>
      <c r="U37" s="3673" t="s">
        <v>150</v>
      </c>
      <c r="V37" s="3676" t="s">
        <v>150</v>
      </c>
      <c r="W37" s="3677" t="s">
        <v>150</v>
      </c>
      <c r="X37" s="3676" t="s">
        <v>150</v>
      </c>
      <c r="Y37" s="3676" t="s">
        <v>237</v>
      </c>
      <c r="Z37" s="3676"/>
      <c r="AA37" s="3677"/>
      <c r="AB37" s="3676"/>
      <c r="AC37" s="3673" t="s">
        <v>150</v>
      </c>
      <c r="AD37" s="3676" t="s">
        <v>150</v>
      </c>
      <c r="AE37" s="3677"/>
      <c r="AF37" s="3676" t="s">
        <v>237</v>
      </c>
      <c r="AG37" s="3673" t="s">
        <v>150</v>
      </c>
      <c r="AH37" s="3676" t="s">
        <v>150</v>
      </c>
      <c r="AI37" s="3677" t="s">
        <v>150</v>
      </c>
      <c r="AJ37" s="3676" t="s">
        <v>150</v>
      </c>
      <c r="AK37" s="3673" t="s">
        <v>150</v>
      </c>
      <c r="AL37" s="3677" t="s">
        <v>150</v>
      </c>
      <c r="AM37" s="3676" t="s">
        <v>237</v>
      </c>
      <c r="AN37" s="3676" t="s">
        <v>150</v>
      </c>
      <c r="AO37" s="3676" t="s">
        <v>150</v>
      </c>
      <c r="AP37" s="3676" t="s">
        <v>150</v>
      </c>
      <c r="AQ37" s="3456"/>
      <c r="AR37" s="2750">
        <f t="shared" si="5"/>
        <v>18</v>
      </c>
      <c r="AS37" s="2751">
        <f t="shared" si="2"/>
        <v>4</v>
      </c>
      <c r="AT37" s="2752">
        <f t="shared" si="3"/>
        <v>0</v>
      </c>
      <c r="AU37" s="2753">
        <f t="shared" si="4"/>
        <v>0</v>
      </c>
      <c r="AV37" s="2751">
        <f t="shared" si="6"/>
        <v>22</v>
      </c>
      <c r="AW37" s="2744"/>
      <c r="AX37" s="2755" t="b">
        <f t="shared" si="11"/>
        <v>0</v>
      </c>
      <c r="AY37" s="2751"/>
    </row>
    <row r="38" spans="1:63" ht="21.75" customHeight="1">
      <c r="A38" s="2742" t="e">
        <f>#REF!*#REF!+#REF!*#REF!</f>
        <v>#REF!</v>
      </c>
      <c r="B38" s="2743" t="e">
        <f>IF(#REF!&gt;15,40,IF(#REF!&gt;12,35,IF(#REF!&gt;9,30,25)))</f>
        <v>#REF!</v>
      </c>
      <c r="C38" s="2744" t="s">
        <v>92</v>
      </c>
      <c r="D38" s="2744">
        <f t="shared" si="7"/>
        <v>50</v>
      </c>
      <c r="E38" s="2745" t="e">
        <f t="shared" si="8"/>
        <v>#REF!</v>
      </c>
      <c r="F38" s="2739" t="e">
        <f t="shared" si="9"/>
        <v>#REF!</v>
      </c>
      <c r="G38" s="2746">
        <f>('[8]LÁT A'!N13+'[8]LÁT D'!N13+'[8]LÁT C'!N13+'[8]LÁT B'!N13)*0.4+'[8]MỦ DÂY'!AH13*0.5</f>
        <v>16</v>
      </c>
      <c r="H38" s="2745" t="e">
        <f>G38*IF(F38="A",#REF!,IF(F38="B",#REF!,IF(F38="C",#REF!,#REF!)))</f>
        <v>#REF!</v>
      </c>
      <c r="I38" s="2747" t="e">
        <f t="shared" si="10"/>
        <v>#REF!</v>
      </c>
      <c r="J38" s="2748">
        <v>26</v>
      </c>
      <c r="K38" s="2748">
        <v>26</v>
      </c>
      <c r="L38" s="2748" t="s">
        <v>958</v>
      </c>
      <c r="M38" s="3676"/>
      <c r="N38" s="3676"/>
      <c r="O38" s="3677"/>
      <c r="P38" s="3676"/>
      <c r="Q38" s="3676"/>
      <c r="R38" s="3676"/>
      <c r="S38" s="3677"/>
      <c r="T38" s="3676"/>
      <c r="U38" s="3676" t="s">
        <v>150</v>
      </c>
      <c r="V38" s="3676"/>
      <c r="W38" s="3677"/>
      <c r="X38" s="3676"/>
      <c r="Y38" s="3676" t="s">
        <v>237</v>
      </c>
      <c r="Z38" s="3676" t="s">
        <v>150</v>
      </c>
      <c r="AA38" s="3677" t="s">
        <v>150</v>
      </c>
      <c r="AB38" s="3676"/>
      <c r="AC38" s="3676"/>
      <c r="AD38" s="3676" t="s">
        <v>150</v>
      </c>
      <c r="AE38" s="3677" t="s">
        <v>150</v>
      </c>
      <c r="AF38" s="3676" t="s">
        <v>237</v>
      </c>
      <c r="AG38" s="3676" t="s">
        <v>150</v>
      </c>
      <c r="AH38" s="3676" t="s">
        <v>150</v>
      </c>
      <c r="AI38" s="3677"/>
      <c r="AJ38" s="3676" t="s">
        <v>150</v>
      </c>
      <c r="AK38" s="3673" t="s">
        <v>150</v>
      </c>
      <c r="AL38" s="3677" t="s">
        <v>150</v>
      </c>
      <c r="AM38" s="3676" t="s">
        <v>237</v>
      </c>
      <c r="AN38" s="3676" t="s">
        <v>150</v>
      </c>
      <c r="AO38" s="3676" t="s">
        <v>150</v>
      </c>
      <c r="AP38" s="3676" t="s">
        <v>150</v>
      </c>
      <c r="AQ38" s="3456"/>
      <c r="AR38" s="2750">
        <f t="shared" si="5"/>
        <v>13</v>
      </c>
      <c r="AS38" s="2751">
        <f t="shared" si="2"/>
        <v>3</v>
      </c>
      <c r="AT38" s="2752">
        <f t="shared" si="3"/>
        <v>0</v>
      </c>
      <c r="AU38" s="2753">
        <f t="shared" si="4"/>
        <v>0</v>
      </c>
      <c r="AV38" s="2751">
        <f t="shared" si="6"/>
        <v>16</v>
      </c>
      <c r="AW38" s="2744"/>
      <c r="AX38" s="2755" t="b">
        <f t="shared" si="11"/>
        <v>0</v>
      </c>
      <c r="AY38" s="2751"/>
    </row>
    <row r="39" spans="1:63" ht="21.75" customHeight="1">
      <c r="A39" s="2742" t="e">
        <f>#REF!*#REF!+#REF!*#REF!</f>
        <v>#REF!</v>
      </c>
      <c r="B39" s="2743" t="e">
        <f>IF(#REF!&gt;15,40,IF(#REF!&gt;12,35,IF(#REF!&gt;9,30,25)))</f>
        <v>#REF!</v>
      </c>
      <c r="C39" s="2744" t="s">
        <v>92</v>
      </c>
      <c r="D39" s="2744">
        <f t="shared" si="7"/>
        <v>50</v>
      </c>
      <c r="E39" s="2745" t="e">
        <f t="shared" si="8"/>
        <v>#REF!</v>
      </c>
      <c r="F39" s="2739" t="e">
        <f t="shared" si="9"/>
        <v>#REF!</v>
      </c>
      <c r="G39" s="2746">
        <f>('[8]LÁT A'!N14+'[8]LÁT D'!N14+'[8]LÁT C'!N14+'[8]LÁT B'!N14)*0.4+'[8]MỦ DÂY'!AH14*0.5</f>
        <v>24</v>
      </c>
      <c r="H39" s="2745" t="e">
        <f>G39*IF(F39="A",#REF!,IF(F39="B",#REF!,IF(F39="C",#REF!,#REF!)))</f>
        <v>#REF!</v>
      </c>
      <c r="I39" s="2747" t="e">
        <f t="shared" si="10"/>
        <v>#REF!</v>
      </c>
      <c r="J39" s="2748">
        <v>27</v>
      </c>
      <c r="K39" s="2748">
        <v>27</v>
      </c>
      <c r="L39" s="2748" t="s">
        <v>1776</v>
      </c>
      <c r="M39" s="3676"/>
      <c r="N39" s="3676"/>
      <c r="O39" s="3676"/>
      <c r="P39" s="3676"/>
      <c r="Q39" s="3676"/>
      <c r="R39" s="3675"/>
      <c r="S39" s="3676"/>
      <c r="T39" s="3676" t="s">
        <v>150</v>
      </c>
      <c r="U39" s="3676"/>
      <c r="V39" s="3676" t="s">
        <v>150</v>
      </c>
      <c r="W39" s="3676" t="s">
        <v>150</v>
      </c>
      <c r="X39" s="3676" t="s">
        <v>150</v>
      </c>
      <c r="Y39" s="3676" t="s">
        <v>237</v>
      </c>
      <c r="Z39" s="3675"/>
      <c r="AA39" s="3677"/>
      <c r="AB39" s="3676"/>
      <c r="AC39" s="3676"/>
      <c r="AD39" s="3676" t="s">
        <v>150</v>
      </c>
      <c r="AE39" s="3676" t="s">
        <v>150</v>
      </c>
      <c r="AF39" s="3676" t="s">
        <v>237</v>
      </c>
      <c r="AG39" s="3676" t="s">
        <v>150</v>
      </c>
      <c r="AH39" s="3676" t="s">
        <v>150</v>
      </c>
      <c r="AI39" s="3676" t="s">
        <v>150</v>
      </c>
      <c r="AJ39" s="3676" t="s">
        <v>150</v>
      </c>
      <c r="AK39" s="3677"/>
      <c r="AL39" s="3677" t="s">
        <v>150</v>
      </c>
      <c r="AM39" s="3676" t="s">
        <v>237</v>
      </c>
      <c r="AN39" s="3676" t="s">
        <v>150</v>
      </c>
      <c r="AO39" s="3676" t="s">
        <v>150</v>
      </c>
      <c r="AP39" s="3676" t="s">
        <v>150</v>
      </c>
      <c r="AQ39" s="3456"/>
      <c r="AR39" s="2750">
        <f t="shared" si="5"/>
        <v>14</v>
      </c>
      <c r="AS39" s="2751">
        <f t="shared" si="2"/>
        <v>3</v>
      </c>
      <c r="AT39" s="2752">
        <f t="shared" si="3"/>
        <v>0</v>
      </c>
      <c r="AU39" s="2753">
        <f t="shared" si="4"/>
        <v>0</v>
      </c>
      <c r="AV39" s="2751">
        <f t="shared" si="6"/>
        <v>17</v>
      </c>
      <c r="AW39" s="2754"/>
      <c r="AX39" s="2755" t="b">
        <f t="shared" si="11"/>
        <v>0</v>
      </c>
      <c r="AY39" s="2751"/>
    </row>
    <row r="40" spans="1:63" ht="21.75" customHeight="1">
      <c r="A40" s="2742" t="e">
        <f>#REF!*#REF!+#REF!*#REF!</f>
        <v>#REF!</v>
      </c>
      <c r="B40" s="2743" t="e">
        <f>IF(#REF!&gt;15,40,IF(#REF!&gt;12,35,IF(#REF!&gt;9,30,25)))</f>
        <v>#REF!</v>
      </c>
      <c r="C40" s="2744" t="s">
        <v>92</v>
      </c>
      <c r="D40" s="2744">
        <f t="shared" si="7"/>
        <v>50</v>
      </c>
      <c r="E40" s="2745" t="e">
        <f t="shared" si="8"/>
        <v>#REF!</v>
      </c>
      <c r="F40" s="2739" t="e">
        <f t="shared" si="9"/>
        <v>#REF!</v>
      </c>
      <c r="G40" s="2746">
        <f>('[8]LÁT A'!N15+'[8]LÁT D'!N15+'[8]LÁT C'!N15+'[8]LÁT B'!N15)*0.4+'[8]MỦ DÂY'!AH15*0.5</f>
        <v>24</v>
      </c>
      <c r="H40" s="2745" t="e">
        <f>G40*IF(F40="A",#REF!,IF(F40="B",#REF!,IF(F40="C",#REF!,#REF!)))</f>
        <v>#REF!</v>
      </c>
      <c r="I40" s="2747" t="e">
        <f t="shared" si="10"/>
        <v>#REF!</v>
      </c>
      <c r="J40" s="2748">
        <v>28</v>
      </c>
      <c r="K40" s="2748">
        <v>28</v>
      </c>
      <c r="L40" s="2748" t="s">
        <v>946</v>
      </c>
      <c r="M40" s="3676"/>
      <c r="N40" s="3675"/>
      <c r="O40" s="3676"/>
      <c r="P40" s="3676"/>
      <c r="Q40" s="3675"/>
      <c r="R40" s="3676" t="s">
        <v>237</v>
      </c>
      <c r="S40" s="3676"/>
      <c r="T40" s="3676" t="s">
        <v>150</v>
      </c>
      <c r="U40" s="3676" t="s">
        <v>150</v>
      </c>
      <c r="V40" s="3676" t="s">
        <v>150</v>
      </c>
      <c r="W40" s="3676" t="s">
        <v>150</v>
      </c>
      <c r="X40" s="3676" t="s">
        <v>150</v>
      </c>
      <c r="Y40" s="3676" t="s">
        <v>237</v>
      </c>
      <c r="Z40" s="3676" t="s">
        <v>150</v>
      </c>
      <c r="AA40" s="3673" t="s">
        <v>150</v>
      </c>
      <c r="AB40" s="3676" t="s">
        <v>150</v>
      </c>
      <c r="AC40" s="3676" t="s">
        <v>150</v>
      </c>
      <c r="AD40" s="3676" t="s">
        <v>150</v>
      </c>
      <c r="AE40" s="3676" t="s">
        <v>150</v>
      </c>
      <c r="AF40" s="3676"/>
      <c r="AG40" s="3675"/>
      <c r="AH40" s="3676" t="s">
        <v>150</v>
      </c>
      <c r="AI40" s="3676" t="s">
        <v>150</v>
      </c>
      <c r="AJ40" s="3676" t="s">
        <v>150</v>
      </c>
      <c r="AK40" s="3673" t="s">
        <v>150</v>
      </c>
      <c r="AL40" s="3677" t="s">
        <v>150</v>
      </c>
      <c r="AM40" s="3676" t="s">
        <v>237</v>
      </c>
      <c r="AN40" s="3676" t="s">
        <v>150</v>
      </c>
      <c r="AO40" s="3676" t="s">
        <v>150</v>
      </c>
      <c r="AP40" s="3676" t="s">
        <v>150</v>
      </c>
      <c r="AQ40" s="3456"/>
      <c r="AR40" s="2750">
        <f t="shared" si="5"/>
        <v>19</v>
      </c>
      <c r="AS40" s="2751">
        <f t="shared" si="2"/>
        <v>3</v>
      </c>
      <c r="AT40" s="2752">
        <f t="shared" si="3"/>
        <v>0</v>
      </c>
      <c r="AU40" s="2753">
        <f t="shared" si="4"/>
        <v>0</v>
      </c>
      <c r="AV40" s="2751">
        <f t="shared" si="6"/>
        <v>22</v>
      </c>
      <c r="AW40" s="2744"/>
      <c r="AX40" s="2755" t="b">
        <f t="shared" si="11"/>
        <v>0</v>
      </c>
      <c r="AY40" s="2751"/>
    </row>
    <row r="41" spans="1:63" ht="21.75" customHeight="1">
      <c r="A41" s="2742" t="e">
        <f>#REF!*#REF!+#REF!*#REF!</f>
        <v>#REF!</v>
      </c>
      <c r="B41" s="2743" t="e">
        <f>IF(#REF!&gt;15,40,IF(#REF!&gt;12,35,IF(#REF!&gt;9,30,25)))</f>
        <v>#REF!</v>
      </c>
      <c r="C41" s="2744" t="s">
        <v>92</v>
      </c>
      <c r="D41" s="2744">
        <f t="shared" si="7"/>
        <v>50</v>
      </c>
      <c r="E41" s="2745" t="e">
        <f t="shared" si="8"/>
        <v>#REF!</v>
      </c>
      <c r="F41" s="2739" t="e">
        <f t="shared" si="9"/>
        <v>#REF!</v>
      </c>
      <c r="G41" s="2746">
        <f>('[8]LÁT A'!N16+'[8]LÁT D'!N16+'[8]LÁT C'!N16+'[8]LÁT B'!N16)*0.4+'[8]MỦ DÂY'!AH16*0.5</f>
        <v>0</v>
      </c>
      <c r="H41" s="2745" t="e">
        <f>G41*IF(F41="A",#REF!,IF(F41="B",#REF!,IF(F41="C",#REF!,#REF!)))</f>
        <v>#REF!</v>
      </c>
      <c r="I41" s="2747" t="e">
        <f t="shared" si="10"/>
        <v>#REF!</v>
      </c>
      <c r="J41" s="2748">
        <v>29</v>
      </c>
      <c r="K41" s="2748">
        <v>29</v>
      </c>
      <c r="L41" s="2748" t="s">
        <v>947</v>
      </c>
      <c r="M41" s="3676"/>
      <c r="N41" s="3675"/>
      <c r="O41" s="3676"/>
      <c r="P41" s="3676"/>
      <c r="Q41" s="3675"/>
      <c r="R41" s="3676" t="s">
        <v>237</v>
      </c>
      <c r="S41" s="3676"/>
      <c r="T41" s="3676" t="s">
        <v>150</v>
      </c>
      <c r="U41" s="3677" t="s">
        <v>150</v>
      </c>
      <c r="V41" s="3676" t="s">
        <v>150</v>
      </c>
      <c r="W41" s="3676" t="s">
        <v>150</v>
      </c>
      <c r="X41" s="3676" t="s">
        <v>150</v>
      </c>
      <c r="Y41" s="3676" t="s">
        <v>237</v>
      </c>
      <c r="Z41" s="3676" t="s">
        <v>150</v>
      </c>
      <c r="AA41" s="3673" t="s">
        <v>150</v>
      </c>
      <c r="AB41" s="3676" t="s">
        <v>150</v>
      </c>
      <c r="AC41" s="3676" t="s">
        <v>150</v>
      </c>
      <c r="AD41" s="3676" t="s">
        <v>150</v>
      </c>
      <c r="AE41" s="3676" t="s">
        <v>150</v>
      </c>
      <c r="AF41" s="3676"/>
      <c r="AG41" s="3675"/>
      <c r="AH41" s="3676" t="s">
        <v>150</v>
      </c>
      <c r="AI41" s="3676" t="s">
        <v>150</v>
      </c>
      <c r="AJ41" s="3676" t="s">
        <v>150</v>
      </c>
      <c r="AK41" s="3673" t="s">
        <v>150</v>
      </c>
      <c r="AL41" s="3677" t="s">
        <v>150</v>
      </c>
      <c r="AM41" s="3676" t="s">
        <v>237</v>
      </c>
      <c r="AN41" s="3676" t="s">
        <v>150</v>
      </c>
      <c r="AO41" s="3676" t="s">
        <v>150</v>
      </c>
      <c r="AP41" s="3676" t="s">
        <v>150</v>
      </c>
      <c r="AQ41" s="3456"/>
      <c r="AR41" s="2750">
        <f t="shared" si="5"/>
        <v>19</v>
      </c>
      <c r="AS41" s="2751">
        <f t="shared" si="2"/>
        <v>3</v>
      </c>
      <c r="AT41" s="2752">
        <f t="shared" si="3"/>
        <v>0</v>
      </c>
      <c r="AU41" s="2753">
        <f t="shared" si="4"/>
        <v>0</v>
      </c>
      <c r="AV41" s="2751">
        <f t="shared" si="6"/>
        <v>22</v>
      </c>
      <c r="AW41" s="2754"/>
      <c r="AX41" s="2755" t="b">
        <f t="shared" si="11"/>
        <v>0</v>
      </c>
      <c r="AY41" s="2751"/>
      <c r="BK41" s="2730">
        <f>106-23</f>
        <v>83</v>
      </c>
    </row>
    <row r="42" spans="1:63" ht="21.75" customHeight="1">
      <c r="A42" s="2742" t="e">
        <f>#REF!*#REF!+#REF!*#REF!</f>
        <v>#REF!</v>
      </c>
      <c r="B42" s="2743" t="e">
        <f>IF(#REF!&gt;15,40,IF(#REF!&gt;12,35,IF(#REF!&gt;9,30,25)))</f>
        <v>#REF!</v>
      </c>
      <c r="C42" s="2744" t="s">
        <v>92</v>
      </c>
      <c r="D42" s="2744">
        <f t="shared" si="7"/>
        <v>50</v>
      </c>
      <c r="E42" s="2745" t="e">
        <f t="shared" si="8"/>
        <v>#REF!</v>
      </c>
      <c r="F42" s="2739" t="e">
        <f t="shared" si="9"/>
        <v>#REF!</v>
      </c>
      <c r="G42" s="2746">
        <f>('[8]LÁT A'!N17+'[8]LÁT D'!N17+'[8]LÁT C'!N17+'[8]LÁT B'!N17)*0.4+'[8]MỦ DÂY'!AH17*0.5</f>
        <v>0</v>
      </c>
      <c r="H42" s="2745" t="e">
        <f>G42*IF(F42="A",#REF!,IF(F42="B",#REF!,IF(F42="C",#REF!,#REF!)))</f>
        <v>#REF!</v>
      </c>
      <c r="I42" s="2747" t="e">
        <f t="shared" si="10"/>
        <v>#REF!</v>
      </c>
      <c r="J42" s="2748">
        <v>30</v>
      </c>
      <c r="K42" s="2748">
        <v>30</v>
      </c>
      <c r="L42" s="2748" t="s">
        <v>529</v>
      </c>
      <c r="M42" s="3676"/>
      <c r="N42" s="3676"/>
      <c r="O42" s="3676"/>
      <c r="P42" s="3675"/>
      <c r="Q42" s="3676"/>
      <c r="R42" s="3676"/>
      <c r="S42" s="3676"/>
      <c r="T42" s="3675"/>
      <c r="U42" s="3676"/>
      <c r="V42" s="3676"/>
      <c r="W42" s="3676" t="s">
        <v>150</v>
      </c>
      <c r="X42" s="3675"/>
      <c r="Y42" s="3676"/>
      <c r="Z42" s="3676" t="s">
        <v>150</v>
      </c>
      <c r="AA42" s="3673" t="s">
        <v>150</v>
      </c>
      <c r="AB42" s="3677" t="s">
        <v>150</v>
      </c>
      <c r="AC42" s="3676"/>
      <c r="AD42" s="3676"/>
      <c r="AE42" s="3676" t="s">
        <v>150</v>
      </c>
      <c r="AF42" s="3676" t="s">
        <v>237</v>
      </c>
      <c r="AG42" s="3676"/>
      <c r="AH42" s="3677" t="s">
        <v>150</v>
      </c>
      <c r="AI42" s="3676" t="s">
        <v>150</v>
      </c>
      <c r="AJ42" s="3677" t="s">
        <v>150</v>
      </c>
      <c r="AK42" s="3673" t="s">
        <v>150</v>
      </c>
      <c r="AL42" s="3677" t="s">
        <v>150</v>
      </c>
      <c r="AM42" s="3676" t="s">
        <v>237</v>
      </c>
      <c r="AN42" s="3676" t="s">
        <v>150</v>
      </c>
      <c r="AO42" s="3676" t="s">
        <v>150</v>
      </c>
      <c r="AP42" s="3676" t="s">
        <v>150</v>
      </c>
      <c r="AQ42" s="3456"/>
      <c r="AR42" s="2750">
        <f t="shared" si="5"/>
        <v>13</v>
      </c>
      <c r="AS42" s="2751">
        <f t="shared" si="2"/>
        <v>2</v>
      </c>
      <c r="AT42" s="2752">
        <f t="shared" si="3"/>
        <v>0</v>
      </c>
      <c r="AU42" s="2753">
        <f t="shared" si="4"/>
        <v>0</v>
      </c>
      <c r="AV42" s="2751">
        <f t="shared" si="6"/>
        <v>15</v>
      </c>
      <c r="AW42" s="2744"/>
      <c r="AX42" s="2755" t="b">
        <f t="shared" si="11"/>
        <v>0</v>
      </c>
      <c r="AY42" s="2751"/>
    </row>
    <row r="43" spans="1:63" ht="21.75" customHeight="1">
      <c r="A43" s="2742" t="e">
        <f>#REF!*#REF!+#REF!*#REF!</f>
        <v>#REF!</v>
      </c>
      <c r="B43" s="2743" t="e">
        <f>IF(#REF!&gt;15,40,IF(#REF!&gt;12,35,IF(#REF!&gt;9,30,25)))</f>
        <v>#REF!</v>
      </c>
      <c r="C43" s="2744" t="s">
        <v>92</v>
      </c>
      <c r="D43" s="2744">
        <f t="shared" si="7"/>
        <v>50</v>
      </c>
      <c r="E43" s="2745" t="e">
        <f t="shared" si="8"/>
        <v>#REF!</v>
      </c>
      <c r="F43" s="2739" t="e">
        <f t="shared" si="9"/>
        <v>#REF!</v>
      </c>
      <c r="G43" s="2746">
        <f>('[8]LÁT A'!N18+'[8]LÁT D'!N18+'[8]LÁT C'!N18+'[8]LÁT B'!N18)*0.4+'[8]MỦ DÂY'!AH18*0.5</f>
        <v>16</v>
      </c>
      <c r="H43" s="2745" t="e">
        <f>G43*IF(F43="A",#REF!,IF(F43="B",#REF!,IF(F43="C",#REF!,#REF!)))</f>
        <v>#REF!</v>
      </c>
      <c r="I43" s="2747" t="e">
        <f t="shared" si="10"/>
        <v>#REF!</v>
      </c>
      <c r="J43" s="2748">
        <v>31</v>
      </c>
      <c r="K43" s="2748">
        <v>31</v>
      </c>
      <c r="L43" s="2748" t="s">
        <v>1178</v>
      </c>
      <c r="M43" s="3676"/>
      <c r="N43" s="3676"/>
      <c r="O43" s="3676"/>
      <c r="P43" s="3676"/>
      <c r="Q43" s="3676"/>
      <c r="R43" s="3676"/>
      <c r="S43" s="3676"/>
      <c r="T43" s="3676"/>
      <c r="U43" s="3676"/>
      <c r="V43" s="3676"/>
      <c r="W43" s="3676" t="s">
        <v>150</v>
      </c>
      <c r="X43" s="3676" t="s">
        <v>150</v>
      </c>
      <c r="Y43" s="3676" t="s">
        <v>237</v>
      </c>
      <c r="Z43" s="3676" t="s">
        <v>150</v>
      </c>
      <c r="AA43" s="3677"/>
      <c r="AB43" s="3676"/>
      <c r="AC43" s="3676"/>
      <c r="AD43" s="3676" t="s">
        <v>150</v>
      </c>
      <c r="AE43" s="3676" t="s">
        <v>150</v>
      </c>
      <c r="AF43" s="3676" t="s">
        <v>237</v>
      </c>
      <c r="AG43" s="3676" t="s">
        <v>150</v>
      </c>
      <c r="AH43" s="3676" t="s">
        <v>150</v>
      </c>
      <c r="AI43" s="3676" t="s">
        <v>150</v>
      </c>
      <c r="AJ43" s="3676" t="s">
        <v>150</v>
      </c>
      <c r="AK43" s="3673" t="s">
        <v>150</v>
      </c>
      <c r="AL43" s="3677" t="s">
        <v>150</v>
      </c>
      <c r="AM43" s="3676" t="s">
        <v>237</v>
      </c>
      <c r="AN43" s="3676" t="s">
        <v>150</v>
      </c>
      <c r="AO43" s="3676" t="s">
        <v>150</v>
      </c>
      <c r="AP43" s="3676" t="s">
        <v>150</v>
      </c>
      <c r="AQ43" s="3456"/>
      <c r="AR43" s="2750">
        <f t="shared" si="5"/>
        <v>14</v>
      </c>
      <c r="AS43" s="2751">
        <f t="shared" si="2"/>
        <v>3</v>
      </c>
      <c r="AT43" s="2752">
        <f t="shared" si="3"/>
        <v>0</v>
      </c>
      <c r="AU43" s="2753">
        <f t="shared" si="4"/>
        <v>0</v>
      </c>
      <c r="AV43" s="2751">
        <f t="shared" si="6"/>
        <v>17</v>
      </c>
      <c r="AW43" s="2744"/>
      <c r="AX43" s="2755" t="b">
        <f t="shared" si="11"/>
        <v>0</v>
      </c>
      <c r="AY43" s="2751"/>
    </row>
    <row r="44" spans="1:63" ht="21.75" customHeight="1">
      <c r="A44" s="2742" t="e">
        <f>#REF!*#REF!+#REF!*#REF!</f>
        <v>#REF!</v>
      </c>
      <c r="B44" s="2743" t="e">
        <f>IF(#REF!&gt;15,40,IF(#REF!&gt;12,35,IF(#REF!&gt;9,30,25)))</f>
        <v>#REF!</v>
      </c>
      <c r="C44" s="2744" t="s">
        <v>92</v>
      </c>
      <c r="D44" s="2744">
        <f t="shared" si="7"/>
        <v>50</v>
      </c>
      <c r="E44" s="2745" t="e">
        <f t="shared" si="8"/>
        <v>#REF!</v>
      </c>
      <c r="F44" s="2739" t="e">
        <f t="shared" si="9"/>
        <v>#REF!</v>
      </c>
      <c r="G44" s="2746">
        <f>('[8]LÁT A'!N23+'[8]LÁT D'!N23+'[8]LÁT C'!N23+'[8]LÁT B'!N23)*0.4+'[8]MỦ DÂY'!AH23*0.5</f>
        <v>16</v>
      </c>
      <c r="H44" s="2745" t="e">
        <f>G44*IF(F44="A",#REF!,IF(F44="B",#REF!,IF(F44="C",#REF!,#REF!)))</f>
        <v>#REF!</v>
      </c>
      <c r="I44" s="2747" t="e">
        <f t="shared" si="10"/>
        <v>#REF!</v>
      </c>
      <c r="J44" s="2748">
        <v>32</v>
      </c>
      <c r="K44" s="2748">
        <v>32</v>
      </c>
      <c r="L44" s="2748" t="s">
        <v>1183</v>
      </c>
      <c r="M44" s="3676"/>
      <c r="N44" s="3676"/>
      <c r="O44" s="3676"/>
      <c r="P44" s="3676"/>
      <c r="Q44" s="3676" t="s">
        <v>150</v>
      </c>
      <c r="R44" s="3676" t="s">
        <v>237</v>
      </c>
      <c r="S44" s="3676" t="s">
        <v>150</v>
      </c>
      <c r="T44" s="3676"/>
      <c r="U44" s="3676" t="s">
        <v>150</v>
      </c>
      <c r="V44" s="3676" t="s">
        <v>150</v>
      </c>
      <c r="W44" s="3676" t="s">
        <v>150</v>
      </c>
      <c r="X44" s="3676" t="s">
        <v>150</v>
      </c>
      <c r="Y44" s="3676" t="s">
        <v>237</v>
      </c>
      <c r="Z44" s="3676" t="s">
        <v>150</v>
      </c>
      <c r="AA44" s="3677"/>
      <c r="AB44" s="3676"/>
      <c r="AC44" s="3676"/>
      <c r="AD44" s="3676" t="s">
        <v>150</v>
      </c>
      <c r="AE44" s="3676" t="s">
        <v>150</v>
      </c>
      <c r="AF44" s="3676" t="s">
        <v>237</v>
      </c>
      <c r="AG44" s="3676" t="s">
        <v>150</v>
      </c>
      <c r="AH44" s="3676" t="s">
        <v>150</v>
      </c>
      <c r="AI44" s="3676" t="s">
        <v>150</v>
      </c>
      <c r="AJ44" s="3676" t="s">
        <v>150</v>
      </c>
      <c r="AK44" s="3673" t="s">
        <v>150</v>
      </c>
      <c r="AL44" s="3677" t="s">
        <v>150</v>
      </c>
      <c r="AM44" s="3676" t="s">
        <v>237</v>
      </c>
      <c r="AN44" s="3676" t="s">
        <v>150</v>
      </c>
      <c r="AO44" s="3676" t="s">
        <v>150</v>
      </c>
      <c r="AP44" s="3676" t="s">
        <v>150</v>
      </c>
      <c r="AQ44" s="3456"/>
      <c r="AR44" s="2750">
        <f t="shared" si="5"/>
        <v>18</v>
      </c>
      <c r="AS44" s="2751">
        <f t="shared" si="2"/>
        <v>4</v>
      </c>
      <c r="AT44" s="2752">
        <f t="shared" si="3"/>
        <v>0</v>
      </c>
      <c r="AU44" s="2753">
        <f t="shared" si="4"/>
        <v>0</v>
      </c>
      <c r="AV44" s="2751">
        <f t="shared" si="6"/>
        <v>22</v>
      </c>
      <c r="AW44" s="2754"/>
      <c r="AX44" s="2755" t="b">
        <f t="shared" si="11"/>
        <v>0</v>
      </c>
      <c r="AY44" s="2751"/>
    </row>
    <row r="45" spans="1:63" ht="21.75" customHeight="1">
      <c r="A45" s="2742" t="e">
        <f>#REF!*#REF!+#REF!*#REF!</f>
        <v>#REF!</v>
      </c>
      <c r="B45" s="2743" t="e">
        <f>IF(#REF!&gt;15,40,IF(#REF!&gt;12,35,IF(#REF!&gt;9,30,25)))</f>
        <v>#REF!</v>
      </c>
      <c r="C45" s="2744" t="s">
        <v>92</v>
      </c>
      <c r="D45" s="2744">
        <f t="shared" si="7"/>
        <v>50</v>
      </c>
      <c r="E45" s="2745" t="e">
        <f t="shared" si="8"/>
        <v>#REF!</v>
      </c>
      <c r="F45" s="2739" t="e">
        <f t="shared" si="9"/>
        <v>#REF!</v>
      </c>
      <c r="G45" s="2746">
        <f>('[8]LÁT A'!N20+'[8]LÁT D'!N20+'[8]LÁT C'!N20+'[8]LÁT B'!N20)*0.4+'[8]MỦ DÂY'!AH20*0.5</f>
        <v>12.8</v>
      </c>
      <c r="H45" s="2745" t="e">
        <f>G45*IF(F45="A",#REF!,IF(F45="B",#REF!,IF(F45="C",#REF!,#REF!)))</f>
        <v>#REF!</v>
      </c>
      <c r="I45" s="2747" t="e">
        <f t="shared" si="10"/>
        <v>#REF!</v>
      </c>
      <c r="J45" s="2748">
        <v>33</v>
      </c>
      <c r="K45" s="2748">
        <v>33</v>
      </c>
      <c r="L45" s="2748" t="s">
        <v>961</v>
      </c>
      <c r="M45" s="3676"/>
      <c r="N45" s="3676"/>
      <c r="O45" s="3676"/>
      <c r="P45" s="3676"/>
      <c r="Q45" s="3676"/>
      <c r="R45" s="3676" t="s">
        <v>237</v>
      </c>
      <c r="S45" s="3676" t="s">
        <v>150</v>
      </c>
      <c r="T45" s="3676"/>
      <c r="U45" s="3676" t="s">
        <v>150</v>
      </c>
      <c r="V45" s="3676" t="s">
        <v>150</v>
      </c>
      <c r="W45" s="3676" t="s">
        <v>150</v>
      </c>
      <c r="X45" s="3676" t="s">
        <v>150</v>
      </c>
      <c r="Y45" s="3676"/>
      <c r="Z45" s="3676" t="s">
        <v>150</v>
      </c>
      <c r="AA45" s="3676"/>
      <c r="AB45" s="3676"/>
      <c r="AC45" s="3676"/>
      <c r="AD45" s="3676" t="s">
        <v>150</v>
      </c>
      <c r="AE45" s="3676" t="s">
        <v>150</v>
      </c>
      <c r="AF45" s="3676" t="s">
        <v>237</v>
      </c>
      <c r="AG45" s="3676" t="s">
        <v>150</v>
      </c>
      <c r="AH45" s="3676" t="s">
        <v>150</v>
      </c>
      <c r="AI45" s="3676" t="s">
        <v>150</v>
      </c>
      <c r="AJ45" s="3676" t="s">
        <v>150</v>
      </c>
      <c r="AK45" s="3673" t="s">
        <v>150</v>
      </c>
      <c r="AL45" s="3677" t="s">
        <v>150</v>
      </c>
      <c r="AM45" s="3676" t="s">
        <v>237</v>
      </c>
      <c r="AN45" s="3676" t="s">
        <v>150</v>
      </c>
      <c r="AO45" s="3676" t="s">
        <v>150</v>
      </c>
      <c r="AP45" s="3676" t="s">
        <v>150</v>
      </c>
      <c r="AQ45" s="3456"/>
      <c r="AR45" s="2750">
        <f t="shared" si="5"/>
        <v>17</v>
      </c>
      <c r="AS45" s="2751">
        <f t="shared" si="2"/>
        <v>3</v>
      </c>
      <c r="AT45" s="2752">
        <f t="shared" si="3"/>
        <v>0</v>
      </c>
      <c r="AU45" s="2753">
        <f t="shared" si="4"/>
        <v>0</v>
      </c>
      <c r="AV45" s="2751">
        <f t="shared" si="6"/>
        <v>20</v>
      </c>
      <c r="AW45" s="2744"/>
      <c r="AX45" s="2755" t="b">
        <f t="shared" si="11"/>
        <v>0</v>
      </c>
      <c r="AY45" s="2751"/>
    </row>
    <row r="46" spans="1:63" ht="21.75" customHeight="1">
      <c r="A46" s="2742" t="e">
        <f>#REF!*#REF!+#REF!*#REF!</f>
        <v>#REF!</v>
      </c>
      <c r="B46" s="2743" t="e">
        <f>IF(#REF!&gt;15,40,IF(#REF!&gt;12,35,IF(#REF!&gt;9,30,25)))</f>
        <v>#REF!</v>
      </c>
      <c r="C46" s="2744" t="s">
        <v>92</v>
      </c>
      <c r="D46" s="2744">
        <f t="shared" si="7"/>
        <v>50</v>
      </c>
      <c r="E46" s="2745" t="e">
        <f t="shared" si="8"/>
        <v>#REF!</v>
      </c>
      <c r="F46" s="2739" t="e">
        <f t="shared" si="9"/>
        <v>#REF!</v>
      </c>
      <c r="G46" s="2746">
        <f>('[8]LÁT A'!N21+'[8]LÁT D'!N21+'[8]LÁT C'!N21+'[8]LÁT B'!N21)*0.4+'[8]MỦ DÂY'!AH21*0.5</f>
        <v>44.800000000000004</v>
      </c>
      <c r="H46" s="2745" t="e">
        <f>G46*IF(F46="A",#REF!,IF(F46="B",#REF!,IF(F46="C",#REF!,#REF!)))</f>
        <v>#REF!</v>
      </c>
      <c r="I46" s="2747" t="e">
        <f t="shared" si="10"/>
        <v>#REF!</v>
      </c>
      <c r="J46" s="2748">
        <v>34</v>
      </c>
      <c r="K46" s="2748">
        <v>34</v>
      </c>
      <c r="L46" s="2748" t="s">
        <v>940</v>
      </c>
      <c r="M46" s="3676"/>
      <c r="N46" s="3676"/>
      <c r="O46" s="3676"/>
      <c r="P46" s="3676"/>
      <c r="Q46" s="3676" t="s">
        <v>150</v>
      </c>
      <c r="R46" s="3676" t="s">
        <v>237</v>
      </c>
      <c r="S46" s="3676" t="s">
        <v>150</v>
      </c>
      <c r="T46" s="3676" t="s">
        <v>150</v>
      </c>
      <c r="U46" s="3676" t="s">
        <v>150</v>
      </c>
      <c r="V46" s="3676" t="s">
        <v>150</v>
      </c>
      <c r="W46" s="3676" t="s">
        <v>150</v>
      </c>
      <c r="X46" s="3676" t="s">
        <v>150</v>
      </c>
      <c r="Y46" s="3676" t="s">
        <v>237</v>
      </c>
      <c r="Z46" s="3676" t="s">
        <v>150</v>
      </c>
      <c r="AA46" s="3673" t="s">
        <v>150</v>
      </c>
      <c r="AB46" s="3676"/>
      <c r="AC46" s="3676"/>
      <c r="AD46" s="3676" t="s">
        <v>150</v>
      </c>
      <c r="AE46" s="3676" t="s">
        <v>150</v>
      </c>
      <c r="AF46" s="3676"/>
      <c r="AG46" s="3676" t="s">
        <v>150</v>
      </c>
      <c r="AH46" s="3676" t="s">
        <v>150</v>
      </c>
      <c r="AI46" s="3676" t="s">
        <v>150</v>
      </c>
      <c r="AJ46" s="3676" t="s">
        <v>150</v>
      </c>
      <c r="AK46" s="3673" t="s">
        <v>150</v>
      </c>
      <c r="AL46" s="3677" t="s">
        <v>150</v>
      </c>
      <c r="AM46" s="3676" t="s">
        <v>237</v>
      </c>
      <c r="AN46" s="3676" t="s">
        <v>150</v>
      </c>
      <c r="AO46" s="3676" t="s">
        <v>150</v>
      </c>
      <c r="AP46" s="3676" t="s">
        <v>150</v>
      </c>
      <c r="AQ46" s="3456"/>
      <c r="AR46" s="2750">
        <f t="shared" si="5"/>
        <v>20</v>
      </c>
      <c r="AS46" s="2751">
        <f t="shared" si="2"/>
        <v>3</v>
      </c>
      <c r="AT46" s="2752">
        <f t="shared" si="3"/>
        <v>0</v>
      </c>
      <c r="AU46" s="2753">
        <f t="shared" si="4"/>
        <v>0</v>
      </c>
      <c r="AV46" s="2751">
        <f t="shared" si="6"/>
        <v>23</v>
      </c>
      <c r="AW46" s="2744"/>
      <c r="AX46" s="2755" t="b">
        <f t="shared" si="11"/>
        <v>0</v>
      </c>
      <c r="AY46" s="2751"/>
    </row>
    <row r="47" spans="1:63" ht="21.75" customHeight="1">
      <c r="A47" s="2742" t="e">
        <f>#REF!*#REF!+#REF!*#REF!</f>
        <v>#REF!</v>
      </c>
      <c r="B47" s="2743" t="e">
        <f>IF(#REF!&gt;15,40,IF(#REF!&gt;12,35,IF(#REF!&gt;9,30,25)))</f>
        <v>#REF!</v>
      </c>
      <c r="C47" s="2744" t="s">
        <v>92</v>
      </c>
      <c r="D47" s="2744">
        <f t="shared" si="7"/>
        <v>50</v>
      </c>
      <c r="E47" s="2745" t="e">
        <f t="shared" si="8"/>
        <v>#REF!</v>
      </c>
      <c r="F47" s="2739" t="e">
        <f t="shared" si="9"/>
        <v>#REF!</v>
      </c>
      <c r="G47" s="2746">
        <f>('[8]LÁT A'!N22+'[8]LÁT D'!N22+'[8]LÁT C'!N22+'[8]LÁT B'!N22)*0.4+'[8]MỦ DÂY'!AH22*0.5</f>
        <v>0</v>
      </c>
      <c r="H47" s="2745" t="e">
        <f>G47*IF(F47="A",#REF!,IF(F47="B",#REF!,IF(F47="C",#REF!,#REF!)))</f>
        <v>#REF!</v>
      </c>
      <c r="I47" s="2747" t="e">
        <f t="shared" si="10"/>
        <v>#REF!</v>
      </c>
      <c r="J47" s="2748">
        <v>35</v>
      </c>
      <c r="K47" s="2748">
        <v>35</v>
      </c>
      <c r="L47" s="2748" t="s">
        <v>740</v>
      </c>
      <c r="M47" s="3676"/>
      <c r="N47" s="3676"/>
      <c r="O47" s="3676"/>
      <c r="P47" s="3676"/>
      <c r="Q47" s="3676" t="s">
        <v>150</v>
      </c>
      <c r="R47" s="3676"/>
      <c r="S47" s="3676"/>
      <c r="T47" s="3676" t="s">
        <v>150</v>
      </c>
      <c r="U47" s="3676" t="s">
        <v>150</v>
      </c>
      <c r="V47" s="3676" t="s">
        <v>150</v>
      </c>
      <c r="W47" s="3676"/>
      <c r="X47" s="3676" t="s">
        <v>150</v>
      </c>
      <c r="Y47" s="3676" t="s">
        <v>237</v>
      </c>
      <c r="Z47" s="3676" t="s">
        <v>150</v>
      </c>
      <c r="AA47" s="3673" t="s">
        <v>150</v>
      </c>
      <c r="AB47" s="3676"/>
      <c r="AC47" s="3676"/>
      <c r="AD47" s="3676" t="s">
        <v>150</v>
      </c>
      <c r="AE47" s="3676" t="s">
        <v>150</v>
      </c>
      <c r="AF47" s="3676" t="s">
        <v>237</v>
      </c>
      <c r="AG47" s="3676" t="s">
        <v>150</v>
      </c>
      <c r="AH47" s="3676" t="s">
        <v>150</v>
      </c>
      <c r="AI47" s="3676"/>
      <c r="AJ47" s="3676" t="s">
        <v>150</v>
      </c>
      <c r="AK47" s="3673" t="s">
        <v>150</v>
      </c>
      <c r="AL47" s="3677" t="s">
        <v>150</v>
      </c>
      <c r="AM47" s="3676" t="s">
        <v>237</v>
      </c>
      <c r="AN47" s="3676" t="s">
        <v>150</v>
      </c>
      <c r="AO47" s="3676" t="s">
        <v>150</v>
      </c>
      <c r="AP47" s="3676" t="s">
        <v>150</v>
      </c>
      <c r="AQ47" s="3456"/>
      <c r="AR47" s="2750">
        <f t="shared" si="5"/>
        <v>17</v>
      </c>
      <c r="AS47" s="2751">
        <f t="shared" si="2"/>
        <v>3</v>
      </c>
      <c r="AT47" s="2752">
        <f t="shared" si="3"/>
        <v>0</v>
      </c>
      <c r="AU47" s="2753">
        <f t="shared" si="4"/>
        <v>0</v>
      </c>
      <c r="AV47" s="2751">
        <f t="shared" si="6"/>
        <v>20</v>
      </c>
      <c r="AW47" s="2754"/>
      <c r="AX47" s="2755" t="b">
        <f t="shared" si="11"/>
        <v>0</v>
      </c>
      <c r="AY47" s="2751"/>
    </row>
    <row r="48" spans="1:63" ht="21.75" customHeight="1">
      <c r="A48" s="2742" t="e">
        <f>#REF!*#REF!+#REF!*#REF!</f>
        <v>#REF!</v>
      </c>
      <c r="B48" s="2743" t="e">
        <f>IF(#REF!&gt;15,40,IF(#REF!&gt;12,35,IF(#REF!&gt;9,30,25)))</f>
        <v>#REF!</v>
      </c>
      <c r="C48" s="2744" t="s">
        <v>92</v>
      </c>
      <c r="D48" s="2744">
        <f t="shared" si="7"/>
        <v>50</v>
      </c>
      <c r="E48" s="2745" t="e">
        <f t="shared" si="8"/>
        <v>#REF!</v>
      </c>
      <c r="F48" s="2739" t="e">
        <f t="shared" si="9"/>
        <v>#REF!</v>
      </c>
      <c r="G48" s="2746">
        <f>('[8]LÁT A'!N23+'[8]LÁT D'!N23+'[8]LÁT C'!N23+'[8]LÁT B'!N23)*0.4+'[8]MỦ DÂY'!AH23*0.5</f>
        <v>16</v>
      </c>
      <c r="H48" s="2745" t="e">
        <f>G48*IF(F48="A",#REF!,IF(F48="B",#REF!,IF(F48="C",#REF!,#REF!)))</f>
        <v>#REF!</v>
      </c>
      <c r="I48" s="2747" t="e">
        <f t="shared" si="10"/>
        <v>#REF!</v>
      </c>
      <c r="J48" s="2748">
        <v>36</v>
      </c>
      <c r="K48" s="2748">
        <v>36</v>
      </c>
      <c r="L48" s="2748" t="s">
        <v>948</v>
      </c>
      <c r="M48" s="3676"/>
      <c r="N48" s="3676"/>
      <c r="O48" s="3676"/>
      <c r="P48" s="3676"/>
      <c r="Q48" s="3676" t="s">
        <v>150</v>
      </c>
      <c r="R48" s="3676" t="s">
        <v>237</v>
      </c>
      <c r="S48" s="3676" t="s">
        <v>150</v>
      </c>
      <c r="T48" s="3676" t="s">
        <v>150</v>
      </c>
      <c r="U48" s="3676" t="s">
        <v>150</v>
      </c>
      <c r="V48" s="3676" t="s">
        <v>150</v>
      </c>
      <c r="W48" s="3676" t="s">
        <v>150</v>
      </c>
      <c r="X48" s="3676" t="s">
        <v>150</v>
      </c>
      <c r="Y48" s="3676" t="s">
        <v>237</v>
      </c>
      <c r="Z48" s="3676"/>
      <c r="AA48" s="3673"/>
      <c r="AB48" s="3676"/>
      <c r="AC48" s="3676" t="s">
        <v>150</v>
      </c>
      <c r="AD48" s="3676" t="s">
        <v>150</v>
      </c>
      <c r="AE48" s="3676" t="s">
        <v>150</v>
      </c>
      <c r="AF48" s="3676" t="s">
        <v>237</v>
      </c>
      <c r="AG48" s="3676" t="s">
        <v>150</v>
      </c>
      <c r="AH48" s="3673" t="s">
        <v>150</v>
      </c>
      <c r="AI48" s="3676" t="s">
        <v>150</v>
      </c>
      <c r="AJ48" s="3676" t="s">
        <v>150</v>
      </c>
      <c r="AK48" s="3673" t="s">
        <v>150</v>
      </c>
      <c r="AL48" s="3677" t="s">
        <v>150</v>
      </c>
      <c r="AM48" s="3676" t="s">
        <v>237</v>
      </c>
      <c r="AN48" s="3676" t="s">
        <v>150</v>
      </c>
      <c r="AO48" s="3673" t="s">
        <v>150</v>
      </c>
      <c r="AP48" s="3676" t="s">
        <v>150</v>
      </c>
      <c r="AQ48" s="3456"/>
      <c r="AR48" s="2750">
        <f t="shared" si="5"/>
        <v>19</v>
      </c>
      <c r="AS48" s="2751">
        <f t="shared" si="2"/>
        <v>4</v>
      </c>
      <c r="AT48" s="2752">
        <f t="shared" si="3"/>
        <v>0</v>
      </c>
      <c r="AU48" s="2753">
        <f t="shared" si="4"/>
        <v>0</v>
      </c>
      <c r="AV48" s="2751">
        <f t="shared" si="6"/>
        <v>23</v>
      </c>
      <c r="AW48" s="2744"/>
      <c r="AX48" s="2755" t="b">
        <f t="shared" si="11"/>
        <v>0</v>
      </c>
      <c r="AY48" s="2751"/>
    </row>
    <row r="49" spans="1:51" ht="21.75" customHeight="1">
      <c r="A49" s="2742"/>
      <c r="B49" s="2743"/>
      <c r="C49" s="2744"/>
      <c r="D49" s="2744"/>
      <c r="E49" s="2745"/>
      <c r="F49" s="2739"/>
      <c r="G49" s="2746"/>
      <c r="H49" s="2745"/>
      <c r="I49" s="2747"/>
      <c r="J49" s="2748">
        <v>37</v>
      </c>
      <c r="K49" s="2748">
        <v>37</v>
      </c>
      <c r="L49" s="3683" t="s">
        <v>1777</v>
      </c>
      <c r="M49" s="3676"/>
      <c r="N49" s="3676"/>
      <c r="O49" s="3676"/>
      <c r="P49" s="3676"/>
      <c r="Q49" s="3676"/>
      <c r="R49" s="3676"/>
      <c r="S49" s="3676"/>
      <c r="T49" s="3676"/>
      <c r="U49" s="3676"/>
      <c r="V49" s="3676"/>
      <c r="W49" s="3676"/>
      <c r="X49" s="3676"/>
      <c r="Y49" s="3676"/>
      <c r="Z49" s="3676"/>
      <c r="AA49" s="3673"/>
      <c r="AB49" s="3676"/>
      <c r="AC49" s="3676"/>
      <c r="AD49" s="3676"/>
      <c r="AE49" s="3676"/>
      <c r="AF49" s="3676"/>
      <c r="AG49" s="3676"/>
      <c r="AH49" s="3673"/>
      <c r="AI49" s="3676"/>
      <c r="AJ49" s="3676"/>
      <c r="AK49" s="3673" t="s">
        <v>1778</v>
      </c>
      <c r="AL49" s="3673" t="s">
        <v>1778</v>
      </c>
      <c r="AM49" s="3676" t="s">
        <v>1779</v>
      </c>
      <c r="AN49" s="3676" t="s">
        <v>1778</v>
      </c>
      <c r="AO49" s="3673" t="s">
        <v>1778</v>
      </c>
      <c r="AP49" s="3684" t="s">
        <v>1778</v>
      </c>
      <c r="AQ49" s="3456"/>
      <c r="AR49" s="2750">
        <f t="shared" si="5"/>
        <v>0</v>
      </c>
      <c r="AS49" s="2751">
        <f t="shared" si="2"/>
        <v>0</v>
      </c>
      <c r="AT49" s="2752">
        <f t="shared" si="3"/>
        <v>5</v>
      </c>
      <c r="AU49" s="2753">
        <f t="shared" si="4"/>
        <v>1</v>
      </c>
      <c r="AV49" s="2751">
        <f t="shared" si="6"/>
        <v>6</v>
      </c>
      <c r="AW49" s="2744"/>
      <c r="AX49" s="2755"/>
      <c r="AY49" s="2751"/>
    </row>
    <row r="50" spans="1:51" ht="37.5" customHeight="1">
      <c r="A50" s="2742" t="e">
        <f>#REF!*#REF!+#REF!*#REF!</f>
        <v>#REF!</v>
      </c>
      <c r="B50" s="2743" t="e">
        <f>IF(#REF!&gt;15,40,IF(#REF!&gt;12,35,IF(#REF!&gt;9,30,25)))</f>
        <v>#REF!</v>
      </c>
      <c r="C50" s="2744"/>
      <c r="D50" s="2744"/>
      <c r="E50" s="2745"/>
      <c r="F50" s="2739"/>
      <c r="G50" s="2746"/>
      <c r="H50" s="2745"/>
      <c r="I50" s="2747"/>
      <c r="J50" s="2745" t="s">
        <v>92</v>
      </c>
      <c r="K50" s="4012" t="s">
        <v>322</v>
      </c>
      <c r="L50" s="4013"/>
      <c r="M50" s="3346">
        <f>COUNTIF(M51:M69,"X")+COUNTIF(M51:M69,"CN")+COUNTIF(M51:M69,"X1")+COUNTIF(M51:M69,"CN1")</f>
        <v>0</v>
      </c>
      <c r="N50" s="3346">
        <f t="shared" ref="N50:AP50" si="12">COUNTIF(N51:N69,"X")+COUNTIF(N51:N69,"CN")+COUNTIF(N51:N69,"X1")+COUNTIF(N51:N69,"CN1")</f>
        <v>0</v>
      </c>
      <c r="O50" s="3346">
        <f t="shared" si="12"/>
        <v>0</v>
      </c>
      <c r="P50" s="3346">
        <f t="shared" si="12"/>
        <v>0</v>
      </c>
      <c r="Q50" s="3346">
        <f t="shared" si="12"/>
        <v>1</v>
      </c>
      <c r="R50" s="2725">
        <f t="shared" si="12"/>
        <v>1</v>
      </c>
      <c r="S50" s="3346">
        <f t="shared" si="12"/>
        <v>2</v>
      </c>
      <c r="T50" s="3346">
        <f t="shared" si="12"/>
        <v>4</v>
      </c>
      <c r="U50" s="3346">
        <f t="shared" si="12"/>
        <v>2</v>
      </c>
      <c r="V50" s="3346">
        <f t="shared" si="12"/>
        <v>5</v>
      </c>
      <c r="W50" s="3346">
        <f t="shared" si="12"/>
        <v>6</v>
      </c>
      <c r="X50" s="3346">
        <f t="shared" si="12"/>
        <v>6</v>
      </c>
      <c r="Y50" s="2725">
        <f t="shared" si="12"/>
        <v>6</v>
      </c>
      <c r="Z50" s="3346">
        <f t="shared" si="12"/>
        <v>4</v>
      </c>
      <c r="AA50" s="3346">
        <f t="shared" si="12"/>
        <v>10</v>
      </c>
      <c r="AB50" s="3346">
        <f t="shared" si="12"/>
        <v>15</v>
      </c>
      <c r="AC50" s="3346">
        <f t="shared" si="12"/>
        <v>15</v>
      </c>
      <c r="AD50" s="3346">
        <f t="shared" si="12"/>
        <v>15</v>
      </c>
      <c r="AE50" s="3346">
        <f t="shared" si="12"/>
        <v>15</v>
      </c>
      <c r="AF50" s="2725">
        <f t="shared" si="12"/>
        <v>15</v>
      </c>
      <c r="AG50" s="3346">
        <f t="shared" si="12"/>
        <v>15</v>
      </c>
      <c r="AH50" s="3346">
        <f t="shared" si="12"/>
        <v>15</v>
      </c>
      <c r="AI50" s="3346">
        <f t="shared" si="12"/>
        <v>15</v>
      </c>
      <c r="AJ50" s="3346">
        <f t="shared" si="12"/>
        <v>15</v>
      </c>
      <c r="AK50" s="3346">
        <f t="shared" si="12"/>
        <v>15</v>
      </c>
      <c r="AL50" s="3346">
        <f t="shared" si="12"/>
        <v>18</v>
      </c>
      <c r="AM50" s="2725">
        <f t="shared" si="12"/>
        <v>5</v>
      </c>
      <c r="AN50" s="3346">
        <f t="shared" si="12"/>
        <v>15</v>
      </c>
      <c r="AO50" s="3346">
        <f t="shared" si="12"/>
        <v>19</v>
      </c>
      <c r="AP50" s="3346">
        <f t="shared" si="12"/>
        <v>19</v>
      </c>
      <c r="AQ50" s="3346"/>
      <c r="AR50" s="2757">
        <f>SUM(AR51:AR69)</f>
        <v>232</v>
      </c>
      <c r="AS50" s="2757">
        <f t="shared" ref="AS50:AV50" si="13">SUM(AS51:AS69)</f>
        <v>27</v>
      </c>
      <c r="AT50" s="2757">
        <f t="shared" si="13"/>
        <v>14</v>
      </c>
      <c r="AU50" s="2757">
        <f t="shared" si="13"/>
        <v>0</v>
      </c>
      <c r="AV50" s="2757">
        <f t="shared" si="13"/>
        <v>273</v>
      </c>
      <c r="AW50" s="2758"/>
      <c r="AX50" s="2758">
        <f t="shared" ref="AX50" si="14">SUM(AX51:AX65)</f>
        <v>0</v>
      </c>
      <c r="AY50" s="2758"/>
    </row>
    <row r="51" spans="1:51" ht="32.25" customHeight="1">
      <c r="A51" s="2742" t="e">
        <f>#REF!*#REF!+#REF!*#REF!</f>
        <v>#REF!</v>
      </c>
      <c r="B51" s="2743" t="e">
        <f>IF(#REF!&gt;15,40,IF(#REF!&gt;12,35,IF(#REF!&gt;9,30,25)))</f>
        <v>#REF!</v>
      </c>
      <c r="C51" s="2744" t="s">
        <v>92</v>
      </c>
      <c r="D51" s="2744">
        <f t="shared" si="7"/>
        <v>50</v>
      </c>
      <c r="E51" s="2745" t="e">
        <f t="shared" si="8"/>
        <v>#REF!</v>
      </c>
      <c r="F51" s="2739" t="e">
        <f t="shared" si="9"/>
        <v>#REF!</v>
      </c>
      <c r="G51" s="2746">
        <f>('[8]LÁT A'!N33+'[8]LÁT D'!N33+'[8]LÁT C'!N33+'[8]LÁT B'!N33)*0.4+'[8]MỦ DÂY'!AH33*0.5</f>
        <v>19.200000000000003</v>
      </c>
      <c r="H51" s="2745" t="e">
        <f>G51*IF(F51="A",#REF!,IF(F51="B",#REF!,IF(F51="C",#REF!,#REF!)))</f>
        <v>#REF!</v>
      </c>
      <c r="I51" s="2747" t="e">
        <f t="shared" si="10"/>
        <v>#REF!</v>
      </c>
      <c r="J51" s="2748">
        <v>38</v>
      </c>
      <c r="K51" s="2748">
        <v>1</v>
      </c>
      <c r="L51" s="2759" t="s">
        <v>1780</v>
      </c>
      <c r="M51" s="3685"/>
      <c r="N51" s="3686"/>
      <c r="O51" s="3687"/>
      <c r="P51" s="3687"/>
      <c r="Q51" s="3687"/>
      <c r="R51" s="3687"/>
      <c r="S51" s="3687"/>
      <c r="T51" s="3688"/>
      <c r="U51" s="3688"/>
      <c r="V51" s="3688"/>
      <c r="W51" s="3688"/>
      <c r="X51" s="3688"/>
      <c r="Y51" s="3688"/>
      <c r="Z51" s="3688"/>
      <c r="AA51" s="3688"/>
      <c r="AB51" s="3676" t="s">
        <v>150</v>
      </c>
      <c r="AC51" s="3676" t="s">
        <v>150</v>
      </c>
      <c r="AD51" s="3676" t="s">
        <v>150</v>
      </c>
      <c r="AE51" s="3676" t="s">
        <v>150</v>
      </c>
      <c r="AF51" s="3689" t="s">
        <v>237</v>
      </c>
      <c r="AG51" s="3676" t="s">
        <v>150</v>
      </c>
      <c r="AH51" s="3676" t="s">
        <v>150</v>
      </c>
      <c r="AI51" s="3676" t="s">
        <v>150</v>
      </c>
      <c r="AJ51" s="3676" t="s">
        <v>150</v>
      </c>
      <c r="AK51" s="3676" t="s">
        <v>150</v>
      </c>
      <c r="AL51" s="3676" t="s">
        <v>150</v>
      </c>
      <c r="AM51" s="3688"/>
      <c r="AN51" s="3688"/>
      <c r="AO51" s="3676" t="s">
        <v>150</v>
      </c>
      <c r="AP51" s="3676" t="s">
        <v>150</v>
      </c>
      <c r="AQ51" s="3458"/>
      <c r="AR51" s="2750">
        <f>COUNTIF(M51:AQ51,"X")</f>
        <v>12</v>
      </c>
      <c r="AS51" s="2751">
        <f>+COUNTIF(M51:AQ51,"CN")</f>
        <v>1</v>
      </c>
      <c r="AT51" s="2760">
        <f>COUNTIF(M51:AQ51,"X1")</f>
        <v>0</v>
      </c>
      <c r="AU51" s="2751">
        <f>+COUNTIF(M51:AQ51,"CN1")</f>
        <v>0</v>
      </c>
      <c r="AV51" s="2761">
        <f>+SUM(AR51:AU51)</f>
        <v>13</v>
      </c>
      <c r="AW51" s="2744"/>
      <c r="AX51" s="2755" t="b">
        <f t="shared" ref="AX51:AX65" si="15">IF(AV51=31,20,IF(AV51&gt;=25,10))</f>
        <v>0</v>
      </c>
      <c r="AY51" s="2761"/>
    </row>
    <row r="52" spans="1:51" ht="32.25" customHeight="1">
      <c r="A52" s="2742" t="e">
        <f>#REF!*#REF!+#REF!*#REF!</f>
        <v>#REF!</v>
      </c>
      <c r="B52" s="2743" t="e">
        <f>IF(#REF!&gt;15,40,IF(#REF!&gt;12,35,IF(#REF!&gt;9,30,25)))</f>
        <v>#REF!</v>
      </c>
      <c r="C52" s="2744" t="s">
        <v>92</v>
      </c>
      <c r="D52" s="2744">
        <f t="shared" si="7"/>
        <v>50</v>
      </c>
      <c r="E52" s="2745" t="e">
        <f t="shared" si="8"/>
        <v>#REF!</v>
      </c>
      <c r="F52" s="2739" t="e">
        <f t="shared" si="9"/>
        <v>#REF!</v>
      </c>
      <c r="G52" s="2746">
        <f>('[8]LÁT A'!N34+'[8]LÁT D'!N34+'[8]LÁT C'!N34+'[8]LÁT B'!N34)*0.4+'[8]MỦ DÂY'!AH34*0.5</f>
        <v>22.400000000000002</v>
      </c>
      <c r="H52" s="2745" t="e">
        <f>G52*IF(F52="A",#REF!,IF(F52="B",#REF!,IF(F52="C",#REF!,#REF!)))</f>
        <v>#REF!</v>
      </c>
      <c r="I52" s="2747" t="e">
        <f t="shared" si="10"/>
        <v>#REF!</v>
      </c>
      <c r="J52" s="2748">
        <v>39</v>
      </c>
      <c r="K52" s="2748">
        <v>2</v>
      </c>
      <c r="L52" s="2759" t="s">
        <v>1781</v>
      </c>
      <c r="M52" s="3685"/>
      <c r="N52" s="3686"/>
      <c r="O52" s="3687"/>
      <c r="P52" s="3687"/>
      <c r="Q52" s="3687"/>
      <c r="R52" s="3687"/>
      <c r="S52" s="3687"/>
      <c r="T52" s="3688"/>
      <c r="U52" s="3688"/>
      <c r="V52" s="3676" t="s">
        <v>150</v>
      </c>
      <c r="W52" s="3676" t="s">
        <v>150</v>
      </c>
      <c r="X52" s="3676" t="s">
        <v>150</v>
      </c>
      <c r="Y52" s="3689" t="s">
        <v>237</v>
      </c>
      <c r="Z52" s="3676" t="s">
        <v>150</v>
      </c>
      <c r="AA52" s="3676" t="s">
        <v>150</v>
      </c>
      <c r="AB52" s="3676" t="s">
        <v>150</v>
      </c>
      <c r="AC52" s="3676" t="s">
        <v>150</v>
      </c>
      <c r="AD52" s="3676" t="s">
        <v>150</v>
      </c>
      <c r="AE52" s="3676" t="s">
        <v>150</v>
      </c>
      <c r="AF52" s="3689" t="s">
        <v>237</v>
      </c>
      <c r="AG52" s="3676" t="s">
        <v>150</v>
      </c>
      <c r="AH52" s="3676" t="s">
        <v>150</v>
      </c>
      <c r="AI52" s="3676" t="s">
        <v>150</v>
      </c>
      <c r="AJ52" s="3676" t="s">
        <v>150</v>
      </c>
      <c r="AK52" s="3676" t="s">
        <v>150</v>
      </c>
      <c r="AL52" s="3676" t="s">
        <v>150</v>
      </c>
      <c r="AM52" s="3688"/>
      <c r="AN52" s="3676" t="s">
        <v>150</v>
      </c>
      <c r="AO52" s="3676" t="s">
        <v>150</v>
      </c>
      <c r="AP52" s="3676" t="s">
        <v>150</v>
      </c>
      <c r="AQ52" s="3458"/>
      <c r="AR52" s="2750">
        <f t="shared" ref="AR52:AR69" si="16">COUNTIF(M52:AQ52,"X")</f>
        <v>18</v>
      </c>
      <c r="AS52" s="2751">
        <f t="shared" ref="AS52:AS69" si="17">+COUNTIF(M52:AQ52,"CN")</f>
        <v>2</v>
      </c>
      <c r="AT52" s="2760">
        <f t="shared" ref="AT52:AT69" si="18">COUNTIF(M52:AQ52,"X1")</f>
        <v>0</v>
      </c>
      <c r="AU52" s="2751">
        <f t="shared" ref="AU52:AU69" si="19">+COUNTIF(M52:AQ52,"CN1")</f>
        <v>0</v>
      </c>
      <c r="AV52" s="2761">
        <f t="shared" ref="AV52:AV69" si="20">+SUM(AR52:AU52)</f>
        <v>20</v>
      </c>
      <c r="AW52" s="2744"/>
      <c r="AX52" s="2755" t="b">
        <f t="shared" si="15"/>
        <v>0</v>
      </c>
      <c r="AY52" s="2761"/>
    </row>
    <row r="53" spans="1:51" ht="32.25" customHeight="1">
      <c r="A53" s="2742" t="e">
        <f>#REF!*#REF!+#REF!*#REF!</f>
        <v>#REF!</v>
      </c>
      <c r="B53" s="2743" t="e">
        <f>IF(#REF!&gt;15,40,IF(#REF!&gt;12,35,IF(#REF!&gt;9,30,25)))</f>
        <v>#REF!</v>
      </c>
      <c r="C53" s="2744" t="s">
        <v>92</v>
      </c>
      <c r="D53" s="2744">
        <f t="shared" si="7"/>
        <v>50</v>
      </c>
      <c r="E53" s="2745" t="e">
        <f t="shared" si="8"/>
        <v>#REF!</v>
      </c>
      <c r="F53" s="2739" t="e">
        <f t="shared" si="9"/>
        <v>#REF!</v>
      </c>
      <c r="G53" s="2746">
        <f>('[8]LÁT A'!N35+'[8]LÁT D'!N35+'[8]LÁT C'!N35+'[8]LÁT B'!N35)*0.4+'[8]MỦ DÂY'!AH35*0.5</f>
        <v>17.600000000000001</v>
      </c>
      <c r="H53" s="2745" t="e">
        <f>G53*IF(F53="A",#REF!,IF(F53="B",#REF!,IF(F53="C",#REF!,#REF!)))</f>
        <v>#REF!</v>
      </c>
      <c r="I53" s="2747" t="e">
        <f t="shared" si="10"/>
        <v>#REF!</v>
      </c>
      <c r="J53" s="2748">
        <v>40</v>
      </c>
      <c r="K53" s="2748">
        <v>3</v>
      </c>
      <c r="L53" s="2759" t="s">
        <v>266</v>
      </c>
      <c r="M53" s="3685"/>
      <c r="N53" s="3686"/>
      <c r="O53" s="3687"/>
      <c r="P53" s="3687"/>
      <c r="Q53" s="3687"/>
      <c r="R53" s="3687"/>
      <c r="S53" s="3687"/>
      <c r="T53" s="3688"/>
      <c r="U53" s="3688"/>
      <c r="V53" s="3688"/>
      <c r="W53" s="3688"/>
      <c r="X53" s="3688"/>
      <c r="Y53" s="3688"/>
      <c r="Z53" s="3688"/>
      <c r="AA53" s="3676" t="s">
        <v>150</v>
      </c>
      <c r="AB53" s="3676" t="s">
        <v>150</v>
      </c>
      <c r="AC53" s="3676" t="s">
        <v>150</v>
      </c>
      <c r="AD53" s="3676" t="s">
        <v>150</v>
      </c>
      <c r="AE53" s="3676" t="s">
        <v>150</v>
      </c>
      <c r="AF53" s="3689" t="s">
        <v>237</v>
      </c>
      <c r="AG53" s="3676" t="s">
        <v>150</v>
      </c>
      <c r="AH53" s="3676" t="s">
        <v>150</v>
      </c>
      <c r="AI53" s="3676" t="s">
        <v>150</v>
      </c>
      <c r="AJ53" s="3676" t="s">
        <v>150</v>
      </c>
      <c r="AK53" s="3676" t="s">
        <v>150</v>
      </c>
      <c r="AL53" s="3676" t="s">
        <v>150</v>
      </c>
      <c r="AM53" s="3689" t="s">
        <v>237</v>
      </c>
      <c r="AN53" s="3676" t="s">
        <v>150</v>
      </c>
      <c r="AO53" s="3676" t="s">
        <v>150</v>
      </c>
      <c r="AP53" s="3676" t="s">
        <v>150</v>
      </c>
      <c r="AQ53" s="3458"/>
      <c r="AR53" s="2750">
        <f>COUNTIF(M53:AQ53,"X")</f>
        <v>14</v>
      </c>
      <c r="AS53" s="2751">
        <f>+COUNTIF(M53:AQ53,"CN")</f>
        <v>2</v>
      </c>
      <c r="AT53" s="2760">
        <f>COUNTIF(M53:AQ53,"X1")</f>
        <v>0</v>
      </c>
      <c r="AU53" s="2751">
        <f>+COUNTIF(M53:AQ53,"CN1")</f>
        <v>0</v>
      </c>
      <c r="AV53" s="2761">
        <f t="shared" si="20"/>
        <v>16</v>
      </c>
      <c r="AW53" s="2744"/>
      <c r="AX53" s="2755" t="b">
        <f t="shared" si="15"/>
        <v>0</v>
      </c>
      <c r="AY53" s="2761"/>
    </row>
    <row r="54" spans="1:51" ht="32.25" customHeight="1">
      <c r="A54" s="2742" t="e">
        <f>#REF!*#REF!+#REF!*#REF!</f>
        <v>#REF!</v>
      </c>
      <c r="B54" s="2743" t="e">
        <f>IF(#REF!&gt;15,40,IF(#REF!&gt;12,35,IF(#REF!&gt;9,30,25)))</f>
        <v>#REF!</v>
      </c>
      <c r="C54" s="2744" t="s">
        <v>92</v>
      </c>
      <c r="D54" s="2744">
        <f t="shared" si="7"/>
        <v>50</v>
      </c>
      <c r="E54" s="2745" t="e">
        <f t="shared" si="8"/>
        <v>#REF!</v>
      </c>
      <c r="F54" s="2739" t="e">
        <f t="shared" si="9"/>
        <v>#REF!</v>
      </c>
      <c r="G54" s="2746">
        <f>('[8]LÁT A'!N36+'[8]LÁT D'!N36+'[8]LÁT C'!N36+'[8]LÁT B'!N36)*0.4+'[8]MỦ DÂY'!AH36*0.5</f>
        <v>16</v>
      </c>
      <c r="H54" s="2745" t="e">
        <f>G54*IF(F54="A",#REF!,IF(F54="B",#REF!,IF(F54="C",#REF!,#REF!)))</f>
        <v>#REF!</v>
      </c>
      <c r="I54" s="2747" t="e">
        <f t="shared" si="10"/>
        <v>#REF!</v>
      </c>
      <c r="J54" s="2748">
        <v>41</v>
      </c>
      <c r="K54" s="2748">
        <v>4</v>
      </c>
      <c r="L54" s="2759" t="s">
        <v>1782</v>
      </c>
      <c r="M54" s="3685"/>
      <c r="N54" s="3686"/>
      <c r="O54" s="3687"/>
      <c r="P54" s="3687"/>
      <c r="Q54" s="3687"/>
      <c r="R54" s="3687"/>
      <c r="S54" s="3687"/>
      <c r="T54" s="3688"/>
      <c r="U54" s="3688"/>
      <c r="V54" s="3688"/>
      <c r="W54" s="3688"/>
      <c r="X54" s="3688"/>
      <c r="Y54" s="3688"/>
      <c r="Z54" s="3688"/>
      <c r="AA54" s="3676" t="s">
        <v>150</v>
      </c>
      <c r="AB54" s="3676" t="s">
        <v>150</v>
      </c>
      <c r="AC54" s="3676" t="s">
        <v>150</v>
      </c>
      <c r="AD54" s="3676" t="s">
        <v>150</v>
      </c>
      <c r="AE54" s="3676" t="s">
        <v>150</v>
      </c>
      <c r="AF54" s="3689" t="s">
        <v>237</v>
      </c>
      <c r="AG54" s="3676" t="s">
        <v>150</v>
      </c>
      <c r="AH54" s="3676" t="s">
        <v>150</v>
      </c>
      <c r="AI54" s="3676" t="s">
        <v>150</v>
      </c>
      <c r="AJ54" s="3676" t="s">
        <v>150</v>
      </c>
      <c r="AK54" s="3676" t="s">
        <v>150</v>
      </c>
      <c r="AL54" s="3676" t="s">
        <v>150</v>
      </c>
      <c r="AM54" s="3689" t="s">
        <v>237</v>
      </c>
      <c r="AN54" s="3676" t="s">
        <v>150</v>
      </c>
      <c r="AO54" s="3676" t="s">
        <v>150</v>
      </c>
      <c r="AP54" s="3676" t="s">
        <v>150</v>
      </c>
      <c r="AQ54" s="3458"/>
      <c r="AR54" s="2750">
        <f t="shared" si="16"/>
        <v>14</v>
      </c>
      <c r="AS54" s="2751">
        <f t="shared" si="17"/>
        <v>2</v>
      </c>
      <c r="AT54" s="2760">
        <f t="shared" si="18"/>
        <v>0</v>
      </c>
      <c r="AU54" s="2751">
        <f t="shared" si="19"/>
        <v>0</v>
      </c>
      <c r="AV54" s="2761">
        <f t="shared" si="20"/>
        <v>16</v>
      </c>
      <c r="AW54" s="2744"/>
      <c r="AX54" s="2755" t="b">
        <f t="shared" si="15"/>
        <v>0</v>
      </c>
      <c r="AY54" s="2761"/>
    </row>
    <row r="55" spans="1:51" ht="32.25" customHeight="1">
      <c r="A55" s="2742" t="e">
        <f>#REF!*#REF!+#REF!*#REF!</f>
        <v>#REF!</v>
      </c>
      <c r="B55" s="2743" t="e">
        <f>IF(#REF!&gt;15,40,IF(#REF!&gt;12,35,IF(#REF!&gt;9,30,25)))</f>
        <v>#REF!</v>
      </c>
      <c r="C55" s="2744" t="s">
        <v>92</v>
      </c>
      <c r="D55" s="2744">
        <f t="shared" si="7"/>
        <v>50</v>
      </c>
      <c r="E55" s="2745" t="e">
        <f t="shared" si="8"/>
        <v>#REF!</v>
      </c>
      <c r="F55" s="2739" t="e">
        <f t="shared" si="9"/>
        <v>#REF!</v>
      </c>
      <c r="G55" s="2746">
        <f>('[8]LÁT A'!N37+'[8]LÁT D'!N37+'[8]LÁT C'!N37+'[8]LÁT B'!N37)*0.4+'[8]MỦ DÂY'!AH37*0.5</f>
        <v>17.600000000000001</v>
      </c>
      <c r="H55" s="2745" t="e">
        <f>G55*IF(F55="A",#REF!,IF(F55="B",#REF!,IF(F55="C",#REF!,#REF!)))</f>
        <v>#REF!</v>
      </c>
      <c r="I55" s="2747" t="e">
        <f t="shared" si="10"/>
        <v>#REF!</v>
      </c>
      <c r="J55" s="2748">
        <v>42</v>
      </c>
      <c r="K55" s="2748">
        <v>5</v>
      </c>
      <c r="L55" s="2759" t="s">
        <v>1783</v>
      </c>
      <c r="M55" s="3685"/>
      <c r="N55" s="3686"/>
      <c r="O55" s="3687"/>
      <c r="P55" s="3687"/>
      <c r="Q55" s="3687"/>
      <c r="R55" s="3687"/>
      <c r="S55" s="3687"/>
      <c r="T55" s="3688"/>
      <c r="U55" s="3688"/>
      <c r="V55" s="3688"/>
      <c r="W55" s="3688"/>
      <c r="X55" s="3688"/>
      <c r="Y55" s="3688"/>
      <c r="Z55" s="3676" t="s">
        <v>150</v>
      </c>
      <c r="AA55" s="3676" t="s">
        <v>150</v>
      </c>
      <c r="AB55" s="3676" t="s">
        <v>150</v>
      </c>
      <c r="AC55" s="3676" t="s">
        <v>150</v>
      </c>
      <c r="AD55" s="3676" t="s">
        <v>150</v>
      </c>
      <c r="AE55" s="3676" t="s">
        <v>150</v>
      </c>
      <c r="AF55" s="3689" t="s">
        <v>237</v>
      </c>
      <c r="AG55" s="3676" t="s">
        <v>150</v>
      </c>
      <c r="AH55" s="3676" t="s">
        <v>150</v>
      </c>
      <c r="AI55" s="3676" t="s">
        <v>150</v>
      </c>
      <c r="AJ55" s="3676" t="s">
        <v>150</v>
      </c>
      <c r="AK55" s="3676" t="s">
        <v>150</v>
      </c>
      <c r="AL55" s="3676" t="s">
        <v>150</v>
      </c>
      <c r="AM55" s="3689" t="s">
        <v>237</v>
      </c>
      <c r="AN55" s="3676" t="s">
        <v>150</v>
      </c>
      <c r="AO55" s="3676" t="s">
        <v>150</v>
      </c>
      <c r="AP55" s="3676" t="s">
        <v>150</v>
      </c>
      <c r="AQ55" s="3458"/>
      <c r="AR55" s="2750">
        <f t="shared" si="16"/>
        <v>15</v>
      </c>
      <c r="AS55" s="2751">
        <f t="shared" si="17"/>
        <v>2</v>
      </c>
      <c r="AT55" s="2760">
        <f t="shared" si="18"/>
        <v>0</v>
      </c>
      <c r="AU55" s="2751">
        <f t="shared" si="19"/>
        <v>0</v>
      </c>
      <c r="AV55" s="2761">
        <f t="shared" si="20"/>
        <v>17</v>
      </c>
      <c r="AW55" s="2744"/>
      <c r="AX55" s="2755" t="b">
        <f t="shared" si="15"/>
        <v>0</v>
      </c>
      <c r="AY55" s="2761"/>
    </row>
    <row r="56" spans="1:51" ht="32.25" customHeight="1">
      <c r="A56" s="2742" t="e">
        <f>#REF!*#REF!+#REF!*#REF!</f>
        <v>#REF!</v>
      </c>
      <c r="B56" s="2743" t="e">
        <f>IF(#REF!&gt;15,40,IF(#REF!&gt;12,35,IF(#REF!&gt;9,30,25)))</f>
        <v>#REF!</v>
      </c>
      <c r="C56" s="2744" t="s">
        <v>92</v>
      </c>
      <c r="D56" s="2744">
        <f t="shared" si="7"/>
        <v>50</v>
      </c>
      <c r="E56" s="2745" t="e">
        <f t="shared" si="8"/>
        <v>#REF!</v>
      </c>
      <c r="F56" s="2739" t="e">
        <f t="shared" si="9"/>
        <v>#REF!</v>
      </c>
      <c r="G56" s="2746">
        <f>('[8]LÁT A'!N38+'[8]LÁT D'!N38+'[8]LÁT C'!N38+'[8]LÁT B'!N38)*0.4+'[8]MỦ DÂY'!AH38*0.5</f>
        <v>0</v>
      </c>
      <c r="H56" s="2745" t="e">
        <f>G56*IF(F56="A",#REF!,IF(F56="B",#REF!,IF(F56="C",#REF!,#REF!)))</f>
        <v>#REF!</v>
      </c>
      <c r="I56" s="2747" t="e">
        <f t="shared" si="10"/>
        <v>#REF!</v>
      </c>
      <c r="J56" s="2748">
        <v>43</v>
      </c>
      <c r="K56" s="2748">
        <v>6</v>
      </c>
      <c r="L56" s="2759" t="s">
        <v>1784</v>
      </c>
      <c r="M56" s="3685"/>
      <c r="N56" s="3686"/>
      <c r="O56" s="3687"/>
      <c r="P56" s="3687"/>
      <c r="Q56" s="3687"/>
      <c r="R56" s="3687"/>
      <c r="S56" s="3687"/>
      <c r="T56" s="3688"/>
      <c r="U56" s="3688"/>
      <c r="V56" s="3688"/>
      <c r="W56" s="3688"/>
      <c r="X56" s="3688"/>
      <c r="Y56" s="3688"/>
      <c r="Z56" s="3676" t="s">
        <v>150</v>
      </c>
      <c r="AA56" s="3676" t="s">
        <v>150</v>
      </c>
      <c r="AB56" s="3676" t="s">
        <v>150</v>
      </c>
      <c r="AC56" s="3676" t="s">
        <v>150</v>
      </c>
      <c r="AD56" s="3676" t="s">
        <v>150</v>
      </c>
      <c r="AE56" s="3676" t="s">
        <v>150</v>
      </c>
      <c r="AF56" s="3689" t="s">
        <v>237</v>
      </c>
      <c r="AG56" s="3676" t="s">
        <v>150</v>
      </c>
      <c r="AH56" s="3676" t="s">
        <v>150</v>
      </c>
      <c r="AI56" s="3676" t="s">
        <v>150</v>
      </c>
      <c r="AJ56" s="3676" t="s">
        <v>150</v>
      </c>
      <c r="AK56" s="3676" t="s">
        <v>150</v>
      </c>
      <c r="AL56" s="3676" t="s">
        <v>150</v>
      </c>
      <c r="AM56" s="3689" t="s">
        <v>237</v>
      </c>
      <c r="AN56" s="3676" t="s">
        <v>150</v>
      </c>
      <c r="AO56" s="3676" t="s">
        <v>150</v>
      </c>
      <c r="AP56" s="3676" t="s">
        <v>150</v>
      </c>
      <c r="AQ56" s="3458"/>
      <c r="AR56" s="2750">
        <f>COUNTIF(M56:AQ56,"X")</f>
        <v>15</v>
      </c>
      <c r="AS56" s="2751">
        <f>+COUNTIF(M56:AQ56,"CN")</f>
        <v>2</v>
      </c>
      <c r="AT56" s="2760">
        <f>COUNTIF(M56:AQ56,"X1")</f>
        <v>0</v>
      </c>
      <c r="AU56" s="2751">
        <f>+COUNTIF(M56:AQ56,"CN1")</f>
        <v>0</v>
      </c>
      <c r="AV56" s="2761">
        <f t="shared" si="20"/>
        <v>17</v>
      </c>
      <c r="AW56" s="2744"/>
      <c r="AX56" s="2755" t="b">
        <f t="shared" si="15"/>
        <v>0</v>
      </c>
      <c r="AY56" s="2761"/>
    </row>
    <row r="57" spans="1:51" ht="32.25" customHeight="1">
      <c r="A57" s="2742"/>
      <c r="B57" s="2743"/>
      <c r="C57" s="2744"/>
      <c r="D57" s="2744"/>
      <c r="E57" s="2745"/>
      <c r="F57" s="2739"/>
      <c r="G57" s="2746"/>
      <c r="H57" s="2745"/>
      <c r="I57" s="2747"/>
      <c r="J57" s="2748">
        <v>44</v>
      </c>
      <c r="K57" s="2748">
        <v>7</v>
      </c>
      <c r="L57" s="2759" t="s">
        <v>526</v>
      </c>
      <c r="M57" s="3685"/>
      <c r="N57" s="3686"/>
      <c r="O57" s="3687"/>
      <c r="P57" s="3687"/>
      <c r="Q57" s="3676" t="s">
        <v>150</v>
      </c>
      <c r="R57" s="3689" t="s">
        <v>237</v>
      </c>
      <c r="S57" s="3687"/>
      <c r="T57" s="3676" t="s">
        <v>150</v>
      </c>
      <c r="U57" s="3676" t="s">
        <v>150</v>
      </c>
      <c r="V57" s="3676" t="s">
        <v>150</v>
      </c>
      <c r="W57" s="3676" t="s">
        <v>150</v>
      </c>
      <c r="X57" s="3676" t="s">
        <v>150</v>
      </c>
      <c r="Y57" s="3689" t="s">
        <v>237</v>
      </c>
      <c r="Z57" s="3688"/>
      <c r="AA57" s="3676" t="s">
        <v>150</v>
      </c>
      <c r="AB57" s="3676" t="s">
        <v>150</v>
      </c>
      <c r="AC57" s="3676" t="s">
        <v>150</v>
      </c>
      <c r="AD57" s="3676" t="s">
        <v>150</v>
      </c>
      <c r="AE57" s="3676" t="s">
        <v>150</v>
      </c>
      <c r="AF57" s="3689" t="s">
        <v>237</v>
      </c>
      <c r="AG57" s="3676" t="s">
        <v>150</v>
      </c>
      <c r="AH57" s="3676" t="s">
        <v>150</v>
      </c>
      <c r="AI57" s="3676" t="s">
        <v>150</v>
      </c>
      <c r="AJ57" s="3676" t="s">
        <v>150</v>
      </c>
      <c r="AK57" s="3676" t="s">
        <v>150</v>
      </c>
      <c r="AL57" s="3676" t="s">
        <v>150</v>
      </c>
      <c r="AM57" s="3689" t="s">
        <v>237</v>
      </c>
      <c r="AN57" s="3676" t="s">
        <v>150</v>
      </c>
      <c r="AO57" s="3676" t="s">
        <v>150</v>
      </c>
      <c r="AP57" s="3676" t="s">
        <v>150</v>
      </c>
      <c r="AQ57" s="3458"/>
      <c r="AR57" s="2750">
        <f t="shared" si="16"/>
        <v>20</v>
      </c>
      <c r="AS57" s="2751">
        <f t="shared" si="17"/>
        <v>4</v>
      </c>
      <c r="AT57" s="2760">
        <f t="shared" si="18"/>
        <v>0</v>
      </c>
      <c r="AU57" s="2751">
        <f t="shared" si="19"/>
        <v>0</v>
      </c>
      <c r="AV57" s="2761">
        <f t="shared" si="20"/>
        <v>24</v>
      </c>
      <c r="AW57" s="2744"/>
      <c r="AX57" s="2755"/>
      <c r="AY57" s="2761"/>
    </row>
    <row r="58" spans="1:51" ht="32.25" customHeight="1">
      <c r="A58" s="2742"/>
      <c r="B58" s="2743"/>
      <c r="C58" s="2744"/>
      <c r="D58" s="2744"/>
      <c r="E58" s="2745"/>
      <c r="F58" s="2739"/>
      <c r="G58" s="2746"/>
      <c r="H58" s="2745"/>
      <c r="I58" s="2747"/>
      <c r="J58" s="2748">
        <v>45</v>
      </c>
      <c r="K58" s="2748">
        <v>8</v>
      </c>
      <c r="L58" s="2759" t="s">
        <v>380</v>
      </c>
      <c r="M58" s="3685"/>
      <c r="N58" s="3686"/>
      <c r="O58" s="3687"/>
      <c r="P58" s="3687"/>
      <c r="Q58" s="3687"/>
      <c r="R58" s="3687"/>
      <c r="S58" s="3676" t="s">
        <v>150</v>
      </c>
      <c r="T58" s="3676" t="s">
        <v>150</v>
      </c>
      <c r="U58" s="3688"/>
      <c r="V58" s="3688"/>
      <c r="W58" s="3688"/>
      <c r="X58" s="3688"/>
      <c r="Y58" s="3688"/>
      <c r="Z58" s="3688"/>
      <c r="AA58" s="3688"/>
      <c r="AB58" s="3676" t="s">
        <v>150</v>
      </c>
      <c r="AC58" s="3676" t="s">
        <v>150</v>
      </c>
      <c r="AD58" s="3676" t="s">
        <v>150</v>
      </c>
      <c r="AE58" s="3676" t="s">
        <v>150</v>
      </c>
      <c r="AF58" s="3689" t="s">
        <v>237</v>
      </c>
      <c r="AG58" s="3676" t="s">
        <v>150</v>
      </c>
      <c r="AH58" s="3676" t="s">
        <v>150</v>
      </c>
      <c r="AI58" s="3676" t="s">
        <v>150</v>
      </c>
      <c r="AJ58" s="3676" t="s">
        <v>150</v>
      </c>
      <c r="AK58" s="3676" t="s">
        <v>150</v>
      </c>
      <c r="AL58" s="3676" t="s">
        <v>150</v>
      </c>
      <c r="AM58" s="3688"/>
      <c r="AN58" s="3676" t="s">
        <v>150</v>
      </c>
      <c r="AO58" s="3676" t="s">
        <v>150</v>
      </c>
      <c r="AP58" s="3676" t="s">
        <v>150</v>
      </c>
      <c r="AQ58" s="3458"/>
      <c r="AR58" s="2750">
        <f t="shared" si="16"/>
        <v>15</v>
      </c>
      <c r="AS58" s="2751">
        <f t="shared" si="17"/>
        <v>1</v>
      </c>
      <c r="AT58" s="2760">
        <f t="shared" si="18"/>
        <v>0</v>
      </c>
      <c r="AU58" s="2751">
        <f t="shared" si="19"/>
        <v>0</v>
      </c>
      <c r="AV58" s="2761">
        <f t="shared" si="20"/>
        <v>16</v>
      </c>
      <c r="AW58" s="2744"/>
      <c r="AX58" s="2755"/>
      <c r="AY58" s="2761"/>
    </row>
    <row r="59" spans="1:51" ht="32.25" customHeight="1">
      <c r="A59" s="2742" t="e">
        <f>#REF!*#REF!+#REF!*#REF!</f>
        <v>#REF!</v>
      </c>
      <c r="B59" s="2743" t="e">
        <f>IF(#REF!&gt;15,40,IF(#REF!&gt;12,35,IF(#REF!&gt;9,30,25)))</f>
        <v>#REF!</v>
      </c>
      <c r="C59" s="2744" t="s">
        <v>92</v>
      </c>
      <c r="D59" s="2744">
        <f t="shared" si="7"/>
        <v>50</v>
      </c>
      <c r="E59" s="2745" t="e">
        <f t="shared" si="8"/>
        <v>#REF!</v>
      </c>
      <c r="F59" s="2739" t="e">
        <f t="shared" si="9"/>
        <v>#REF!</v>
      </c>
      <c r="G59" s="2746">
        <f>('[8]LÁT A'!N39+'[8]LÁT D'!N39+'[8]LÁT C'!N39+'[8]LÁT B'!N39)*0.4+'[8]MỦ DÂY'!AH39*0.5</f>
        <v>16</v>
      </c>
      <c r="H59" s="2745" t="e">
        <f>G59*IF(F59="A",#REF!,IF(F59="B",#REF!,IF(F59="C",#REF!,#REF!)))</f>
        <v>#REF!</v>
      </c>
      <c r="I59" s="2747" t="e">
        <f t="shared" si="10"/>
        <v>#REF!</v>
      </c>
      <c r="J59" s="2748">
        <v>46</v>
      </c>
      <c r="K59" s="2748">
        <v>9</v>
      </c>
      <c r="L59" s="2759" t="s">
        <v>529</v>
      </c>
      <c r="M59" s="3685"/>
      <c r="N59" s="3686"/>
      <c r="O59" s="3687"/>
      <c r="P59" s="3687"/>
      <c r="Q59" s="3687"/>
      <c r="R59" s="3687"/>
      <c r="S59" s="3687"/>
      <c r="T59" s="3676" t="s">
        <v>150</v>
      </c>
      <c r="U59" s="3676" t="s">
        <v>150</v>
      </c>
      <c r="V59" s="3676" t="s">
        <v>150</v>
      </c>
      <c r="W59" s="3676" t="s">
        <v>150</v>
      </c>
      <c r="X59" s="3676" t="s">
        <v>150</v>
      </c>
      <c r="Y59" s="3689" t="s">
        <v>237</v>
      </c>
      <c r="Z59" s="3676" t="s">
        <v>150</v>
      </c>
      <c r="AA59" s="3676" t="s">
        <v>150</v>
      </c>
      <c r="AB59" s="3676" t="s">
        <v>150</v>
      </c>
      <c r="AC59" s="3676" t="s">
        <v>150</v>
      </c>
      <c r="AD59" s="3676" t="s">
        <v>150</v>
      </c>
      <c r="AE59" s="3676" t="s">
        <v>150</v>
      </c>
      <c r="AF59" s="3689" t="s">
        <v>237</v>
      </c>
      <c r="AG59" s="3676" t="s">
        <v>150</v>
      </c>
      <c r="AH59" s="3676" t="s">
        <v>150</v>
      </c>
      <c r="AI59" s="3676" t="s">
        <v>150</v>
      </c>
      <c r="AJ59" s="3676" t="s">
        <v>150</v>
      </c>
      <c r="AK59" s="3676" t="s">
        <v>150</v>
      </c>
      <c r="AL59" s="3676" t="s">
        <v>150</v>
      </c>
      <c r="AM59" s="3688"/>
      <c r="AN59" s="3676" t="s">
        <v>150</v>
      </c>
      <c r="AO59" s="3676" t="s">
        <v>150</v>
      </c>
      <c r="AP59" s="3676" t="s">
        <v>150</v>
      </c>
      <c r="AQ59" s="3458"/>
      <c r="AR59" s="2750">
        <f t="shared" si="16"/>
        <v>20</v>
      </c>
      <c r="AS59" s="2751">
        <f t="shared" si="17"/>
        <v>2</v>
      </c>
      <c r="AT59" s="2760">
        <f t="shared" si="18"/>
        <v>0</v>
      </c>
      <c r="AU59" s="2751">
        <f t="shared" si="19"/>
        <v>0</v>
      </c>
      <c r="AV59" s="2761">
        <f t="shared" si="20"/>
        <v>22</v>
      </c>
      <c r="AW59" s="2744"/>
      <c r="AX59" s="2755" t="b">
        <f t="shared" si="15"/>
        <v>0</v>
      </c>
      <c r="AY59" s="2761"/>
    </row>
    <row r="60" spans="1:51" ht="32.25" customHeight="1">
      <c r="A60" s="2742" t="e">
        <f>#REF!*#REF!+#REF!*#REF!</f>
        <v>#REF!</v>
      </c>
      <c r="B60" s="2743" t="e">
        <f>IF(#REF!&gt;15,40,IF(#REF!&gt;12,35,IF(#REF!&gt;9,30,25)))</f>
        <v>#REF!</v>
      </c>
      <c r="C60" s="2744" t="s">
        <v>92</v>
      </c>
      <c r="D60" s="2744">
        <f t="shared" si="7"/>
        <v>50</v>
      </c>
      <c r="E60" s="2745" t="e">
        <f t="shared" si="8"/>
        <v>#REF!</v>
      </c>
      <c r="F60" s="2739" t="e">
        <f t="shared" si="9"/>
        <v>#REF!</v>
      </c>
      <c r="G60" s="2746">
        <f>('[8]LÁT A'!N40+'[8]LÁT D'!N40+'[8]LÁT C'!N40+'[8]LÁT B'!N40)*0.4+'[8]MỦ DÂY'!AH40*0.5</f>
        <v>0</v>
      </c>
      <c r="H60" s="2745" t="e">
        <f>G60*IF(F60="A",#REF!,IF(F60="B",#REF!,IF(F60="C",#REF!,#REF!)))</f>
        <v>#REF!</v>
      </c>
      <c r="I60" s="2747" t="e">
        <f t="shared" si="10"/>
        <v>#REF!</v>
      </c>
      <c r="J60" s="2748">
        <v>47</v>
      </c>
      <c r="K60" s="2748">
        <v>10</v>
      </c>
      <c r="L60" s="2759" t="s">
        <v>600</v>
      </c>
      <c r="M60" s="3685"/>
      <c r="N60" s="3686"/>
      <c r="O60" s="3687"/>
      <c r="P60" s="3687"/>
      <c r="Q60" s="3687"/>
      <c r="R60" s="3687"/>
      <c r="S60" s="3687"/>
      <c r="T60" s="3688"/>
      <c r="U60" s="3688"/>
      <c r="V60" s="3676" t="s">
        <v>150</v>
      </c>
      <c r="W60" s="3676" t="s">
        <v>150</v>
      </c>
      <c r="X60" s="3676" t="s">
        <v>150</v>
      </c>
      <c r="Y60" s="3689" t="s">
        <v>237</v>
      </c>
      <c r="Z60" s="3688"/>
      <c r="AA60" s="3676" t="s">
        <v>150</v>
      </c>
      <c r="AB60" s="3676" t="s">
        <v>150</v>
      </c>
      <c r="AC60" s="3676" t="s">
        <v>150</v>
      </c>
      <c r="AD60" s="3676" t="s">
        <v>150</v>
      </c>
      <c r="AE60" s="3676" t="s">
        <v>150</v>
      </c>
      <c r="AF60" s="3689" t="s">
        <v>237</v>
      </c>
      <c r="AG60" s="3676" t="s">
        <v>150</v>
      </c>
      <c r="AH60" s="3676" t="s">
        <v>150</v>
      </c>
      <c r="AI60" s="3676" t="s">
        <v>150</v>
      </c>
      <c r="AJ60" s="3676" t="s">
        <v>150</v>
      </c>
      <c r="AK60" s="3676" t="s">
        <v>150</v>
      </c>
      <c r="AL60" s="3676" t="s">
        <v>150</v>
      </c>
      <c r="AM60" s="3688"/>
      <c r="AN60" s="3676" t="s">
        <v>150</v>
      </c>
      <c r="AO60" s="3676" t="s">
        <v>150</v>
      </c>
      <c r="AP60" s="3676" t="s">
        <v>150</v>
      </c>
      <c r="AQ60" s="3458"/>
      <c r="AR60" s="2750">
        <f t="shared" si="16"/>
        <v>17</v>
      </c>
      <c r="AS60" s="2751">
        <f t="shared" si="17"/>
        <v>2</v>
      </c>
      <c r="AT60" s="2760">
        <f t="shared" si="18"/>
        <v>0</v>
      </c>
      <c r="AU60" s="2751">
        <f t="shared" si="19"/>
        <v>0</v>
      </c>
      <c r="AV60" s="2761">
        <f t="shared" si="20"/>
        <v>19</v>
      </c>
      <c r="AW60" s="2744"/>
      <c r="AX60" s="2755" t="b">
        <f t="shared" si="15"/>
        <v>0</v>
      </c>
      <c r="AY60" s="2761"/>
    </row>
    <row r="61" spans="1:51" ht="32.25" customHeight="1">
      <c r="A61" s="2742" t="e">
        <f>#REF!*#REF!+#REF!*#REF!</f>
        <v>#REF!</v>
      </c>
      <c r="B61" s="2743" t="e">
        <f>IF(#REF!&gt;15,40,IF(#REF!&gt;12,35,IF(#REF!&gt;9,30,25)))</f>
        <v>#REF!</v>
      </c>
      <c r="C61" s="2744" t="s">
        <v>92</v>
      </c>
      <c r="D61" s="2744">
        <f t="shared" si="7"/>
        <v>50</v>
      </c>
      <c r="E61" s="2745" t="e">
        <f t="shared" si="8"/>
        <v>#REF!</v>
      </c>
      <c r="F61" s="2739" t="e">
        <f t="shared" si="9"/>
        <v>#REF!</v>
      </c>
      <c r="G61" s="2746">
        <f>('[8]LÁT A'!N41+'[8]LÁT D'!N41+'[8]LÁT C'!N41+'[8]LÁT B'!N41)*0.4+'[8]MỦ DÂY'!AH41*0.5</f>
        <v>0</v>
      </c>
      <c r="H61" s="2745" t="e">
        <f>G61*IF(F61="A",#REF!,IF(F61="B",#REF!,IF(F61="C",#REF!,#REF!)))</f>
        <v>#REF!</v>
      </c>
      <c r="I61" s="2747" t="e">
        <f t="shared" si="10"/>
        <v>#REF!</v>
      </c>
      <c r="J61" s="2748">
        <v>48</v>
      </c>
      <c r="K61" s="2748">
        <v>11</v>
      </c>
      <c r="L61" s="2759" t="s">
        <v>1785</v>
      </c>
      <c r="M61" s="3685"/>
      <c r="N61" s="3686"/>
      <c r="O61" s="3687"/>
      <c r="P61" s="3687"/>
      <c r="Q61" s="3687"/>
      <c r="R61" s="3687"/>
      <c r="S61" s="3687"/>
      <c r="T61" s="3688"/>
      <c r="U61" s="3688"/>
      <c r="V61" s="3676" t="s">
        <v>150</v>
      </c>
      <c r="W61" s="3676" t="s">
        <v>150</v>
      </c>
      <c r="X61" s="3676" t="s">
        <v>150</v>
      </c>
      <c r="Y61" s="3689" t="s">
        <v>237</v>
      </c>
      <c r="Z61" s="3688"/>
      <c r="AA61" s="3676" t="s">
        <v>150</v>
      </c>
      <c r="AB61" s="3676" t="s">
        <v>150</v>
      </c>
      <c r="AC61" s="3676" t="s">
        <v>150</v>
      </c>
      <c r="AD61" s="3676" t="s">
        <v>150</v>
      </c>
      <c r="AE61" s="3676" t="s">
        <v>150</v>
      </c>
      <c r="AF61" s="3689" t="s">
        <v>237</v>
      </c>
      <c r="AG61" s="3676" t="s">
        <v>150</v>
      </c>
      <c r="AH61" s="3676" t="s">
        <v>150</v>
      </c>
      <c r="AI61" s="3676" t="s">
        <v>150</v>
      </c>
      <c r="AJ61" s="3676" t="s">
        <v>150</v>
      </c>
      <c r="AK61" s="3676" t="s">
        <v>150</v>
      </c>
      <c r="AL61" s="3676" t="s">
        <v>150</v>
      </c>
      <c r="AM61" s="3688"/>
      <c r="AN61" s="3676" t="s">
        <v>150</v>
      </c>
      <c r="AO61" s="3676" t="s">
        <v>150</v>
      </c>
      <c r="AP61" s="3676" t="s">
        <v>150</v>
      </c>
      <c r="AQ61" s="3458"/>
      <c r="AR61" s="2750">
        <f t="shared" si="16"/>
        <v>17</v>
      </c>
      <c r="AS61" s="2751">
        <f t="shared" si="17"/>
        <v>2</v>
      </c>
      <c r="AT61" s="2760">
        <f t="shared" si="18"/>
        <v>0</v>
      </c>
      <c r="AU61" s="2751">
        <f t="shared" si="19"/>
        <v>0</v>
      </c>
      <c r="AV61" s="2761">
        <f t="shared" si="20"/>
        <v>19</v>
      </c>
      <c r="AW61" s="2744"/>
      <c r="AX61" s="2755" t="b">
        <f t="shared" si="15"/>
        <v>0</v>
      </c>
      <c r="AY61" s="2761"/>
    </row>
    <row r="62" spans="1:51" ht="32.25" customHeight="1">
      <c r="A62" s="2742" t="e">
        <f>#REF!*#REF!+#REF!*#REF!</f>
        <v>#REF!</v>
      </c>
      <c r="B62" s="2743" t="e">
        <f>IF(#REF!&gt;15,40,IF(#REF!&gt;12,35,IF(#REF!&gt;9,30,25)))</f>
        <v>#REF!</v>
      </c>
      <c r="C62" s="2744" t="s">
        <v>92</v>
      </c>
      <c r="D62" s="2744">
        <f t="shared" si="7"/>
        <v>50</v>
      </c>
      <c r="E62" s="2745" t="e">
        <f t="shared" si="8"/>
        <v>#REF!</v>
      </c>
      <c r="F62" s="2739" t="e">
        <f t="shared" si="9"/>
        <v>#REF!</v>
      </c>
      <c r="G62" s="2746">
        <f>('[8]LÁT A'!N42+'[8]LÁT D'!N42+'[8]LÁT C'!N42+'[8]LÁT B'!N42)*0.4+'[8]MỦ DÂY'!AH42*0.5</f>
        <v>0</v>
      </c>
      <c r="H62" s="2745" t="e">
        <f>G62*IF(F62="A",#REF!,IF(F62="B",#REF!,IF(F62="C",#REF!,#REF!)))</f>
        <v>#REF!</v>
      </c>
      <c r="I62" s="2747" t="e">
        <f t="shared" si="10"/>
        <v>#REF!</v>
      </c>
      <c r="J62" s="2748">
        <v>49</v>
      </c>
      <c r="K62" s="2748">
        <v>12</v>
      </c>
      <c r="L62" s="2759" t="s">
        <v>1786</v>
      </c>
      <c r="M62" s="3685"/>
      <c r="N62" s="3686"/>
      <c r="O62" s="3687"/>
      <c r="P62" s="3687"/>
      <c r="Q62" s="3687"/>
      <c r="R62" s="3687"/>
      <c r="S62" s="3676" t="s">
        <v>150</v>
      </c>
      <c r="T62" s="3676" t="s">
        <v>150</v>
      </c>
      <c r="U62" s="3688"/>
      <c r="V62" s="3688"/>
      <c r="W62" s="3688"/>
      <c r="X62" s="3688"/>
      <c r="Y62" s="3688"/>
      <c r="Z62" s="3688"/>
      <c r="AA62" s="3688"/>
      <c r="AB62" s="3676" t="s">
        <v>150</v>
      </c>
      <c r="AC62" s="3676" t="s">
        <v>150</v>
      </c>
      <c r="AD62" s="3676" t="s">
        <v>150</v>
      </c>
      <c r="AE62" s="3676" t="s">
        <v>150</v>
      </c>
      <c r="AF62" s="3689" t="s">
        <v>237</v>
      </c>
      <c r="AG62" s="3676" t="s">
        <v>150</v>
      </c>
      <c r="AH62" s="3676" t="s">
        <v>150</v>
      </c>
      <c r="AI62" s="3676" t="s">
        <v>150</v>
      </c>
      <c r="AJ62" s="3676" t="s">
        <v>150</v>
      </c>
      <c r="AK62" s="3676" t="s">
        <v>150</v>
      </c>
      <c r="AL62" s="3676" t="s">
        <v>150</v>
      </c>
      <c r="AM62" s="3688"/>
      <c r="AN62" s="3676" t="s">
        <v>150</v>
      </c>
      <c r="AO62" s="3676" t="s">
        <v>150</v>
      </c>
      <c r="AP62" s="3676" t="s">
        <v>150</v>
      </c>
      <c r="AQ62" s="3458"/>
      <c r="AR62" s="2750">
        <f t="shared" si="16"/>
        <v>15</v>
      </c>
      <c r="AS62" s="2751">
        <f t="shared" si="17"/>
        <v>1</v>
      </c>
      <c r="AT62" s="2760">
        <f t="shared" si="18"/>
        <v>0</v>
      </c>
      <c r="AU62" s="2751">
        <f t="shared" si="19"/>
        <v>0</v>
      </c>
      <c r="AV62" s="2761">
        <f t="shared" si="20"/>
        <v>16</v>
      </c>
      <c r="AW62" s="2744"/>
      <c r="AX62" s="2755" t="b">
        <f t="shared" si="15"/>
        <v>0</v>
      </c>
      <c r="AY62" s="2761"/>
    </row>
    <row r="63" spans="1:51" ht="32.25" customHeight="1">
      <c r="A63" s="2742" t="e">
        <f>#REF!*#REF!+#REF!*#REF!</f>
        <v>#REF!</v>
      </c>
      <c r="B63" s="2743" t="e">
        <f>IF(#REF!&gt;15,40,IF(#REF!&gt;12,35,IF(#REF!&gt;9,30,25)))</f>
        <v>#REF!</v>
      </c>
      <c r="C63" s="2744" t="s">
        <v>92</v>
      </c>
      <c r="D63" s="2744">
        <f t="shared" si="7"/>
        <v>50</v>
      </c>
      <c r="E63" s="2745" t="e">
        <f t="shared" si="8"/>
        <v>#REF!</v>
      </c>
      <c r="F63" s="2739" t="e">
        <f t="shared" si="9"/>
        <v>#REF!</v>
      </c>
      <c r="G63" s="2746">
        <f>('[8]LÁT A'!N43+'[8]LÁT D'!N43+'[8]LÁT C'!N43+'[8]LÁT B'!N43)*0.4+'[8]MỦ DÂY'!AH43*0.5</f>
        <v>22.400000000000002</v>
      </c>
      <c r="H63" s="2745" t="e">
        <f>G63*IF(F63="A",#REF!,IF(F63="B",#REF!,IF(F63="C",#REF!,#REF!)))</f>
        <v>#REF!</v>
      </c>
      <c r="I63" s="2747" t="e">
        <f t="shared" si="10"/>
        <v>#REF!</v>
      </c>
      <c r="J63" s="2748">
        <v>50</v>
      </c>
      <c r="K63" s="2748">
        <v>13</v>
      </c>
      <c r="L63" s="2759" t="s">
        <v>1787</v>
      </c>
      <c r="M63" s="3685"/>
      <c r="N63" s="3686"/>
      <c r="O63" s="3687"/>
      <c r="P63" s="3687"/>
      <c r="Q63" s="3687"/>
      <c r="R63" s="3687"/>
      <c r="S63" s="3687"/>
      <c r="T63" s="3688"/>
      <c r="U63" s="3688"/>
      <c r="V63" s="3688"/>
      <c r="W63" s="3688"/>
      <c r="X63" s="3688"/>
      <c r="Y63" s="3688"/>
      <c r="Z63" s="3688"/>
      <c r="AA63" s="3688"/>
      <c r="AB63" s="3676" t="s">
        <v>150</v>
      </c>
      <c r="AC63" s="3676" t="s">
        <v>150</v>
      </c>
      <c r="AD63" s="3676" t="s">
        <v>150</v>
      </c>
      <c r="AE63" s="3676" t="s">
        <v>150</v>
      </c>
      <c r="AF63" s="3689" t="s">
        <v>237</v>
      </c>
      <c r="AG63" s="3676" t="s">
        <v>150</v>
      </c>
      <c r="AH63" s="3676" t="s">
        <v>150</v>
      </c>
      <c r="AI63" s="3676" t="s">
        <v>150</v>
      </c>
      <c r="AJ63" s="3676" t="s">
        <v>150</v>
      </c>
      <c r="AK63" s="3676" t="s">
        <v>150</v>
      </c>
      <c r="AL63" s="3676" t="s">
        <v>150</v>
      </c>
      <c r="AM63" s="3688"/>
      <c r="AN63" s="3688"/>
      <c r="AO63" s="3676" t="s">
        <v>150</v>
      </c>
      <c r="AP63" s="3676" t="s">
        <v>150</v>
      </c>
      <c r="AQ63" s="3458"/>
      <c r="AR63" s="2750">
        <f t="shared" si="16"/>
        <v>12</v>
      </c>
      <c r="AS63" s="2751">
        <f t="shared" si="17"/>
        <v>1</v>
      </c>
      <c r="AT63" s="2760">
        <f t="shared" si="18"/>
        <v>0</v>
      </c>
      <c r="AU63" s="2751">
        <f t="shared" si="19"/>
        <v>0</v>
      </c>
      <c r="AV63" s="2761">
        <f t="shared" si="20"/>
        <v>13</v>
      </c>
      <c r="AW63" s="2744"/>
      <c r="AX63" s="2755" t="b">
        <f t="shared" si="15"/>
        <v>0</v>
      </c>
      <c r="AY63" s="2761"/>
    </row>
    <row r="64" spans="1:51" ht="32.25" customHeight="1">
      <c r="A64" s="2742" t="e">
        <f>#REF!*#REF!+#REF!*#REF!</f>
        <v>#REF!</v>
      </c>
      <c r="B64" s="2743"/>
      <c r="C64" s="2744"/>
      <c r="D64" s="2744"/>
      <c r="E64" s="2745"/>
      <c r="F64" s="2739"/>
      <c r="G64" s="2746"/>
      <c r="H64" s="2745"/>
      <c r="I64" s="2747"/>
      <c r="J64" s="2748">
        <v>51</v>
      </c>
      <c r="K64" s="2748">
        <v>14</v>
      </c>
      <c r="L64" s="2759" t="s">
        <v>1788</v>
      </c>
      <c r="M64" s="3685"/>
      <c r="N64" s="3686"/>
      <c r="O64" s="3687"/>
      <c r="P64" s="3687"/>
      <c r="Q64" s="3687"/>
      <c r="R64" s="3687"/>
      <c r="S64" s="3687"/>
      <c r="T64" s="3688"/>
      <c r="U64" s="3688"/>
      <c r="V64" s="3688"/>
      <c r="W64" s="3676" t="s">
        <v>150</v>
      </c>
      <c r="X64" s="3676" t="s">
        <v>150</v>
      </c>
      <c r="Y64" s="3689" t="s">
        <v>237</v>
      </c>
      <c r="Z64" s="3688"/>
      <c r="AA64" s="3676" t="s">
        <v>150</v>
      </c>
      <c r="AB64" s="3676" t="s">
        <v>150</v>
      </c>
      <c r="AC64" s="3676" t="s">
        <v>150</v>
      </c>
      <c r="AD64" s="3676" t="s">
        <v>150</v>
      </c>
      <c r="AE64" s="3676" t="s">
        <v>150</v>
      </c>
      <c r="AF64" s="3689" t="s">
        <v>237</v>
      </c>
      <c r="AG64" s="3676" t="s">
        <v>150</v>
      </c>
      <c r="AH64" s="3676" t="s">
        <v>150</v>
      </c>
      <c r="AI64" s="3676" t="s">
        <v>150</v>
      </c>
      <c r="AJ64" s="3676" t="s">
        <v>150</v>
      </c>
      <c r="AK64" s="3676" t="s">
        <v>150</v>
      </c>
      <c r="AL64" s="3676" t="s">
        <v>150</v>
      </c>
      <c r="AM64" s="3688"/>
      <c r="AN64" s="3676" t="s">
        <v>150</v>
      </c>
      <c r="AO64" s="3676" t="s">
        <v>150</v>
      </c>
      <c r="AP64" s="3676" t="s">
        <v>150</v>
      </c>
      <c r="AQ64" s="3458"/>
      <c r="AR64" s="2750">
        <f t="shared" si="16"/>
        <v>16</v>
      </c>
      <c r="AS64" s="2751">
        <f t="shared" si="17"/>
        <v>2</v>
      </c>
      <c r="AT64" s="2760">
        <f t="shared" si="18"/>
        <v>0</v>
      </c>
      <c r="AU64" s="2751">
        <f t="shared" si="19"/>
        <v>0</v>
      </c>
      <c r="AV64" s="2761">
        <f t="shared" si="20"/>
        <v>18</v>
      </c>
      <c r="AW64" s="2744"/>
      <c r="AX64" s="2755" t="b">
        <f t="shared" si="15"/>
        <v>0</v>
      </c>
      <c r="AY64" s="2761"/>
    </row>
    <row r="65" spans="1:60" ht="32.25" customHeight="1">
      <c r="A65" s="2742"/>
      <c r="B65" s="2743"/>
      <c r="C65" s="2744"/>
      <c r="D65" s="2744"/>
      <c r="E65" s="2745"/>
      <c r="F65" s="2739"/>
      <c r="G65" s="2746"/>
      <c r="H65" s="2745"/>
      <c r="I65" s="2747"/>
      <c r="J65" s="2748">
        <v>52</v>
      </c>
      <c r="K65" s="2748">
        <v>15</v>
      </c>
      <c r="L65" s="2759" t="s">
        <v>1789</v>
      </c>
      <c r="M65" s="3685"/>
      <c r="N65" s="3686"/>
      <c r="O65" s="3687"/>
      <c r="P65" s="3687"/>
      <c r="Q65" s="3687"/>
      <c r="R65" s="3687"/>
      <c r="S65" s="3687"/>
      <c r="T65" s="3688"/>
      <c r="U65" s="3688"/>
      <c r="V65" s="3688"/>
      <c r="W65" s="3688"/>
      <c r="X65" s="3688"/>
      <c r="Y65" s="3688"/>
      <c r="Z65" s="3688"/>
      <c r="AA65" s="3688"/>
      <c r="AB65" s="3676" t="s">
        <v>150</v>
      </c>
      <c r="AC65" s="3676" t="s">
        <v>150</v>
      </c>
      <c r="AD65" s="3676" t="s">
        <v>150</v>
      </c>
      <c r="AE65" s="3676" t="s">
        <v>150</v>
      </c>
      <c r="AF65" s="3689" t="s">
        <v>237</v>
      </c>
      <c r="AG65" s="3676" t="s">
        <v>150</v>
      </c>
      <c r="AH65" s="3676" t="s">
        <v>150</v>
      </c>
      <c r="AI65" s="3676" t="s">
        <v>150</v>
      </c>
      <c r="AJ65" s="3676" t="s">
        <v>150</v>
      </c>
      <c r="AK65" s="3676" t="s">
        <v>150</v>
      </c>
      <c r="AL65" s="3676" t="s">
        <v>150</v>
      </c>
      <c r="AM65" s="3688"/>
      <c r="AN65" s="3688"/>
      <c r="AO65" s="3676" t="s">
        <v>150</v>
      </c>
      <c r="AP65" s="3676" t="s">
        <v>150</v>
      </c>
      <c r="AQ65" s="3458"/>
      <c r="AR65" s="2750">
        <f t="shared" si="16"/>
        <v>12</v>
      </c>
      <c r="AS65" s="2751">
        <f t="shared" si="17"/>
        <v>1</v>
      </c>
      <c r="AT65" s="2760">
        <f t="shared" si="18"/>
        <v>0</v>
      </c>
      <c r="AU65" s="2751">
        <f t="shared" si="19"/>
        <v>0</v>
      </c>
      <c r="AV65" s="2761">
        <f t="shared" si="20"/>
        <v>13</v>
      </c>
      <c r="AW65" s="2744"/>
      <c r="AX65" s="2755" t="b">
        <f t="shared" si="15"/>
        <v>0</v>
      </c>
      <c r="AY65" s="2761"/>
    </row>
    <row r="66" spans="1:60" ht="32.25" customHeight="1">
      <c r="A66" s="2742"/>
      <c r="B66" s="2743"/>
      <c r="C66" s="2744"/>
      <c r="D66" s="2744"/>
      <c r="E66" s="2745"/>
      <c r="F66" s="2739"/>
      <c r="G66" s="2746"/>
      <c r="H66" s="2745"/>
      <c r="I66" s="2747"/>
      <c r="J66" s="2748">
        <v>53</v>
      </c>
      <c r="K66" s="2748">
        <v>16</v>
      </c>
      <c r="L66" s="3690" t="s">
        <v>1790</v>
      </c>
      <c r="M66" s="3685"/>
      <c r="N66" s="3686"/>
      <c r="O66" s="3687"/>
      <c r="P66" s="3687"/>
      <c r="Q66" s="3687"/>
      <c r="R66" s="3687"/>
      <c r="S66" s="3687"/>
      <c r="T66" s="3688"/>
      <c r="U66" s="3688"/>
      <c r="V66" s="3688"/>
      <c r="W66" s="3688"/>
      <c r="X66" s="3688"/>
      <c r="Y66" s="3688"/>
      <c r="Z66" s="3688"/>
      <c r="AA66" s="3688"/>
      <c r="AB66" s="3688"/>
      <c r="AC66" s="3688"/>
      <c r="AD66" s="3688"/>
      <c r="AE66" s="3688"/>
      <c r="AF66" s="3688"/>
      <c r="AG66" s="3688"/>
      <c r="AH66" s="3688"/>
      <c r="AI66" s="3688"/>
      <c r="AJ66" s="3688"/>
      <c r="AK66" s="3688"/>
      <c r="AL66" s="3689" t="s">
        <v>1778</v>
      </c>
      <c r="AM66" s="3688"/>
      <c r="AN66" s="3689" t="s">
        <v>1778</v>
      </c>
      <c r="AO66" s="3689" t="s">
        <v>1778</v>
      </c>
      <c r="AP66" s="3689" t="s">
        <v>1778</v>
      </c>
      <c r="AQ66" s="3458"/>
      <c r="AR66" s="2750">
        <f t="shared" si="16"/>
        <v>0</v>
      </c>
      <c r="AS66" s="2751">
        <f t="shared" si="17"/>
        <v>0</v>
      </c>
      <c r="AT66" s="2752">
        <f t="shared" si="18"/>
        <v>4</v>
      </c>
      <c r="AU66" s="2751">
        <f t="shared" si="19"/>
        <v>0</v>
      </c>
      <c r="AV66" s="2761">
        <f t="shared" si="20"/>
        <v>4</v>
      </c>
      <c r="AW66" s="2744"/>
      <c r="AX66" s="2755"/>
      <c r="AY66" s="2761"/>
    </row>
    <row r="67" spans="1:60" ht="32.25" customHeight="1">
      <c r="A67" s="2742"/>
      <c r="B67" s="2743"/>
      <c r="C67" s="2744"/>
      <c r="D67" s="2744"/>
      <c r="E67" s="2745"/>
      <c r="F67" s="2739"/>
      <c r="G67" s="2746"/>
      <c r="H67" s="2745"/>
      <c r="I67" s="2747"/>
      <c r="J67" s="2748">
        <v>54</v>
      </c>
      <c r="K67" s="2748">
        <v>17</v>
      </c>
      <c r="L67" s="3690" t="s">
        <v>416</v>
      </c>
      <c r="M67" s="3685"/>
      <c r="N67" s="3686"/>
      <c r="O67" s="3687"/>
      <c r="P67" s="3687"/>
      <c r="Q67" s="3687"/>
      <c r="R67" s="3687"/>
      <c r="S67" s="3687"/>
      <c r="T67" s="3688"/>
      <c r="U67" s="3688"/>
      <c r="V67" s="3688"/>
      <c r="W67" s="3688"/>
      <c r="X67" s="3688"/>
      <c r="Y67" s="3688"/>
      <c r="Z67" s="3688"/>
      <c r="AA67" s="3688"/>
      <c r="AB67" s="3688"/>
      <c r="AC67" s="3688"/>
      <c r="AD67" s="3688"/>
      <c r="AE67" s="3688"/>
      <c r="AF67" s="3688"/>
      <c r="AG67" s="3688"/>
      <c r="AH67" s="3688"/>
      <c r="AI67" s="3688"/>
      <c r="AJ67" s="3688"/>
      <c r="AK67" s="3688"/>
      <c r="AL67" s="3689" t="s">
        <v>1778</v>
      </c>
      <c r="AM67" s="3688"/>
      <c r="AN67" s="3689" t="s">
        <v>1778</v>
      </c>
      <c r="AO67" s="3689" t="s">
        <v>1778</v>
      </c>
      <c r="AP67" s="3689" t="s">
        <v>1778</v>
      </c>
      <c r="AQ67" s="3458"/>
      <c r="AR67" s="2750">
        <f t="shared" si="16"/>
        <v>0</v>
      </c>
      <c r="AS67" s="2751">
        <f t="shared" si="17"/>
        <v>0</v>
      </c>
      <c r="AT67" s="2752">
        <f t="shared" si="18"/>
        <v>4</v>
      </c>
      <c r="AU67" s="2751">
        <f t="shared" si="19"/>
        <v>0</v>
      </c>
      <c r="AV67" s="2761">
        <f t="shared" si="20"/>
        <v>4</v>
      </c>
      <c r="AW67" s="2744"/>
      <c r="AX67" s="2755"/>
      <c r="AY67" s="2761"/>
    </row>
    <row r="68" spans="1:60" ht="32.25" customHeight="1">
      <c r="A68" s="2742"/>
      <c r="B68" s="2743"/>
      <c r="C68" s="2744"/>
      <c r="D68" s="2744"/>
      <c r="E68" s="2745"/>
      <c r="F68" s="2739"/>
      <c r="G68" s="2746"/>
      <c r="H68" s="2745"/>
      <c r="I68" s="2747"/>
      <c r="J68" s="2748">
        <v>55</v>
      </c>
      <c r="K68" s="2748">
        <v>18</v>
      </c>
      <c r="L68" s="3690" t="s">
        <v>1791</v>
      </c>
      <c r="M68" s="3685"/>
      <c r="N68" s="3686"/>
      <c r="O68" s="3687"/>
      <c r="P68" s="3687"/>
      <c r="Q68" s="3687"/>
      <c r="R68" s="3687"/>
      <c r="S68" s="3687"/>
      <c r="T68" s="3688"/>
      <c r="U68" s="3688"/>
      <c r="V68" s="3688"/>
      <c r="W68" s="3688"/>
      <c r="X68" s="3688"/>
      <c r="Y68" s="3688"/>
      <c r="Z68" s="3688"/>
      <c r="AA68" s="3688"/>
      <c r="AB68" s="3688"/>
      <c r="AC68" s="3688"/>
      <c r="AD68" s="3688"/>
      <c r="AE68" s="3688"/>
      <c r="AF68" s="3688"/>
      <c r="AG68" s="3688"/>
      <c r="AH68" s="3688"/>
      <c r="AI68" s="3688"/>
      <c r="AJ68" s="3688"/>
      <c r="AK68" s="3688"/>
      <c r="AL68" s="3689" t="s">
        <v>1778</v>
      </c>
      <c r="AM68" s="3688"/>
      <c r="AN68" s="3689" t="s">
        <v>1778</v>
      </c>
      <c r="AO68" s="3689" t="s">
        <v>1778</v>
      </c>
      <c r="AP68" s="3689" t="s">
        <v>1778</v>
      </c>
      <c r="AQ68" s="3458"/>
      <c r="AR68" s="2750">
        <f t="shared" si="16"/>
        <v>0</v>
      </c>
      <c r="AS68" s="2751">
        <f t="shared" si="17"/>
        <v>0</v>
      </c>
      <c r="AT68" s="2752">
        <f t="shared" si="18"/>
        <v>4</v>
      </c>
      <c r="AU68" s="2751">
        <f t="shared" si="19"/>
        <v>0</v>
      </c>
      <c r="AV68" s="2761">
        <f t="shared" si="20"/>
        <v>4</v>
      </c>
      <c r="AW68" s="2744"/>
      <c r="AX68" s="2755"/>
      <c r="AY68" s="2761"/>
    </row>
    <row r="69" spans="1:60" ht="32.25" customHeight="1">
      <c r="A69" s="2742"/>
      <c r="B69" s="2743"/>
      <c r="C69" s="2744"/>
      <c r="D69" s="2744"/>
      <c r="E69" s="2745"/>
      <c r="F69" s="2739"/>
      <c r="G69" s="2746"/>
      <c r="H69" s="2745"/>
      <c r="I69" s="2747"/>
      <c r="J69" s="2748">
        <v>56</v>
      </c>
      <c r="K69" s="2748">
        <v>19</v>
      </c>
      <c r="L69" s="3690" t="s">
        <v>1792</v>
      </c>
      <c r="M69" s="3685"/>
      <c r="N69" s="3686"/>
      <c r="O69" s="3687"/>
      <c r="P69" s="3687"/>
      <c r="Q69" s="3687"/>
      <c r="R69" s="3687"/>
      <c r="S69" s="3687"/>
      <c r="T69" s="3688"/>
      <c r="U69" s="3688"/>
      <c r="V69" s="3688"/>
      <c r="W69" s="3688"/>
      <c r="X69" s="3688"/>
      <c r="Y69" s="3688"/>
      <c r="Z69" s="3688"/>
      <c r="AA69" s="3688"/>
      <c r="AB69" s="3688"/>
      <c r="AC69" s="3688"/>
      <c r="AD69" s="3688"/>
      <c r="AE69" s="3688"/>
      <c r="AF69" s="3688"/>
      <c r="AG69" s="3688"/>
      <c r="AH69" s="3688"/>
      <c r="AI69" s="3688"/>
      <c r="AJ69" s="3688"/>
      <c r="AK69" s="3688"/>
      <c r="AL69" s="3688"/>
      <c r="AM69" s="3688"/>
      <c r="AN69" s="3688"/>
      <c r="AO69" s="3689" t="s">
        <v>1778</v>
      </c>
      <c r="AP69" s="3689" t="s">
        <v>1778</v>
      </c>
      <c r="AQ69" s="3458"/>
      <c r="AR69" s="2750">
        <f t="shared" si="16"/>
        <v>0</v>
      </c>
      <c r="AS69" s="2751">
        <f t="shared" si="17"/>
        <v>0</v>
      </c>
      <c r="AT69" s="2752">
        <f t="shared" si="18"/>
        <v>2</v>
      </c>
      <c r="AU69" s="2751">
        <f t="shared" si="19"/>
        <v>0</v>
      </c>
      <c r="AV69" s="2761">
        <f t="shared" si="20"/>
        <v>2</v>
      </c>
      <c r="AW69" s="2744"/>
      <c r="AX69" s="2755"/>
      <c r="AY69" s="2761"/>
    </row>
    <row r="70" spans="1:60" ht="31.5" customHeight="1">
      <c r="A70" s="2742"/>
      <c r="B70" s="2743" t="e">
        <f>IF(#REF!&gt;15,40,IF(#REF!&gt;12,35,IF(#REF!&gt;9,30,25)))</f>
        <v>#REF!</v>
      </c>
      <c r="C70" s="2744" t="s">
        <v>92</v>
      </c>
      <c r="D70" s="2744">
        <f t="shared" si="7"/>
        <v>50</v>
      </c>
      <c r="E70" s="2745" t="e">
        <f t="shared" si="8"/>
        <v>#REF!</v>
      </c>
      <c r="F70" s="2739" t="e">
        <f t="shared" si="9"/>
        <v>#REF!</v>
      </c>
      <c r="G70" s="2746">
        <f>('[8]LÁT A'!N44+'[8]LÁT D'!N44+'[8]LÁT C'!N44+'[8]LÁT B'!N44)*0.4+'[8]MỦ DÂY'!AH44*0.5</f>
        <v>24</v>
      </c>
      <c r="H70" s="2745" t="e">
        <f>G70*IF(F70="A",#REF!,IF(F70="B",#REF!,IF(F70="C",#REF!,#REF!)))</f>
        <v>#REF!</v>
      </c>
      <c r="I70" s="2747" t="e">
        <f t="shared" si="10"/>
        <v>#REF!</v>
      </c>
      <c r="J70" s="2745" t="s">
        <v>53</v>
      </c>
      <c r="K70" s="4012" t="s">
        <v>371</v>
      </c>
      <c r="L70" s="4013"/>
      <c r="M70" s="3346">
        <f t="shared" ref="M70:AP70" si="21">COUNTIF(M71:M86,"X")+COUNTIF(M71:M86,"CN")</f>
        <v>0</v>
      </c>
      <c r="N70" s="3346">
        <f t="shared" si="21"/>
        <v>0</v>
      </c>
      <c r="O70" s="3346">
        <f t="shared" si="21"/>
        <v>0</v>
      </c>
      <c r="P70" s="3346">
        <f t="shared" si="21"/>
        <v>0</v>
      </c>
      <c r="Q70" s="3346">
        <f t="shared" si="21"/>
        <v>6</v>
      </c>
      <c r="R70" s="2725">
        <f t="shared" si="21"/>
        <v>7</v>
      </c>
      <c r="S70" s="3346">
        <f t="shared" si="21"/>
        <v>7</v>
      </c>
      <c r="T70" s="3346">
        <f t="shared" si="21"/>
        <v>7</v>
      </c>
      <c r="U70" s="3346">
        <f t="shared" si="21"/>
        <v>7</v>
      </c>
      <c r="V70" s="3346">
        <f t="shared" si="21"/>
        <v>8</v>
      </c>
      <c r="W70" s="3346">
        <f t="shared" si="21"/>
        <v>9</v>
      </c>
      <c r="X70" s="3346">
        <f t="shared" si="21"/>
        <v>4</v>
      </c>
      <c r="Y70" s="2725">
        <f t="shared" si="21"/>
        <v>2</v>
      </c>
      <c r="Z70" s="3346">
        <f t="shared" si="21"/>
        <v>0</v>
      </c>
      <c r="AA70" s="3346">
        <f t="shared" si="21"/>
        <v>4</v>
      </c>
      <c r="AB70" s="3346">
        <f t="shared" si="21"/>
        <v>4</v>
      </c>
      <c r="AC70" s="3346">
        <f t="shared" si="21"/>
        <v>6</v>
      </c>
      <c r="AD70" s="3346">
        <f t="shared" si="21"/>
        <v>6</v>
      </c>
      <c r="AE70" s="3346">
        <f t="shared" si="21"/>
        <v>11</v>
      </c>
      <c r="AF70" s="2725">
        <f t="shared" si="21"/>
        <v>12</v>
      </c>
      <c r="AG70" s="3346">
        <f t="shared" si="21"/>
        <v>13</v>
      </c>
      <c r="AH70" s="3346">
        <f t="shared" si="21"/>
        <v>13</v>
      </c>
      <c r="AI70" s="3346">
        <f t="shared" si="21"/>
        <v>13</v>
      </c>
      <c r="AJ70" s="3346">
        <f t="shared" si="21"/>
        <v>11</v>
      </c>
      <c r="AK70" s="3346">
        <f t="shared" si="21"/>
        <v>11</v>
      </c>
      <c r="AL70" s="3346">
        <f t="shared" si="21"/>
        <v>13</v>
      </c>
      <c r="AM70" s="2725">
        <f t="shared" si="21"/>
        <v>12</v>
      </c>
      <c r="AN70" s="3346">
        <f t="shared" si="21"/>
        <v>13</v>
      </c>
      <c r="AO70" s="3346">
        <f t="shared" si="21"/>
        <v>14</v>
      </c>
      <c r="AP70" s="3346">
        <f t="shared" si="21"/>
        <v>11</v>
      </c>
      <c r="AQ70" s="3346"/>
      <c r="AR70" s="2762">
        <f>SUM(AR71:AR86)</f>
        <v>191</v>
      </c>
      <c r="AS70" s="2762">
        <f>SUM(AS71:AS86)</f>
        <v>33</v>
      </c>
      <c r="AT70" s="2762">
        <f>SUM(AT71:AT86)</f>
        <v>0</v>
      </c>
      <c r="AU70" s="2762">
        <f>SUM(AU71:AU86)</f>
        <v>0</v>
      </c>
      <c r="AV70" s="2762">
        <f>SUM(AV71:AV86)</f>
        <v>224</v>
      </c>
      <c r="AW70" s="2758"/>
      <c r="AX70" s="2758">
        <f>SUM(AX71:AX86)</f>
        <v>0</v>
      </c>
      <c r="AY70" s="2758"/>
      <c r="BD70" s="2732"/>
      <c r="BE70" s="2732"/>
      <c r="BF70" s="2732"/>
      <c r="BG70" s="2763"/>
      <c r="BH70" s="2764"/>
    </row>
    <row r="71" spans="1:60" ht="33" customHeight="1">
      <c r="A71" s="2742"/>
      <c r="B71" s="2743" t="e">
        <f>IF(#REF!&gt;15,40,IF(#REF!&gt;12,35,IF(#REF!&gt;9,30,25)))</f>
        <v>#REF!</v>
      </c>
      <c r="C71" s="2744" t="s">
        <v>92</v>
      </c>
      <c r="D71" s="2744">
        <f t="shared" si="7"/>
        <v>50</v>
      </c>
      <c r="E71" s="2745" t="e">
        <f t="shared" si="8"/>
        <v>#REF!</v>
      </c>
      <c r="F71" s="2739" t="e">
        <f t="shared" si="9"/>
        <v>#REF!</v>
      </c>
      <c r="G71" s="2746">
        <f>('[8]LÁT A'!N45+'[8]LÁT D'!N45+'[8]LÁT C'!N45+'[8]LÁT B'!N45)*0.4+'[8]MỦ DÂY'!AH45*0.5</f>
        <v>0</v>
      </c>
      <c r="H71" s="2745" t="e">
        <f>G71*IF(F71="A",#REF!,IF(F71="B",#REF!,IF(F71="C",#REF!,#REF!)))</f>
        <v>#REF!</v>
      </c>
      <c r="I71" s="2747" t="e">
        <f t="shared" si="10"/>
        <v>#REF!</v>
      </c>
      <c r="J71" s="2748">
        <v>57</v>
      </c>
      <c r="K71" s="2748">
        <v>1</v>
      </c>
      <c r="L71" s="2765" t="s">
        <v>1793</v>
      </c>
      <c r="M71" s="3691"/>
      <c r="N71" s="3692"/>
      <c r="O71" s="3692"/>
      <c r="P71" s="3347"/>
      <c r="Q71" s="3693" t="s">
        <v>150</v>
      </c>
      <c r="R71" s="3689" t="s">
        <v>237</v>
      </c>
      <c r="S71" s="3693" t="s">
        <v>150</v>
      </c>
      <c r="T71" s="3693" t="s">
        <v>150</v>
      </c>
      <c r="U71" s="3693" t="s">
        <v>150</v>
      </c>
      <c r="V71" s="3693" t="s">
        <v>150</v>
      </c>
      <c r="W71" s="3693" t="s">
        <v>150</v>
      </c>
      <c r="X71" s="3347"/>
      <c r="Y71" s="3689" t="s">
        <v>237</v>
      </c>
      <c r="Z71" s="3347"/>
      <c r="AA71" s="3347"/>
      <c r="AB71" s="3693" t="s">
        <v>150</v>
      </c>
      <c r="AC71" s="3693" t="s">
        <v>150</v>
      </c>
      <c r="AD71" s="3693" t="s">
        <v>150</v>
      </c>
      <c r="AE71" s="3693" t="s">
        <v>150</v>
      </c>
      <c r="AF71" s="3689" t="s">
        <v>237</v>
      </c>
      <c r="AG71" s="3693" t="s">
        <v>150</v>
      </c>
      <c r="AH71" s="3693" t="s">
        <v>150</v>
      </c>
      <c r="AI71" s="3693" t="s">
        <v>150</v>
      </c>
      <c r="AJ71" s="3693" t="s">
        <v>150</v>
      </c>
      <c r="AK71" s="3693" t="s">
        <v>150</v>
      </c>
      <c r="AL71" s="3693" t="s">
        <v>150</v>
      </c>
      <c r="AM71" s="3689" t="s">
        <v>237</v>
      </c>
      <c r="AN71" s="3693" t="s">
        <v>150</v>
      </c>
      <c r="AO71" s="3693" t="s">
        <v>150</v>
      </c>
      <c r="AP71" s="3693" t="s">
        <v>150</v>
      </c>
      <c r="AQ71" s="3392"/>
      <c r="AR71" s="2750">
        <f>COUNTIF(M71:AQ71,"X")</f>
        <v>19</v>
      </c>
      <c r="AS71" s="2751">
        <f t="shared" ref="AS71:AS86" si="22">+COUNTIF(M71:AQ71,"CN")</f>
        <v>4</v>
      </c>
      <c r="AT71" s="2750">
        <f t="shared" ref="AT71:AT86" si="23">COUNTIF(Q71:AQ71,"X1")</f>
        <v>0</v>
      </c>
      <c r="AU71" s="2751">
        <f t="shared" ref="AU71:AU86" si="24">+COUNTIF(Q71:AS71,"CN1")</f>
        <v>0</v>
      </c>
      <c r="AV71" s="2766">
        <f t="shared" ref="AV71:AV86" si="25">+SUM(AR71:AS71)</f>
        <v>23</v>
      </c>
      <c r="AW71" s="2744"/>
      <c r="AX71" s="2755" t="b">
        <f t="shared" ref="AX71:AX79" si="26">IF(AV71=31,20,IF(AV71&gt;=25,10))</f>
        <v>0</v>
      </c>
      <c r="AY71" s="2745"/>
      <c r="BG71" s="2767"/>
    </row>
    <row r="72" spans="1:60" ht="33" customHeight="1">
      <c r="A72" s="2742" t="e">
        <f>#REF!*#REF!+#REF!*#REF!</f>
        <v>#REF!</v>
      </c>
      <c r="B72" s="2743" t="e">
        <f>IF(#REF!&gt;15,40,IF(#REF!&gt;12,35,IF(#REF!&gt;9,30,25)))</f>
        <v>#REF!</v>
      </c>
      <c r="C72" s="2744" t="s">
        <v>92</v>
      </c>
      <c r="D72" s="2744">
        <f t="shared" si="7"/>
        <v>50</v>
      </c>
      <c r="E72" s="2745" t="e">
        <f t="shared" si="8"/>
        <v>#REF!</v>
      </c>
      <c r="F72" s="2739" t="e">
        <f t="shared" si="9"/>
        <v>#REF!</v>
      </c>
      <c r="G72" s="2746">
        <f>('[8]LÁT A'!N46+'[8]LÁT D'!N46+'[8]LÁT C'!N46+'[8]LÁT B'!N46)*0.4+'[8]MỦ DÂY'!AH46*0.5</f>
        <v>19.200000000000003</v>
      </c>
      <c r="H72" s="2745" t="e">
        <f>G72*IF(F72="A",#REF!,IF(F72="B",#REF!,IF(F72="C",#REF!,#REF!)))</f>
        <v>#REF!</v>
      </c>
      <c r="I72" s="2747" t="e">
        <f t="shared" si="10"/>
        <v>#REF!</v>
      </c>
      <c r="J72" s="2748">
        <v>58</v>
      </c>
      <c r="K72" s="2748">
        <v>2</v>
      </c>
      <c r="L72" s="2765" t="s">
        <v>1794</v>
      </c>
      <c r="M72" s="3691"/>
      <c r="N72" s="3692"/>
      <c r="O72" s="3692"/>
      <c r="P72" s="3347"/>
      <c r="Q72" s="3693" t="s">
        <v>150</v>
      </c>
      <c r="R72" s="3689" t="s">
        <v>237</v>
      </c>
      <c r="S72" s="3693" t="s">
        <v>150</v>
      </c>
      <c r="T72" s="3693" t="s">
        <v>150</v>
      </c>
      <c r="U72" s="3693" t="s">
        <v>150</v>
      </c>
      <c r="V72" s="3693" t="s">
        <v>150</v>
      </c>
      <c r="W72" s="3693" t="s">
        <v>150</v>
      </c>
      <c r="X72" s="3347"/>
      <c r="Y72" s="3347"/>
      <c r="Z72" s="3347"/>
      <c r="AA72" s="3347"/>
      <c r="AB72" s="3392"/>
      <c r="AC72" s="3347"/>
      <c r="AD72" s="3347"/>
      <c r="AE72" s="3693" t="s">
        <v>150</v>
      </c>
      <c r="AF72" s="3689" t="s">
        <v>237</v>
      </c>
      <c r="AG72" s="3693" t="s">
        <v>150</v>
      </c>
      <c r="AH72" s="3693" t="s">
        <v>150</v>
      </c>
      <c r="AI72" s="3693" t="s">
        <v>150</v>
      </c>
      <c r="AJ72" s="3693" t="s">
        <v>150</v>
      </c>
      <c r="AK72" s="3347"/>
      <c r="AL72" s="3693" t="s">
        <v>150</v>
      </c>
      <c r="AM72" s="3689" t="s">
        <v>237</v>
      </c>
      <c r="AN72" s="3693" t="s">
        <v>150</v>
      </c>
      <c r="AO72" s="3693" t="s">
        <v>150</v>
      </c>
      <c r="AP72" s="3693" t="s">
        <v>150</v>
      </c>
      <c r="AQ72" s="3392"/>
      <c r="AR72" s="2750">
        <f t="shared" ref="AR72:AR86" si="27">COUNTIF(M72:AQ72,"X")</f>
        <v>15</v>
      </c>
      <c r="AS72" s="2751">
        <f t="shared" si="22"/>
        <v>3</v>
      </c>
      <c r="AT72" s="2750">
        <f t="shared" si="23"/>
        <v>0</v>
      </c>
      <c r="AU72" s="2751">
        <f t="shared" si="24"/>
        <v>0</v>
      </c>
      <c r="AV72" s="2766">
        <f t="shared" si="25"/>
        <v>18</v>
      </c>
      <c r="AW72" s="2744"/>
      <c r="AX72" s="2755" t="b">
        <f t="shared" si="26"/>
        <v>0</v>
      </c>
      <c r="AY72" s="2745"/>
      <c r="BG72" s="2767"/>
    </row>
    <row r="73" spans="1:60" ht="33" customHeight="1">
      <c r="A73" s="2742" t="e">
        <f>#REF!*#REF!+#REF!*#REF!</f>
        <v>#REF!</v>
      </c>
      <c r="B73" s="2743" t="e">
        <f>IF(#REF!&gt;15,40,IF(#REF!&gt;12,35,IF(#REF!&gt;9,30,25)))</f>
        <v>#REF!</v>
      </c>
      <c r="C73" s="2744" t="s">
        <v>92</v>
      </c>
      <c r="D73" s="2744">
        <f t="shared" si="7"/>
        <v>50</v>
      </c>
      <c r="E73" s="2745" t="e">
        <f t="shared" si="8"/>
        <v>#REF!</v>
      </c>
      <c r="F73" s="2739" t="e">
        <f t="shared" si="9"/>
        <v>#REF!</v>
      </c>
      <c r="G73" s="2746">
        <f>('[8]LÁT A'!N47+'[8]LÁT D'!N47+'[8]LÁT C'!N47+'[8]LÁT B'!N47)*0.4+'[8]MỦ DÂY'!AH47*0.5</f>
        <v>0</v>
      </c>
      <c r="H73" s="2745" t="e">
        <f>G73*IF(F73="A",#REF!,IF(F73="B",#REF!,IF(F73="C",#REF!,#REF!)))</f>
        <v>#REF!</v>
      </c>
      <c r="I73" s="2747" t="e">
        <f t="shared" si="10"/>
        <v>#REF!</v>
      </c>
      <c r="J73" s="2748">
        <v>59</v>
      </c>
      <c r="K73" s="2748">
        <v>3</v>
      </c>
      <c r="L73" s="2765" t="s">
        <v>1795</v>
      </c>
      <c r="M73" s="3691"/>
      <c r="N73" s="3692"/>
      <c r="O73" s="3692"/>
      <c r="P73" s="3347"/>
      <c r="Q73" s="3693" t="s">
        <v>150</v>
      </c>
      <c r="R73" s="3689" t="s">
        <v>237</v>
      </c>
      <c r="S73" s="3693" t="s">
        <v>150</v>
      </c>
      <c r="T73" s="3693" t="s">
        <v>150</v>
      </c>
      <c r="U73" s="3693" t="s">
        <v>150</v>
      </c>
      <c r="V73" s="3693" t="s">
        <v>150</v>
      </c>
      <c r="W73" s="3693" t="s">
        <v>150</v>
      </c>
      <c r="X73" s="3347"/>
      <c r="Y73" s="3347"/>
      <c r="Z73" s="3347"/>
      <c r="AA73" s="3347"/>
      <c r="AB73" s="3392"/>
      <c r="AC73" s="3347"/>
      <c r="AD73" s="3347"/>
      <c r="AE73" s="3693" t="s">
        <v>150</v>
      </c>
      <c r="AF73" s="3689" t="s">
        <v>237</v>
      </c>
      <c r="AG73" s="3693" t="s">
        <v>150</v>
      </c>
      <c r="AH73" s="3693" t="s">
        <v>150</v>
      </c>
      <c r="AI73" s="3693" t="s">
        <v>150</v>
      </c>
      <c r="AJ73" s="3693" t="s">
        <v>150</v>
      </c>
      <c r="AK73" s="3693" t="s">
        <v>150</v>
      </c>
      <c r="AL73" s="3693" t="s">
        <v>150</v>
      </c>
      <c r="AM73" s="3689" t="s">
        <v>237</v>
      </c>
      <c r="AN73" s="3693" t="s">
        <v>150</v>
      </c>
      <c r="AO73" s="3693" t="s">
        <v>150</v>
      </c>
      <c r="AP73" s="3693" t="s">
        <v>150</v>
      </c>
      <c r="AQ73" s="3392"/>
      <c r="AR73" s="2750">
        <f t="shared" si="27"/>
        <v>16</v>
      </c>
      <c r="AS73" s="2751">
        <f t="shared" si="22"/>
        <v>3</v>
      </c>
      <c r="AT73" s="2750">
        <f t="shared" si="23"/>
        <v>0</v>
      </c>
      <c r="AU73" s="2751">
        <f t="shared" si="24"/>
        <v>0</v>
      </c>
      <c r="AV73" s="2766">
        <f t="shared" si="25"/>
        <v>19</v>
      </c>
      <c r="AW73" s="2744"/>
      <c r="AX73" s="2755" t="b">
        <f t="shared" si="26"/>
        <v>0</v>
      </c>
      <c r="AY73" s="2745"/>
      <c r="BG73" s="2767"/>
    </row>
    <row r="74" spans="1:60" ht="33" customHeight="1">
      <c r="A74" s="2742" t="e">
        <f>#REF!*#REF!+#REF!*#REF!</f>
        <v>#REF!</v>
      </c>
      <c r="B74" s="2743" t="e">
        <f>IF(#REF!&gt;15,40,IF(#REF!&gt;12,35,IF(#REF!&gt;9,30,25)))</f>
        <v>#REF!</v>
      </c>
      <c r="C74" s="2744" t="s">
        <v>92</v>
      </c>
      <c r="D74" s="2744">
        <f t="shared" si="7"/>
        <v>50</v>
      </c>
      <c r="E74" s="2745" t="e">
        <f t="shared" si="8"/>
        <v>#REF!</v>
      </c>
      <c r="F74" s="2739" t="e">
        <f t="shared" si="9"/>
        <v>#REF!</v>
      </c>
      <c r="G74" s="2746">
        <f>('[8]LÁT A'!N48+'[8]LÁT D'!N48+'[8]LÁT C'!N48+'[8]LÁT B'!N48)*0.4+'[8]MỦ DÂY'!AH48*0.5</f>
        <v>16</v>
      </c>
      <c r="H74" s="2745" t="e">
        <f>G74*IF(F74="A",#REF!,IF(F74="B",#REF!,IF(F74="C",#REF!,#REF!)))</f>
        <v>#REF!</v>
      </c>
      <c r="I74" s="2747" t="e">
        <f t="shared" si="10"/>
        <v>#REF!</v>
      </c>
      <c r="J74" s="2748">
        <v>60</v>
      </c>
      <c r="K74" s="2748">
        <v>4</v>
      </c>
      <c r="L74" s="2765" t="s">
        <v>1796</v>
      </c>
      <c r="M74" s="3691"/>
      <c r="N74" s="3692"/>
      <c r="O74" s="3692"/>
      <c r="P74" s="3347"/>
      <c r="Q74" s="3694"/>
      <c r="R74" s="3689" t="s">
        <v>237</v>
      </c>
      <c r="S74" s="3693" t="s">
        <v>150</v>
      </c>
      <c r="T74" s="3693" t="s">
        <v>150</v>
      </c>
      <c r="U74" s="3693" t="s">
        <v>150</v>
      </c>
      <c r="V74" s="3693" t="s">
        <v>150</v>
      </c>
      <c r="W74" s="3693" t="s">
        <v>150</v>
      </c>
      <c r="X74" s="3347"/>
      <c r="Y74" s="3347"/>
      <c r="Z74" s="3347"/>
      <c r="AA74" s="3347"/>
      <c r="AB74" s="3392"/>
      <c r="AC74" s="3347"/>
      <c r="AD74" s="3347"/>
      <c r="AE74" s="3693" t="s">
        <v>150</v>
      </c>
      <c r="AF74" s="3689" t="s">
        <v>237</v>
      </c>
      <c r="AG74" s="3693" t="s">
        <v>150</v>
      </c>
      <c r="AH74" s="3693" t="s">
        <v>150</v>
      </c>
      <c r="AI74" s="3693" t="s">
        <v>150</v>
      </c>
      <c r="AJ74" s="3693" t="s">
        <v>150</v>
      </c>
      <c r="AK74" s="3693" t="s">
        <v>150</v>
      </c>
      <c r="AL74" s="3693" t="s">
        <v>150</v>
      </c>
      <c r="AM74" s="3689" t="s">
        <v>237</v>
      </c>
      <c r="AN74" s="3693" t="s">
        <v>150</v>
      </c>
      <c r="AO74" s="3693" t="s">
        <v>150</v>
      </c>
      <c r="AP74" s="3693" t="s">
        <v>150</v>
      </c>
      <c r="AQ74" s="3392"/>
      <c r="AR74" s="2750">
        <f t="shared" si="27"/>
        <v>15</v>
      </c>
      <c r="AS74" s="2751">
        <f t="shared" si="22"/>
        <v>3</v>
      </c>
      <c r="AT74" s="2750">
        <f t="shared" si="23"/>
        <v>0</v>
      </c>
      <c r="AU74" s="2751">
        <f t="shared" si="24"/>
        <v>0</v>
      </c>
      <c r="AV74" s="2766">
        <f t="shared" si="25"/>
        <v>18</v>
      </c>
      <c r="AW74" s="2744"/>
      <c r="AX74" s="2755" t="b">
        <f t="shared" si="26"/>
        <v>0</v>
      </c>
      <c r="AY74" s="2745"/>
      <c r="BG74" s="2767"/>
    </row>
    <row r="75" spans="1:60" ht="33" customHeight="1">
      <c r="A75" s="2742" t="e">
        <f>#REF!*#REF!+#REF!*#REF!</f>
        <v>#REF!</v>
      </c>
      <c r="B75" s="2743" t="e">
        <f>IF(#REF!&gt;15,40,IF(#REF!&gt;12,35,IF(#REF!&gt;9,30,25)))</f>
        <v>#REF!</v>
      </c>
      <c r="C75" s="2744" t="s">
        <v>92</v>
      </c>
      <c r="D75" s="2744">
        <f t="shared" si="7"/>
        <v>50</v>
      </c>
      <c r="E75" s="2745" t="e">
        <f t="shared" si="8"/>
        <v>#REF!</v>
      </c>
      <c r="F75" s="2739" t="e">
        <f t="shared" si="9"/>
        <v>#REF!</v>
      </c>
      <c r="G75" s="2746">
        <f>('[8]LÁT A'!N49+'[8]LÁT D'!N49+'[8]LÁT C'!N49+'[8]LÁT B'!N49)*0.4+'[8]MỦ DÂY'!AH49*0.5</f>
        <v>0</v>
      </c>
      <c r="H75" s="2745" t="e">
        <f>G75*IF(F75="A",#REF!,IF(F75="B",#REF!,IF(F75="C",#REF!,#REF!)))</f>
        <v>#REF!</v>
      </c>
      <c r="I75" s="2747" t="e">
        <f t="shared" si="10"/>
        <v>#REF!</v>
      </c>
      <c r="J75" s="2748">
        <v>61</v>
      </c>
      <c r="K75" s="2748">
        <v>5</v>
      </c>
      <c r="L75" s="2765" t="s">
        <v>753</v>
      </c>
      <c r="M75" s="3691"/>
      <c r="N75" s="3692"/>
      <c r="O75" s="3692"/>
      <c r="P75" s="3347"/>
      <c r="Q75" s="3694"/>
      <c r="R75" s="3347"/>
      <c r="S75" s="3347"/>
      <c r="T75" s="3347"/>
      <c r="U75" s="3392"/>
      <c r="V75" s="3347"/>
      <c r="W75" s="3347"/>
      <c r="X75" s="3347"/>
      <c r="Y75" s="3347"/>
      <c r="Z75" s="3347"/>
      <c r="AA75" s="3693" t="s">
        <v>150</v>
      </c>
      <c r="AB75" s="3693" t="s">
        <v>150</v>
      </c>
      <c r="AC75" s="3347"/>
      <c r="AD75" s="3347"/>
      <c r="AE75" s="3347"/>
      <c r="AF75" s="3689" t="s">
        <v>237</v>
      </c>
      <c r="AG75" s="3693" t="s">
        <v>150</v>
      </c>
      <c r="AH75" s="3693" t="s">
        <v>150</v>
      </c>
      <c r="AI75" s="3693" t="s">
        <v>150</v>
      </c>
      <c r="AJ75" s="3693" t="s">
        <v>150</v>
      </c>
      <c r="AK75" s="3693" t="s">
        <v>150</v>
      </c>
      <c r="AL75" s="3693" t="s">
        <v>150</v>
      </c>
      <c r="AM75" s="3689" t="s">
        <v>237</v>
      </c>
      <c r="AN75" s="3693" t="s">
        <v>150</v>
      </c>
      <c r="AO75" s="3693" t="s">
        <v>150</v>
      </c>
      <c r="AP75" s="3392"/>
      <c r="AQ75" s="3392"/>
      <c r="AR75" s="2750">
        <f t="shared" si="27"/>
        <v>10</v>
      </c>
      <c r="AS75" s="2751">
        <f t="shared" si="22"/>
        <v>2</v>
      </c>
      <c r="AT75" s="2750">
        <f t="shared" si="23"/>
        <v>0</v>
      </c>
      <c r="AU75" s="2751">
        <f t="shared" si="24"/>
        <v>0</v>
      </c>
      <c r="AV75" s="2766">
        <f t="shared" si="25"/>
        <v>12</v>
      </c>
      <c r="AW75" s="2744"/>
      <c r="AX75" s="2755" t="b">
        <f t="shared" si="26"/>
        <v>0</v>
      </c>
      <c r="AY75" s="2745"/>
      <c r="BG75" s="2767"/>
    </row>
    <row r="76" spans="1:60" ht="33" customHeight="1">
      <c r="A76" s="2742" t="e">
        <f>#REF!*#REF!+#REF!*#REF!</f>
        <v>#REF!</v>
      </c>
      <c r="B76" s="2743" t="e">
        <f>IF(#REF!&gt;15,40,IF(#REF!&gt;12,35,IF(#REF!&gt;9,30,25)))</f>
        <v>#REF!</v>
      </c>
      <c r="C76" s="2744" t="s">
        <v>92</v>
      </c>
      <c r="D76" s="2744">
        <f t="shared" si="7"/>
        <v>50</v>
      </c>
      <c r="E76" s="2745" t="e">
        <f t="shared" si="8"/>
        <v>#REF!</v>
      </c>
      <c r="F76" s="2739" t="e">
        <f t="shared" si="9"/>
        <v>#REF!</v>
      </c>
      <c r="G76" s="2746">
        <f>('[8]LÁT A'!N50+'[8]LÁT D'!N50+'[8]LÁT C'!N50+'[8]LÁT B'!N50)*0.4+'[8]MỦ DÂY'!AH50*0.5</f>
        <v>17.600000000000001</v>
      </c>
      <c r="H76" s="2745" t="e">
        <f>G76*IF(F76="A",#REF!,IF(F76="B",#REF!,IF(F76="C",#REF!,#REF!)))</f>
        <v>#REF!</v>
      </c>
      <c r="I76" s="2747" t="e">
        <f t="shared" si="10"/>
        <v>#REF!</v>
      </c>
      <c r="J76" s="2748">
        <v>62</v>
      </c>
      <c r="K76" s="2748">
        <v>6</v>
      </c>
      <c r="L76" s="2765" t="s">
        <v>974</v>
      </c>
      <c r="M76" s="3691"/>
      <c r="N76" s="3692"/>
      <c r="O76" s="3692"/>
      <c r="P76" s="3347"/>
      <c r="Q76" s="3694"/>
      <c r="R76" s="3347"/>
      <c r="S76" s="3347"/>
      <c r="T76" s="3347"/>
      <c r="U76" s="3392"/>
      <c r="V76" s="3347"/>
      <c r="W76" s="3347"/>
      <c r="X76" s="3347"/>
      <c r="Y76" s="3347"/>
      <c r="Z76" s="3347"/>
      <c r="AA76" s="3693" t="s">
        <v>150</v>
      </c>
      <c r="AB76" s="3392"/>
      <c r="AC76" s="3347"/>
      <c r="AD76" s="3347"/>
      <c r="AE76" s="3347"/>
      <c r="AF76" s="3347"/>
      <c r="AG76" s="3693" t="s">
        <v>150</v>
      </c>
      <c r="AH76" s="3693" t="s">
        <v>150</v>
      </c>
      <c r="AI76" s="3693" t="s">
        <v>150</v>
      </c>
      <c r="AJ76" s="3693" t="s">
        <v>150</v>
      </c>
      <c r="AK76" s="3693" t="s">
        <v>150</v>
      </c>
      <c r="AL76" s="3693" t="s">
        <v>150</v>
      </c>
      <c r="AM76" s="3689" t="s">
        <v>237</v>
      </c>
      <c r="AN76" s="3693" t="s">
        <v>150</v>
      </c>
      <c r="AO76" s="3693" t="s">
        <v>150</v>
      </c>
      <c r="AP76" s="3693" t="s">
        <v>150</v>
      </c>
      <c r="AQ76" s="3392"/>
      <c r="AR76" s="2750">
        <f t="shared" si="27"/>
        <v>10</v>
      </c>
      <c r="AS76" s="2751">
        <f t="shared" si="22"/>
        <v>1</v>
      </c>
      <c r="AT76" s="2750">
        <f t="shared" si="23"/>
        <v>0</v>
      </c>
      <c r="AU76" s="2751">
        <f t="shared" si="24"/>
        <v>0</v>
      </c>
      <c r="AV76" s="2766">
        <f t="shared" si="25"/>
        <v>11</v>
      </c>
      <c r="AW76" s="2744"/>
      <c r="AX76" s="2755" t="b">
        <f t="shared" si="26"/>
        <v>0</v>
      </c>
      <c r="AY76" s="2745"/>
      <c r="BG76" s="2767"/>
    </row>
    <row r="77" spans="1:60" ht="33" customHeight="1">
      <c r="A77" s="2742" t="e">
        <f>#REF!*#REF!+#REF!*#REF!</f>
        <v>#REF!</v>
      </c>
      <c r="B77" s="2743" t="e">
        <f>IF(#REF!&gt;15,40,IF(#REF!&gt;12,35,IF(#REF!&gt;9,30,25)))</f>
        <v>#REF!</v>
      </c>
      <c r="C77" s="2744" t="s">
        <v>92</v>
      </c>
      <c r="D77" s="2744">
        <f t="shared" si="7"/>
        <v>50</v>
      </c>
      <c r="E77" s="2745" t="e">
        <f t="shared" si="8"/>
        <v>#REF!</v>
      </c>
      <c r="F77" s="2739" t="e">
        <f t="shared" si="9"/>
        <v>#REF!</v>
      </c>
      <c r="G77" s="2746">
        <f>('[8]LÁT A'!N51+'[8]LÁT D'!N51+'[8]LÁT C'!N51+'[8]LÁT B'!N51)*0.4+'[8]MỦ DÂY'!AH51*0.5</f>
        <v>0</v>
      </c>
      <c r="H77" s="2745" t="e">
        <f>G77*IF(F77="A",#REF!,IF(F77="B",#REF!,IF(F77="C",#REF!,#REF!)))</f>
        <v>#REF!</v>
      </c>
      <c r="I77" s="2747" t="e">
        <f t="shared" si="10"/>
        <v>#REF!</v>
      </c>
      <c r="J77" s="2748">
        <v>63</v>
      </c>
      <c r="K77" s="2748">
        <v>7</v>
      </c>
      <c r="L77" s="2765" t="s">
        <v>1797</v>
      </c>
      <c r="M77" s="3691"/>
      <c r="N77" s="3692"/>
      <c r="O77" s="3692"/>
      <c r="P77" s="3347"/>
      <c r="Q77" s="3694"/>
      <c r="R77" s="3689" t="s">
        <v>237</v>
      </c>
      <c r="S77" s="3693" t="s">
        <v>150</v>
      </c>
      <c r="T77" s="3693" t="s">
        <v>150</v>
      </c>
      <c r="U77" s="3693" t="s">
        <v>150</v>
      </c>
      <c r="V77" s="3693" t="s">
        <v>150</v>
      </c>
      <c r="W77" s="3693" t="s">
        <v>150</v>
      </c>
      <c r="X77" s="3347"/>
      <c r="Y77" s="3347"/>
      <c r="Z77" s="3347"/>
      <c r="AA77" s="3347"/>
      <c r="AB77" s="3392"/>
      <c r="AC77" s="3347"/>
      <c r="AD77" s="3347"/>
      <c r="AE77" s="3693" t="s">
        <v>150</v>
      </c>
      <c r="AF77" s="3689" t="s">
        <v>237</v>
      </c>
      <c r="AG77" s="3693" t="s">
        <v>150</v>
      </c>
      <c r="AH77" s="3693" t="s">
        <v>150</v>
      </c>
      <c r="AI77" s="3693" t="s">
        <v>150</v>
      </c>
      <c r="AJ77" s="3693" t="s">
        <v>150</v>
      </c>
      <c r="AK77" s="3693" t="s">
        <v>150</v>
      </c>
      <c r="AL77" s="3693" t="s">
        <v>150</v>
      </c>
      <c r="AM77" s="3689" t="s">
        <v>237</v>
      </c>
      <c r="AN77" s="3693" t="s">
        <v>150</v>
      </c>
      <c r="AO77" s="3693" t="s">
        <v>150</v>
      </c>
      <c r="AP77" s="3693" t="s">
        <v>150</v>
      </c>
      <c r="AQ77" s="3392"/>
      <c r="AR77" s="2750">
        <f t="shared" si="27"/>
        <v>15</v>
      </c>
      <c r="AS77" s="2751">
        <f t="shared" si="22"/>
        <v>3</v>
      </c>
      <c r="AT77" s="2750">
        <f t="shared" si="23"/>
        <v>0</v>
      </c>
      <c r="AU77" s="2751">
        <f t="shared" si="24"/>
        <v>0</v>
      </c>
      <c r="AV77" s="2766">
        <f t="shared" si="25"/>
        <v>18</v>
      </c>
      <c r="AW77" s="2744"/>
      <c r="AX77" s="2755" t="b">
        <f t="shared" si="26"/>
        <v>0</v>
      </c>
      <c r="AY77" s="2745"/>
      <c r="BG77" s="2767"/>
    </row>
    <row r="78" spans="1:60" ht="33" customHeight="1">
      <c r="A78" s="2742" t="e">
        <f>#REF!*#REF!+#REF!*#REF!</f>
        <v>#REF!</v>
      </c>
      <c r="B78" s="2743" t="e">
        <f>IF(#REF!&gt;15,40,IF(#REF!&gt;12,35,IF(#REF!&gt;9,30,25)))</f>
        <v>#REF!</v>
      </c>
      <c r="C78" s="2744" t="s">
        <v>92</v>
      </c>
      <c r="D78" s="2744">
        <f t="shared" si="7"/>
        <v>50</v>
      </c>
      <c r="E78" s="2745" t="e">
        <f t="shared" si="8"/>
        <v>#REF!</v>
      </c>
      <c r="F78" s="2739" t="e">
        <f t="shared" si="9"/>
        <v>#REF!</v>
      </c>
      <c r="G78" s="2746">
        <f>('[8]LÁT A'!N52+'[8]LÁT D'!N52+'[8]LÁT C'!N52+'[8]LÁT B'!N52)*0.4+'[8]MỦ DÂY'!AH52*0.5</f>
        <v>0</v>
      </c>
      <c r="H78" s="2745" t="e">
        <f>G78*IF(F78="A",#REF!,IF(F78="B",#REF!,IF(F78="C",#REF!,#REF!)))</f>
        <v>#REF!</v>
      </c>
      <c r="I78" s="2747" t="e">
        <f t="shared" si="10"/>
        <v>#REF!</v>
      </c>
      <c r="J78" s="2748">
        <v>64</v>
      </c>
      <c r="K78" s="2768">
        <v>8</v>
      </c>
      <c r="L78" s="2765" t="s">
        <v>975</v>
      </c>
      <c r="M78" s="3691"/>
      <c r="N78" s="3692"/>
      <c r="O78" s="3692"/>
      <c r="P78" s="3347"/>
      <c r="Q78" s="3694"/>
      <c r="R78" s="3347"/>
      <c r="S78" s="3347"/>
      <c r="T78" s="3347"/>
      <c r="U78" s="3347"/>
      <c r="V78" s="3347"/>
      <c r="W78" s="3347"/>
      <c r="X78" s="3347"/>
      <c r="Y78" s="3347"/>
      <c r="Z78" s="3347"/>
      <c r="AA78" s="3693" t="s">
        <v>150</v>
      </c>
      <c r="AB78" s="3693" t="s">
        <v>150</v>
      </c>
      <c r="AC78" s="3693" t="s">
        <v>150</v>
      </c>
      <c r="AD78" s="3693" t="s">
        <v>150</v>
      </c>
      <c r="AE78" s="3693" t="s">
        <v>150</v>
      </c>
      <c r="AF78" s="3689" t="s">
        <v>237</v>
      </c>
      <c r="AG78" s="3693" t="s">
        <v>150</v>
      </c>
      <c r="AH78" s="3693" t="s">
        <v>150</v>
      </c>
      <c r="AI78" s="3693" t="s">
        <v>150</v>
      </c>
      <c r="AJ78" s="3693" t="s">
        <v>150</v>
      </c>
      <c r="AK78" s="3693" t="s">
        <v>150</v>
      </c>
      <c r="AL78" s="3693" t="s">
        <v>150</v>
      </c>
      <c r="AM78" s="3347"/>
      <c r="AN78" s="3693" t="s">
        <v>150</v>
      </c>
      <c r="AO78" s="3693" t="s">
        <v>150</v>
      </c>
      <c r="AP78" s="3693" t="s">
        <v>150</v>
      </c>
      <c r="AQ78" s="3392"/>
      <c r="AR78" s="2750">
        <f t="shared" si="27"/>
        <v>14</v>
      </c>
      <c r="AS78" s="2751">
        <f t="shared" si="22"/>
        <v>1</v>
      </c>
      <c r="AT78" s="2750">
        <f t="shared" si="23"/>
        <v>0</v>
      </c>
      <c r="AU78" s="2751">
        <f t="shared" si="24"/>
        <v>0</v>
      </c>
      <c r="AV78" s="2766">
        <f t="shared" si="25"/>
        <v>15</v>
      </c>
      <c r="AW78" s="2744"/>
      <c r="AX78" s="2755" t="b">
        <f t="shared" si="26"/>
        <v>0</v>
      </c>
      <c r="AY78" s="2745"/>
      <c r="BG78" s="2767"/>
    </row>
    <row r="79" spans="1:60" ht="33" customHeight="1">
      <c r="A79" s="2742" t="e">
        <f>#REF!*#REF!+#REF!*#REF!</f>
        <v>#REF!</v>
      </c>
      <c r="B79" s="2743" t="e">
        <f>IF(#REF!&gt;15,40,IF(#REF!&gt;12,35,IF(#REF!&gt;9,30,25)))</f>
        <v>#REF!</v>
      </c>
      <c r="C79" s="2744" t="s">
        <v>92</v>
      </c>
      <c r="D79" s="2744">
        <f t="shared" si="7"/>
        <v>50</v>
      </c>
      <c r="E79" s="2745" t="e">
        <f t="shared" si="8"/>
        <v>#REF!</v>
      </c>
      <c r="F79" s="2739" t="e">
        <f t="shared" si="9"/>
        <v>#REF!</v>
      </c>
      <c r="G79" s="2746">
        <f>('[8]LÁT A'!N53+'[8]LÁT D'!N53+'[8]LÁT C'!N53+'[8]LÁT B'!N53)*0.4+'[8]MỦ DÂY'!AH53*0.5</f>
        <v>0</v>
      </c>
      <c r="H79" s="2745" t="e">
        <f>G79*IF(F79="A",#REF!,IF(F79="B",#REF!,IF(F79="C",#REF!,#REF!)))</f>
        <v>#REF!</v>
      </c>
      <c r="I79" s="2747" t="e">
        <f t="shared" si="10"/>
        <v>#REF!</v>
      </c>
      <c r="J79" s="2748">
        <v>65</v>
      </c>
      <c r="K79" s="2768">
        <v>9</v>
      </c>
      <c r="L79" s="2765" t="s">
        <v>1798</v>
      </c>
      <c r="M79" s="3691"/>
      <c r="N79" s="3692"/>
      <c r="O79" s="3692"/>
      <c r="P79" s="3347"/>
      <c r="Q79" s="3694"/>
      <c r="R79" s="3689" t="s">
        <v>237</v>
      </c>
      <c r="S79" s="3693" t="s">
        <v>150</v>
      </c>
      <c r="T79" s="3693" t="s">
        <v>150</v>
      </c>
      <c r="U79" s="3693" t="s">
        <v>150</v>
      </c>
      <c r="V79" s="3693" t="s">
        <v>150</v>
      </c>
      <c r="W79" s="3693" t="s">
        <v>150</v>
      </c>
      <c r="X79" s="3347"/>
      <c r="Y79" s="3347"/>
      <c r="Z79" s="3347"/>
      <c r="AA79" s="3347"/>
      <c r="AB79" s="3693" t="s">
        <v>150</v>
      </c>
      <c r="AC79" s="3693" t="s">
        <v>150</v>
      </c>
      <c r="AD79" s="3693" t="s">
        <v>150</v>
      </c>
      <c r="AE79" s="3693" t="s">
        <v>150</v>
      </c>
      <c r="AF79" s="3689" t="s">
        <v>237</v>
      </c>
      <c r="AG79" s="3693" t="s">
        <v>150</v>
      </c>
      <c r="AH79" s="3693" t="s">
        <v>150</v>
      </c>
      <c r="AI79" s="3693" t="s">
        <v>150</v>
      </c>
      <c r="AJ79" s="3693" t="s">
        <v>150</v>
      </c>
      <c r="AK79" s="3693" t="s">
        <v>150</v>
      </c>
      <c r="AL79" s="3693" t="s">
        <v>150</v>
      </c>
      <c r="AM79" s="3689" t="s">
        <v>237</v>
      </c>
      <c r="AN79" s="3693" t="s">
        <v>150</v>
      </c>
      <c r="AO79" s="3693" t="s">
        <v>150</v>
      </c>
      <c r="AP79" s="3693" t="s">
        <v>150</v>
      </c>
      <c r="AQ79" s="3392"/>
      <c r="AR79" s="2750">
        <f t="shared" si="27"/>
        <v>18</v>
      </c>
      <c r="AS79" s="2751">
        <f t="shared" si="22"/>
        <v>3</v>
      </c>
      <c r="AT79" s="2750">
        <f t="shared" si="23"/>
        <v>0</v>
      </c>
      <c r="AU79" s="2751">
        <f t="shared" si="24"/>
        <v>0</v>
      </c>
      <c r="AV79" s="2766">
        <f t="shared" si="25"/>
        <v>21</v>
      </c>
      <c r="AW79" s="2744"/>
      <c r="AX79" s="2755" t="b">
        <f t="shared" si="26"/>
        <v>0</v>
      </c>
      <c r="AY79" s="2745"/>
      <c r="BG79" s="2767"/>
    </row>
    <row r="80" spans="1:60" ht="33" customHeight="1">
      <c r="A80" s="2742" t="e">
        <f>#REF!*#REF!+#REF!*#REF!</f>
        <v>#REF!</v>
      </c>
      <c r="B80" s="2743" t="e">
        <f>IF(#REF!&gt;15,40,IF(#REF!&gt;12,35,IF(#REF!&gt;9,30,25)))</f>
        <v>#REF!</v>
      </c>
      <c r="C80" s="2744" t="s">
        <v>92</v>
      </c>
      <c r="D80" s="2744">
        <f t="shared" si="7"/>
        <v>50</v>
      </c>
      <c r="E80" s="2745" t="e">
        <f t="shared" si="8"/>
        <v>#REF!</v>
      </c>
      <c r="F80" s="2739" t="e">
        <f t="shared" si="9"/>
        <v>#REF!</v>
      </c>
      <c r="G80" s="2746">
        <f>('[8]LÁT A'!N54+'[8]LÁT D'!N54+'[8]LÁT C'!N54+'[8]LÁT B'!N54)*0.4+'[8]MỦ DÂY'!AH54*0.5</f>
        <v>0</v>
      </c>
      <c r="H80" s="2745" t="e">
        <f>G80*IF(F80="A",#REF!,IF(F80="B",#REF!,IF(F80="C",#REF!,#REF!)))</f>
        <v>#REF!</v>
      </c>
      <c r="I80" s="2747" t="e">
        <f t="shared" si="10"/>
        <v>#REF!</v>
      </c>
      <c r="J80" s="2748">
        <v>66</v>
      </c>
      <c r="K80" s="2768">
        <v>10</v>
      </c>
      <c r="L80" s="2765" t="s">
        <v>756</v>
      </c>
      <c r="M80" s="3691"/>
      <c r="N80" s="3692"/>
      <c r="O80" s="3692"/>
      <c r="P80" s="3347"/>
      <c r="Q80" s="3694"/>
      <c r="R80" s="3347"/>
      <c r="S80" s="3347"/>
      <c r="T80" s="3347"/>
      <c r="U80" s="3347"/>
      <c r="V80" s="3347"/>
      <c r="W80" s="3347"/>
      <c r="X80" s="3347"/>
      <c r="Y80" s="3347"/>
      <c r="Z80" s="3347"/>
      <c r="AA80" s="3347"/>
      <c r="AB80" s="3347"/>
      <c r="AC80" s="3347"/>
      <c r="AD80" s="3347"/>
      <c r="AE80" s="3347"/>
      <c r="AF80" s="3347"/>
      <c r="AG80" s="3348"/>
      <c r="AH80" s="3348"/>
      <c r="AI80" s="3348"/>
      <c r="AJ80" s="3348"/>
      <c r="AK80" s="3348"/>
      <c r="AL80" s="3392"/>
      <c r="AM80" s="3347"/>
      <c r="AN80" s="3347"/>
      <c r="AO80" s="3392"/>
      <c r="AP80" s="3392"/>
      <c r="AQ80" s="3392"/>
      <c r="AR80" s="2750">
        <f t="shared" si="27"/>
        <v>0</v>
      </c>
      <c r="AS80" s="2751">
        <f t="shared" si="22"/>
        <v>0</v>
      </c>
      <c r="AT80" s="2750">
        <f t="shared" si="23"/>
        <v>0</v>
      </c>
      <c r="AU80" s="2751">
        <f t="shared" si="24"/>
        <v>0</v>
      </c>
      <c r="AV80" s="2766">
        <f t="shared" si="25"/>
        <v>0</v>
      </c>
      <c r="AW80" s="2744"/>
      <c r="AY80" s="2745"/>
      <c r="BG80" s="2767"/>
    </row>
    <row r="81" spans="1:59" ht="33" customHeight="1">
      <c r="A81" s="2742" t="e">
        <f>#REF!*#REF!+#REF!*#REF!</f>
        <v>#REF!</v>
      </c>
      <c r="B81" s="2743" t="e">
        <f>IF(#REF!&gt;15,40,IF(#REF!&gt;12,35,IF(#REF!&gt;9,30,25)))</f>
        <v>#REF!</v>
      </c>
      <c r="C81" s="2744" t="s">
        <v>92</v>
      </c>
      <c r="D81" s="2744">
        <f t="shared" si="7"/>
        <v>50</v>
      </c>
      <c r="E81" s="2745" t="e">
        <f t="shared" si="8"/>
        <v>#REF!</v>
      </c>
      <c r="F81" s="2739" t="e">
        <f t="shared" si="9"/>
        <v>#REF!</v>
      </c>
      <c r="G81" s="2746">
        <f>('[8]LÁT A'!N55+'[8]LÁT D'!N55+'[8]LÁT C'!N55+'[8]LÁT B'!N55)*0.4+'[8]MỦ DÂY'!AH55*0.5</f>
        <v>0</v>
      </c>
      <c r="H81" s="2745" t="e">
        <f>G81*IF(F81="A",#REF!,IF(F81="B",#REF!,IF(F81="C",#REF!,#REF!)))</f>
        <v>#REF!</v>
      </c>
      <c r="I81" s="2747" t="e">
        <f t="shared" si="10"/>
        <v>#REF!</v>
      </c>
      <c r="J81" s="2748">
        <v>67</v>
      </c>
      <c r="K81" s="2768">
        <v>11</v>
      </c>
      <c r="L81" s="2765" t="s">
        <v>1774</v>
      </c>
      <c r="M81" s="3691"/>
      <c r="N81" s="3692"/>
      <c r="O81" s="3692"/>
      <c r="P81" s="3347"/>
      <c r="Q81" s="3694"/>
      <c r="R81" s="3347"/>
      <c r="S81" s="3347"/>
      <c r="T81" s="3347"/>
      <c r="U81" s="3347"/>
      <c r="V81" s="3693" t="s">
        <v>150</v>
      </c>
      <c r="W81" s="3693" t="s">
        <v>150</v>
      </c>
      <c r="X81" s="3693" t="s">
        <v>150</v>
      </c>
      <c r="Y81" s="3347"/>
      <c r="Z81" s="3347"/>
      <c r="AA81" s="3347"/>
      <c r="AB81" s="3347"/>
      <c r="AC81" s="3693" t="s">
        <v>150</v>
      </c>
      <c r="AD81" s="3693" t="s">
        <v>150</v>
      </c>
      <c r="AE81" s="3693" t="s">
        <v>150</v>
      </c>
      <c r="AF81" s="3689" t="s">
        <v>237</v>
      </c>
      <c r="AG81" s="3693" t="s">
        <v>150</v>
      </c>
      <c r="AH81" s="3693" t="s">
        <v>150</v>
      </c>
      <c r="AI81" s="3693" t="s">
        <v>150</v>
      </c>
      <c r="AJ81" s="3347"/>
      <c r="AK81" s="3347"/>
      <c r="AL81" s="3693" t="s">
        <v>150</v>
      </c>
      <c r="AM81" s="3689" t="s">
        <v>237</v>
      </c>
      <c r="AN81" s="3693" t="s">
        <v>150</v>
      </c>
      <c r="AO81" s="3693" t="s">
        <v>150</v>
      </c>
      <c r="AP81" s="3693" t="s">
        <v>150</v>
      </c>
      <c r="AQ81" s="3392"/>
      <c r="AR81" s="2750">
        <f t="shared" si="27"/>
        <v>13</v>
      </c>
      <c r="AS81" s="2751">
        <f t="shared" si="22"/>
        <v>2</v>
      </c>
      <c r="AT81" s="2750">
        <f t="shared" si="23"/>
        <v>0</v>
      </c>
      <c r="AU81" s="2751">
        <f t="shared" si="24"/>
        <v>0</v>
      </c>
      <c r="AV81" s="2766">
        <f t="shared" si="25"/>
        <v>15</v>
      </c>
      <c r="AW81" s="2744"/>
      <c r="AY81" s="2745"/>
      <c r="BG81" s="2767"/>
    </row>
    <row r="82" spans="1:59" ht="33" customHeight="1">
      <c r="A82" s="2742" t="e">
        <f>#REF!*#REF!+#REF!*#REF!</f>
        <v>#REF!</v>
      </c>
      <c r="B82" s="2743"/>
      <c r="C82" s="2744"/>
      <c r="D82" s="2744"/>
      <c r="E82" s="2745"/>
      <c r="F82" s="2739"/>
      <c r="G82" s="2746"/>
      <c r="H82" s="2745"/>
      <c r="I82" s="2747"/>
      <c r="J82" s="2748">
        <v>68</v>
      </c>
      <c r="K82" s="2768">
        <v>12</v>
      </c>
      <c r="L82" s="2765" t="s">
        <v>1799</v>
      </c>
      <c r="M82" s="3691"/>
      <c r="N82" s="3692"/>
      <c r="O82" s="3692"/>
      <c r="P82" s="3347"/>
      <c r="Q82" s="3694"/>
      <c r="R82" s="3347"/>
      <c r="S82" s="3347"/>
      <c r="T82" s="3347"/>
      <c r="U82" s="3347"/>
      <c r="V82" s="3347"/>
      <c r="W82" s="3347"/>
      <c r="X82" s="3347"/>
      <c r="Y82" s="3347"/>
      <c r="Z82" s="3347"/>
      <c r="AA82" s="3347"/>
      <c r="AB82" s="3347"/>
      <c r="AC82" s="3347"/>
      <c r="AD82" s="3347"/>
      <c r="AE82" s="3347"/>
      <c r="AF82" s="3347"/>
      <c r="AG82" s="3347"/>
      <c r="AH82" s="3349"/>
      <c r="AI82" s="3349"/>
      <c r="AJ82" s="3349"/>
      <c r="AK82" s="3349"/>
      <c r="AL82" s="3347" t="s">
        <v>725</v>
      </c>
      <c r="AM82" s="3347"/>
      <c r="AN82" s="3347"/>
      <c r="AO82" s="3392"/>
      <c r="AP82" s="3693" t="s">
        <v>150</v>
      </c>
      <c r="AQ82" s="3392"/>
      <c r="AR82" s="2750">
        <f t="shared" si="27"/>
        <v>1</v>
      </c>
      <c r="AS82" s="2751">
        <f t="shared" si="22"/>
        <v>0</v>
      </c>
      <c r="AT82" s="2750">
        <f t="shared" si="23"/>
        <v>0</v>
      </c>
      <c r="AU82" s="2751">
        <f t="shared" si="24"/>
        <v>0</v>
      </c>
      <c r="AV82" s="2766">
        <f t="shared" si="25"/>
        <v>1</v>
      </c>
      <c r="AW82" s="2744"/>
      <c r="AY82" s="2745"/>
      <c r="BG82" s="2767"/>
    </row>
    <row r="83" spans="1:59" ht="33" customHeight="1">
      <c r="A83" s="2742" t="e">
        <f>#REF!*#REF!+#REF!*#REF!</f>
        <v>#REF!</v>
      </c>
      <c r="B83" s="2743"/>
      <c r="C83" s="2744"/>
      <c r="D83" s="2744"/>
      <c r="E83" s="2745"/>
      <c r="F83" s="2739"/>
      <c r="G83" s="2746"/>
      <c r="H83" s="2745"/>
      <c r="I83" s="2747"/>
      <c r="J83" s="2748">
        <v>69</v>
      </c>
      <c r="K83" s="2768">
        <v>13</v>
      </c>
      <c r="L83" s="2765" t="s">
        <v>747</v>
      </c>
      <c r="M83" s="3691"/>
      <c r="N83" s="3692"/>
      <c r="O83" s="3692"/>
      <c r="P83" s="3347"/>
      <c r="Q83" s="3693" t="s">
        <v>150</v>
      </c>
      <c r="R83" s="3347"/>
      <c r="S83" s="3347"/>
      <c r="T83" s="3347"/>
      <c r="U83" s="3347"/>
      <c r="V83" s="3347"/>
      <c r="W83" s="3693" t="s">
        <v>150</v>
      </c>
      <c r="X83" s="3693" t="s">
        <v>150</v>
      </c>
      <c r="Y83" s="3347"/>
      <c r="Z83" s="3347"/>
      <c r="AA83" s="3693" t="s">
        <v>150</v>
      </c>
      <c r="AB83" s="3347"/>
      <c r="AC83" s="3693" t="s">
        <v>150</v>
      </c>
      <c r="AD83" s="3693" t="s">
        <v>150</v>
      </c>
      <c r="AE83" s="3693" t="s">
        <v>150</v>
      </c>
      <c r="AF83" s="3689" t="s">
        <v>237</v>
      </c>
      <c r="AG83" s="3693" t="s">
        <v>150</v>
      </c>
      <c r="AH83" s="3693" t="s">
        <v>150</v>
      </c>
      <c r="AI83" s="3693" t="s">
        <v>150</v>
      </c>
      <c r="AJ83" s="3693" t="s">
        <v>150</v>
      </c>
      <c r="AK83" s="3693" t="s">
        <v>150</v>
      </c>
      <c r="AL83" s="3693" t="s">
        <v>150</v>
      </c>
      <c r="AM83" s="3689" t="s">
        <v>237</v>
      </c>
      <c r="AN83" s="3693" t="s">
        <v>150</v>
      </c>
      <c r="AO83" s="3693" t="s">
        <v>150</v>
      </c>
      <c r="AP83" s="3392"/>
      <c r="AQ83" s="3392"/>
      <c r="AR83" s="2750">
        <f t="shared" si="27"/>
        <v>15</v>
      </c>
      <c r="AS83" s="2751">
        <f t="shared" si="22"/>
        <v>2</v>
      </c>
      <c r="AT83" s="2750">
        <f t="shared" si="23"/>
        <v>0</v>
      </c>
      <c r="AU83" s="2751">
        <f t="shared" si="24"/>
        <v>0</v>
      </c>
      <c r="AV83" s="2766">
        <f t="shared" si="25"/>
        <v>17</v>
      </c>
      <c r="AW83" s="2744"/>
      <c r="AY83" s="2745"/>
      <c r="BG83" s="2767"/>
    </row>
    <row r="84" spans="1:59" ht="33" customHeight="1">
      <c r="A84" s="2742" t="e">
        <f>#REF!*#REF!+#REF!*#REF!</f>
        <v>#REF!</v>
      </c>
      <c r="B84" s="2743" t="e">
        <f>IF(#REF!&gt;15,40,IF(#REF!&gt;12,35,IF(#REF!&gt;9,30,25)))</f>
        <v>#REF!</v>
      </c>
      <c r="C84" s="2744" t="s">
        <v>92</v>
      </c>
      <c r="D84" s="2744">
        <f t="shared" si="7"/>
        <v>50</v>
      </c>
      <c r="E84" s="2745" t="e">
        <f t="shared" si="8"/>
        <v>#REF!</v>
      </c>
      <c r="F84" s="2739" t="e">
        <f t="shared" si="9"/>
        <v>#REF!</v>
      </c>
      <c r="G84" s="2746">
        <f>('[8]LÁT A'!N56+'[8]LÁT D'!N56+'[8]LÁT C'!N56+'[8]LÁT B'!N56)*0.4+'[8]MỦ DÂY'!AH56*0.5</f>
        <v>20.8</v>
      </c>
      <c r="H84" s="2745" t="e">
        <f>G84*IF(F84="A",#REF!,IF(F84="B",#REF!,IF(F84="C",#REF!,#REF!)))</f>
        <v>#REF!</v>
      </c>
      <c r="I84" s="2747" t="e">
        <f t="shared" si="10"/>
        <v>#REF!</v>
      </c>
      <c r="J84" s="2748">
        <v>70</v>
      </c>
      <c r="K84" s="2768">
        <v>14</v>
      </c>
      <c r="L84" s="2765" t="s">
        <v>1800</v>
      </c>
      <c r="M84" s="3691"/>
      <c r="N84" s="3692"/>
      <c r="O84" s="3692"/>
      <c r="P84" s="3347"/>
      <c r="Q84" s="3694"/>
      <c r="R84" s="3347"/>
      <c r="S84" s="3347"/>
      <c r="T84" s="3347"/>
      <c r="U84" s="3347"/>
      <c r="V84" s="3347"/>
      <c r="W84" s="3347"/>
      <c r="X84" s="3347"/>
      <c r="Y84" s="3347"/>
      <c r="Z84" s="3347"/>
      <c r="AA84" s="3347"/>
      <c r="AB84" s="3347"/>
      <c r="AC84" s="3347"/>
      <c r="AD84" s="3347"/>
      <c r="AE84" s="3347"/>
      <c r="AF84" s="3347"/>
      <c r="AG84" s="3347"/>
      <c r="AH84" s="3347"/>
      <c r="AI84" s="3347"/>
      <c r="AJ84" s="3347"/>
      <c r="AK84" s="3347"/>
      <c r="AL84" s="3347"/>
      <c r="AM84" s="3347"/>
      <c r="AN84" s="3347"/>
      <c r="AO84" s="3693" t="s">
        <v>150</v>
      </c>
      <c r="AP84" s="3392"/>
      <c r="AQ84" s="3392"/>
      <c r="AR84" s="2750">
        <f t="shared" si="27"/>
        <v>1</v>
      </c>
      <c r="AS84" s="2751">
        <f t="shared" si="22"/>
        <v>0</v>
      </c>
      <c r="AT84" s="2750">
        <f t="shared" si="23"/>
        <v>0</v>
      </c>
      <c r="AU84" s="2751">
        <f t="shared" si="24"/>
        <v>0</v>
      </c>
      <c r="AV84" s="2766">
        <f t="shared" si="25"/>
        <v>1</v>
      </c>
      <c r="AW84" s="2744"/>
      <c r="AY84" s="2745"/>
      <c r="BG84" s="2767"/>
    </row>
    <row r="85" spans="1:59" ht="33" customHeight="1">
      <c r="A85" s="2742"/>
      <c r="B85" s="2743"/>
      <c r="C85" s="2744"/>
      <c r="D85" s="2744"/>
      <c r="E85" s="2745"/>
      <c r="F85" s="2739"/>
      <c r="G85" s="2746"/>
      <c r="H85" s="2745"/>
      <c r="I85" s="2747"/>
      <c r="J85" s="2748">
        <v>71</v>
      </c>
      <c r="K85" s="2768">
        <v>15</v>
      </c>
      <c r="L85" s="2744" t="s">
        <v>1801</v>
      </c>
      <c r="M85" s="3691"/>
      <c r="N85" s="3692"/>
      <c r="O85" s="3692"/>
      <c r="P85" s="3347"/>
      <c r="Q85" s="3693" t="s">
        <v>150</v>
      </c>
      <c r="R85" s="3347"/>
      <c r="S85" s="3347"/>
      <c r="T85" s="3347"/>
      <c r="U85" s="3347"/>
      <c r="V85" s="3347"/>
      <c r="W85" s="3347"/>
      <c r="X85" s="3693" t="s">
        <v>150</v>
      </c>
      <c r="Y85" s="3347"/>
      <c r="Z85" s="3347"/>
      <c r="AA85" s="3347"/>
      <c r="AB85" s="3347"/>
      <c r="AC85" s="3693" t="s">
        <v>150</v>
      </c>
      <c r="AD85" s="3693" t="s">
        <v>150</v>
      </c>
      <c r="AE85" s="3693" t="s">
        <v>150</v>
      </c>
      <c r="AF85" s="3689" t="s">
        <v>237</v>
      </c>
      <c r="AG85" s="3693" t="s">
        <v>150</v>
      </c>
      <c r="AH85" s="3693" t="s">
        <v>150</v>
      </c>
      <c r="AI85" s="3693" t="s">
        <v>150</v>
      </c>
      <c r="AJ85" s="3347"/>
      <c r="AK85" s="3693" t="s">
        <v>150</v>
      </c>
      <c r="AL85" s="3693" t="s">
        <v>150</v>
      </c>
      <c r="AM85" s="3689" t="s">
        <v>237</v>
      </c>
      <c r="AN85" s="3693" t="s">
        <v>150</v>
      </c>
      <c r="AO85" s="3693" t="s">
        <v>150</v>
      </c>
      <c r="AP85" s="3693" t="s">
        <v>150</v>
      </c>
      <c r="AQ85" s="3392"/>
      <c r="AR85" s="2750">
        <f>COUNTIF(M85:AQ85,"X")</f>
        <v>13</v>
      </c>
      <c r="AS85" s="2751">
        <f>+COUNTIF(M85:AQ85,"CN")</f>
        <v>2</v>
      </c>
      <c r="AT85" s="2750">
        <f>COUNTIF(Q85:AQ85,"X1")</f>
        <v>0</v>
      </c>
      <c r="AU85" s="2751">
        <f>+COUNTIF(Q85:AS85,"CN1")</f>
        <v>0</v>
      </c>
      <c r="AV85" s="2766">
        <f t="shared" si="25"/>
        <v>15</v>
      </c>
      <c r="AW85" s="2744"/>
      <c r="AY85" s="2745"/>
      <c r="BG85" s="2767"/>
    </row>
    <row r="86" spans="1:59" s="2732" customFormat="1" ht="27" customHeight="1">
      <c r="A86" s="2742" t="e">
        <f>#REF!*#REF!+#REF!*#REF!</f>
        <v>#REF!</v>
      </c>
      <c r="B86" s="2740" t="e">
        <f t="shared" ref="B86:I86" si="28">SUM(B13:B84)</f>
        <v>#REF!</v>
      </c>
      <c r="C86" s="2740">
        <f t="shared" si="28"/>
        <v>0</v>
      </c>
      <c r="D86" s="2740">
        <f t="shared" si="28"/>
        <v>2250</v>
      </c>
      <c r="E86" s="2740" t="e">
        <f t="shared" si="28"/>
        <v>#REF!</v>
      </c>
      <c r="F86" s="2740" t="e">
        <f t="shared" si="28"/>
        <v>#REF!</v>
      </c>
      <c r="G86" s="2740">
        <f t="shared" si="28"/>
        <v>494.40000000000003</v>
      </c>
      <c r="H86" s="2740" t="e">
        <f t="shared" si="28"/>
        <v>#REF!</v>
      </c>
      <c r="I86" s="2740" t="e">
        <f t="shared" si="28"/>
        <v>#REF!</v>
      </c>
      <c r="J86" s="2748">
        <v>72</v>
      </c>
      <c r="K86" s="2768">
        <v>16</v>
      </c>
      <c r="L86" s="2769" t="s">
        <v>1802</v>
      </c>
      <c r="M86" s="3691"/>
      <c r="N86" s="3692"/>
      <c r="O86" s="3692"/>
      <c r="P86" s="3347"/>
      <c r="Q86" s="3693" t="s">
        <v>150</v>
      </c>
      <c r="R86" s="3689" t="s">
        <v>237</v>
      </c>
      <c r="S86" s="3693" t="s">
        <v>150</v>
      </c>
      <c r="T86" s="3693" t="s">
        <v>150</v>
      </c>
      <c r="U86" s="3693" t="s">
        <v>150</v>
      </c>
      <c r="V86" s="3693" t="s">
        <v>150</v>
      </c>
      <c r="W86" s="3693" t="s">
        <v>150</v>
      </c>
      <c r="X86" s="3693" t="s">
        <v>150</v>
      </c>
      <c r="Y86" s="3689" t="s">
        <v>237</v>
      </c>
      <c r="Z86" s="3347"/>
      <c r="AA86" s="3347"/>
      <c r="AB86" s="3347"/>
      <c r="AC86" s="3347"/>
      <c r="AD86" s="3347"/>
      <c r="AE86" s="3693" t="s">
        <v>150</v>
      </c>
      <c r="AF86" s="3689" t="s">
        <v>237</v>
      </c>
      <c r="AG86" s="3693" t="s">
        <v>150</v>
      </c>
      <c r="AH86" s="3693" t="s">
        <v>150</v>
      </c>
      <c r="AI86" s="3693" t="s">
        <v>150</v>
      </c>
      <c r="AJ86" s="3693" t="s">
        <v>150</v>
      </c>
      <c r="AK86" s="3693" t="s">
        <v>150</v>
      </c>
      <c r="AL86" s="3693" t="s">
        <v>150</v>
      </c>
      <c r="AM86" s="3689" t="s">
        <v>237</v>
      </c>
      <c r="AN86" s="3693" t="s">
        <v>150</v>
      </c>
      <c r="AO86" s="3693" t="s">
        <v>150</v>
      </c>
      <c r="AP86" s="3392"/>
      <c r="AQ86" s="3392"/>
      <c r="AR86" s="2750">
        <f t="shared" si="27"/>
        <v>16</v>
      </c>
      <c r="AS86" s="2751">
        <f t="shared" si="22"/>
        <v>4</v>
      </c>
      <c r="AT86" s="2750">
        <f t="shared" si="23"/>
        <v>0</v>
      </c>
      <c r="AU86" s="2751">
        <f t="shared" si="24"/>
        <v>0</v>
      </c>
      <c r="AV86" s="2766">
        <f t="shared" si="25"/>
        <v>20</v>
      </c>
      <c r="AW86" s="2739"/>
      <c r="AY86" s="2745"/>
      <c r="BG86" s="2767"/>
    </row>
    <row r="87" spans="1:59" ht="28.5" customHeight="1">
      <c r="A87" s="2742" t="e">
        <f>#REF!*#REF!+#REF!*#REF!</f>
        <v>#REF!</v>
      </c>
      <c r="J87" s="4024" t="s">
        <v>21</v>
      </c>
      <c r="K87" s="4024"/>
      <c r="L87" s="4024"/>
      <c r="M87" s="3346">
        <f t="shared" ref="M87:AV87" si="29">+M70+M50+M12</f>
        <v>0</v>
      </c>
      <c r="N87" s="3346">
        <f t="shared" si="29"/>
        <v>0</v>
      </c>
      <c r="O87" s="3346">
        <f t="shared" si="29"/>
        <v>0</v>
      </c>
      <c r="P87" s="3346">
        <f t="shared" si="29"/>
        <v>0</v>
      </c>
      <c r="Q87" s="3346">
        <f t="shared" si="29"/>
        <v>18</v>
      </c>
      <c r="R87" s="2725">
        <f t="shared" si="29"/>
        <v>21</v>
      </c>
      <c r="S87" s="3346">
        <f t="shared" si="29"/>
        <v>19</v>
      </c>
      <c r="T87" s="3346">
        <f t="shared" si="29"/>
        <v>26</v>
      </c>
      <c r="U87" s="3346">
        <f t="shared" si="29"/>
        <v>35</v>
      </c>
      <c r="V87" s="3346">
        <f t="shared" si="29"/>
        <v>41</v>
      </c>
      <c r="W87" s="3346">
        <f t="shared" si="29"/>
        <v>42</v>
      </c>
      <c r="X87" s="3346">
        <f t="shared" si="29"/>
        <v>41</v>
      </c>
      <c r="Y87" s="2725">
        <f t="shared" si="29"/>
        <v>35</v>
      </c>
      <c r="Z87" s="3346">
        <f t="shared" si="29"/>
        <v>17</v>
      </c>
      <c r="AA87" s="3346">
        <f t="shared" si="29"/>
        <v>23</v>
      </c>
      <c r="AB87" s="3346">
        <f t="shared" si="29"/>
        <v>24</v>
      </c>
      <c r="AC87" s="3346">
        <f t="shared" si="29"/>
        <v>29</v>
      </c>
      <c r="AD87" s="3346">
        <f t="shared" si="29"/>
        <v>45</v>
      </c>
      <c r="AE87" s="3346">
        <f t="shared" si="29"/>
        <v>58</v>
      </c>
      <c r="AF87" s="2725">
        <f t="shared" si="29"/>
        <v>59</v>
      </c>
      <c r="AG87" s="3346">
        <f t="shared" si="29"/>
        <v>60</v>
      </c>
      <c r="AH87" s="3346">
        <f t="shared" si="29"/>
        <v>63</v>
      </c>
      <c r="AI87" s="3346">
        <f t="shared" si="29"/>
        <v>62</v>
      </c>
      <c r="AJ87" s="3346">
        <f t="shared" si="29"/>
        <v>57</v>
      </c>
      <c r="AK87" s="3346">
        <f t="shared" si="29"/>
        <v>47</v>
      </c>
      <c r="AL87" s="3346">
        <f t="shared" si="29"/>
        <v>68</v>
      </c>
      <c r="AM87" s="2725">
        <f t="shared" si="29"/>
        <v>54</v>
      </c>
      <c r="AN87" s="3346">
        <f t="shared" si="29"/>
        <v>61</v>
      </c>
      <c r="AO87" s="3346">
        <f t="shared" si="29"/>
        <v>70</v>
      </c>
      <c r="AP87" s="3346">
        <f t="shared" si="29"/>
        <v>67</v>
      </c>
      <c r="AQ87" s="3346"/>
      <c r="AR87" s="2770">
        <f t="shared" si="29"/>
        <v>954</v>
      </c>
      <c r="AS87" s="2771">
        <f t="shared" si="29"/>
        <v>168</v>
      </c>
      <c r="AT87" s="2772">
        <f t="shared" si="29"/>
        <v>19</v>
      </c>
      <c r="AU87" s="2772">
        <f t="shared" si="29"/>
        <v>1</v>
      </c>
      <c r="AV87" s="2770">
        <f t="shared" si="29"/>
        <v>1142</v>
      </c>
      <c r="AW87" s="3868"/>
      <c r="AX87" s="2770">
        <f>+AX70+AX50+AX12</f>
        <v>0</v>
      </c>
      <c r="AY87" s="2770"/>
    </row>
    <row r="88" spans="1:59" ht="20.100000000000001" customHeight="1">
      <c r="A88" s="2773" t="e">
        <f>SUM(A13:A87)</f>
        <v>#REF!</v>
      </c>
      <c r="K88" s="2774" t="s">
        <v>166</v>
      </c>
      <c r="L88" s="2774"/>
      <c r="M88" s="2775" t="s">
        <v>1119</v>
      </c>
      <c r="N88" s="2775"/>
      <c r="O88" s="2776"/>
      <c r="P88" s="2776"/>
      <c r="Q88" s="2777"/>
      <c r="R88" s="2776"/>
      <c r="S88" s="2776"/>
      <c r="T88" s="4023"/>
      <c r="U88" s="4023"/>
      <c r="V88" s="4023"/>
      <c r="W88" s="4023"/>
      <c r="X88" s="4023"/>
      <c r="Y88" s="4023"/>
      <c r="Z88" s="4023"/>
      <c r="AA88" s="4023"/>
      <c r="AB88" s="4023"/>
      <c r="AC88" s="4023"/>
      <c r="AD88" s="2778"/>
      <c r="AE88" s="2778"/>
      <c r="AF88" s="2778"/>
      <c r="AG88" s="2778"/>
      <c r="AH88" s="2779"/>
      <c r="AI88" s="2778"/>
      <c r="AJ88" s="2778"/>
      <c r="AK88" s="2778"/>
      <c r="AL88" s="2778"/>
      <c r="AM88" s="2778"/>
      <c r="AN88" s="2778"/>
      <c r="AO88" s="2778"/>
      <c r="AP88" s="2778"/>
      <c r="AQ88" s="2778"/>
      <c r="AR88" s="2780"/>
      <c r="AS88" s="2780"/>
      <c r="AT88" s="2781"/>
      <c r="AU88" s="2780"/>
      <c r="BC88" s="3695"/>
    </row>
    <row r="89" spans="1:59" ht="20.100000000000001" customHeight="1">
      <c r="A89" s="2782"/>
      <c r="K89" s="2783"/>
      <c r="L89" s="2783"/>
      <c r="M89" s="3869" t="s">
        <v>1120</v>
      </c>
      <c r="N89" s="3869"/>
      <c r="O89" s="3869"/>
      <c r="P89" s="3869"/>
      <c r="Q89" s="3869"/>
      <c r="R89" s="3869"/>
      <c r="S89" s="3869"/>
      <c r="T89" s="4029"/>
      <c r="U89" s="4029"/>
      <c r="V89" s="4029"/>
      <c r="W89" s="4029"/>
      <c r="X89" s="4029"/>
      <c r="Y89" s="4029"/>
      <c r="Z89" s="4029"/>
      <c r="AA89" s="4029"/>
      <c r="AB89" s="4029"/>
      <c r="AC89" s="4029"/>
      <c r="AD89" s="3869"/>
      <c r="AE89" s="3869"/>
      <c r="AF89" s="3869"/>
      <c r="AG89" s="3869"/>
      <c r="AJ89" s="3869"/>
      <c r="AK89" s="3869"/>
      <c r="AM89" s="3869"/>
      <c r="AN89" s="3869"/>
      <c r="AO89" s="3869"/>
      <c r="AP89" s="3869"/>
      <c r="AQ89" s="3869"/>
      <c r="AT89" s="3385" t="s">
        <v>1803</v>
      </c>
      <c r="AU89" s="3385"/>
      <c r="AV89" s="3385"/>
      <c r="AW89" s="3385"/>
      <c r="AY89" s="3385"/>
      <c r="AZ89" s="3695"/>
    </row>
    <row r="90" spans="1:59" ht="20.100000000000001" customHeight="1">
      <c r="A90" s="2786"/>
      <c r="K90" s="2783"/>
      <c r="L90" s="2783"/>
      <c r="M90" s="3869" t="s">
        <v>1121</v>
      </c>
      <c r="N90" s="3869"/>
      <c r="O90" s="3869"/>
      <c r="P90" s="3869"/>
      <c r="Q90" s="3869"/>
      <c r="R90" s="3869"/>
      <c r="S90" s="3869"/>
      <c r="T90" s="3869"/>
      <c r="U90" s="3869"/>
      <c r="V90" s="3869"/>
      <c r="W90" s="3869"/>
      <c r="X90" s="3869"/>
      <c r="Y90" s="3869"/>
      <c r="Z90" s="3869"/>
      <c r="AA90" s="3869"/>
      <c r="AB90" s="3869"/>
      <c r="AC90" s="3869"/>
      <c r="AD90" s="3869"/>
      <c r="AE90" s="3869"/>
      <c r="AF90" s="3869"/>
      <c r="AG90" s="3869"/>
      <c r="AJ90" s="3869"/>
      <c r="AK90" s="3869"/>
      <c r="AL90" s="3869"/>
      <c r="AM90" s="3869"/>
      <c r="AN90" s="3869"/>
      <c r="AO90" s="3869"/>
      <c r="AP90" s="3869"/>
      <c r="AQ90" s="3869"/>
      <c r="AR90" s="3385"/>
      <c r="AS90" s="3385"/>
      <c r="AT90" s="3385"/>
      <c r="AU90" s="3385"/>
      <c r="AV90" s="3385"/>
      <c r="AW90" s="3385"/>
      <c r="AY90" s="3385"/>
    </row>
    <row r="91" spans="1:59" ht="20.100000000000001" customHeight="1">
      <c r="A91" s="2786"/>
      <c r="K91" s="2783"/>
      <c r="L91" s="2783"/>
      <c r="M91" s="3869" t="s">
        <v>1118</v>
      </c>
      <c r="N91" s="3869"/>
      <c r="O91" s="3869"/>
      <c r="P91" s="3869"/>
      <c r="Q91" s="3869"/>
      <c r="R91" s="3869"/>
      <c r="S91" s="3869"/>
      <c r="T91" s="3869"/>
      <c r="U91" s="3869"/>
      <c r="V91" s="3869"/>
      <c r="W91" s="3869"/>
      <c r="X91" s="3869"/>
      <c r="Y91" s="3869"/>
      <c r="Z91" s="3869"/>
      <c r="AA91" s="3869"/>
      <c r="AB91" s="3869"/>
      <c r="AC91" s="3869"/>
      <c r="AD91" s="3869"/>
      <c r="AE91" s="3869"/>
      <c r="AF91" s="3869"/>
      <c r="AG91" s="3869"/>
      <c r="AJ91" s="3869"/>
      <c r="AK91" s="3869"/>
      <c r="AL91" s="3869"/>
      <c r="AM91" s="3869"/>
      <c r="AN91" s="3869"/>
      <c r="AO91" s="3869"/>
      <c r="AP91" s="3869"/>
      <c r="AQ91" s="3869"/>
      <c r="AR91" s="3385"/>
      <c r="AS91" s="3385"/>
      <c r="AT91" s="3385"/>
      <c r="AU91" s="3385"/>
      <c r="AV91" s="3385"/>
      <c r="AW91" s="3385"/>
      <c r="AY91" s="3385"/>
      <c r="AZ91" s="2730" t="s">
        <v>1804</v>
      </c>
    </row>
    <row r="92" spans="1:59" s="2732" customFormat="1" ht="20.100000000000001" customHeight="1">
      <c r="A92" s="2787"/>
      <c r="E92" s="2734"/>
      <c r="G92" s="2733"/>
      <c r="H92" s="2734"/>
      <c r="I92" s="2734"/>
      <c r="J92" s="2731"/>
      <c r="K92" s="3864"/>
      <c r="L92" s="3447"/>
      <c r="M92" s="3448"/>
      <c r="N92" s="3448" t="s">
        <v>46</v>
      </c>
      <c r="O92" s="3448"/>
      <c r="P92" s="3448"/>
      <c r="Q92" s="3865"/>
      <c r="R92" s="3865"/>
      <c r="S92" s="2670"/>
      <c r="T92" s="2670"/>
      <c r="U92" s="2670"/>
      <c r="V92" s="2670"/>
      <c r="W92" s="2670"/>
      <c r="X92" s="2670"/>
      <c r="Y92" s="2670"/>
      <c r="Z92" s="2788"/>
      <c r="AA92" s="3870"/>
      <c r="AB92" s="3448"/>
      <c r="AC92" s="3870" t="s">
        <v>1144</v>
      </c>
      <c r="AD92" s="3448"/>
      <c r="AE92" s="3448"/>
      <c r="AF92" s="3448"/>
      <c r="AG92" s="3865"/>
      <c r="AH92" s="2789"/>
      <c r="AI92" s="2788"/>
      <c r="AJ92" s="3865"/>
      <c r="AK92" s="3865"/>
      <c r="AL92" s="3865"/>
      <c r="AM92" s="3865"/>
      <c r="AN92" s="2788"/>
      <c r="AO92" s="2670"/>
      <c r="AP92" s="2670"/>
      <c r="AQ92" s="2670"/>
      <c r="AR92" s="3870"/>
      <c r="AT92" s="3870" t="s">
        <v>1104</v>
      </c>
      <c r="AU92" s="3447"/>
    </row>
    <row r="93" spans="1:59">
      <c r="A93" s="2786"/>
      <c r="K93" s="3872"/>
      <c r="L93" s="3872"/>
      <c r="M93" s="2671"/>
      <c r="N93" s="2671"/>
      <c r="O93" s="2671"/>
      <c r="P93" s="2671"/>
      <c r="Q93" s="2671"/>
      <c r="R93" s="2671"/>
      <c r="S93" s="2671"/>
      <c r="T93" s="2671"/>
      <c r="U93" s="2671"/>
      <c r="V93" s="2671"/>
      <c r="W93" s="2671"/>
      <c r="X93" s="2671"/>
      <c r="Y93" s="2671"/>
      <c r="Z93" s="2671"/>
      <c r="AA93" s="2671"/>
      <c r="AB93" s="2671"/>
      <c r="AC93" s="2671"/>
      <c r="AD93" s="2671"/>
      <c r="AE93" s="2671"/>
      <c r="AF93" s="2671"/>
      <c r="AG93" s="2671"/>
      <c r="AH93" s="2724"/>
      <c r="AI93" s="2671"/>
      <c r="AJ93" s="2671"/>
      <c r="AK93" s="2671"/>
      <c r="AL93" s="2671"/>
      <c r="AM93" s="2671"/>
      <c r="AN93" s="2671"/>
      <c r="AO93" s="2671"/>
      <c r="AP93" s="2671"/>
      <c r="AQ93" s="2671"/>
      <c r="AR93" s="3872"/>
      <c r="AS93" s="3872"/>
      <c r="AT93" s="3872"/>
      <c r="AU93" s="3872"/>
    </row>
    <row r="94" spans="1:59">
      <c r="A94" s="3872"/>
      <c r="K94" s="3872"/>
      <c r="L94" s="3872"/>
      <c r="M94" s="2671"/>
      <c r="N94" s="2671"/>
      <c r="O94" s="2671"/>
      <c r="P94" s="2671"/>
      <c r="Q94" s="2671"/>
      <c r="R94" s="2671"/>
      <c r="S94" s="2671"/>
      <c r="T94" s="2671"/>
      <c r="U94" s="2671"/>
      <c r="V94" s="2671"/>
      <c r="W94" s="2671"/>
      <c r="X94" s="2671"/>
      <c r="Y94" s="2671"/>
      <c r="Z94" s="2671"/>
      <c r="AA94" s="2671"/>
      <c r="AB94" s="2671"/>
      <c r="AC94" s="2671"/>
      <c r="AD94" s="2671"/>
      <c r="AE94" s="2671"/>
      <c r="AF94" s="2671"/>
      <c r="AG94" s="2671"/>
      <c r="AH94" s="2724"/>
      <c r="AI94" s="2671"/>
      <c r="AJ94" s="2671"/>
      <c r="AK94" s="2671"/>
      <c r="AL94" s="2671"/>
      <c r="AM94" s="2671"/>
      <c r="AN94" s="2671"/>
      <c r="AO94" s="2671"/>
      <c r="AP94" s="2671"/>
      <c r="AQ94" s="2671"/>
      <c r="AR94" s="3872"/>
      <c r="AS94" s="3872"/>
      <c r="AT94" s="3872"/>
      <c r="AU94" s="3872"/>
    </row>
    <row r="95" spans="1:59">
      <c r="A95" s="3872"/>
      <c r="K95" s="3872"/>
      <c r="L95" s="3872"/>
      <c r="M95" s="2671"/>
      <c r="N95" s="2671"/>
      <c r="O95" s="2671"/>
      <c r="P95" s="2671"/>
      <c r="Q95" s="2671"/>
      <c r="R95" s="2671"/>
      <c r="S95" s="2671"/>
      <c r="T95" s="2671"/>
      <c r="U95" s="2671"/>
      <c r="V95" s="2671"/>
      <c r="W95" s="2671"/>
      <c r="X95" s="2671"/>
      <c r="Y95" s="2671"/>
      <c r="Z95" s="2671"/>
      <c r="AA95" s="2671"/>
      <c r="AB95" s="2671"/>
      <c r="AC95" s="2671"/>
      <c r="AD95" s="2671"/>
      <c r="AE95" s="2671"/>
      <c r="AF95" s="2671"/>
      <c r="AG95" s="2671"/>
      <c r="AH95" s="2724"/>
      <c r="AI95" s="2671"/>
      <c r="AJ95" s="2671"/>
      <c r="AK95" s="2671"/>
      <c r="AL95" s="2671"/>
      <c r="AM95" s="2671"/>
      <c r="AN95" s="2671"/>
      <c r="AO95" s="2671"/>
      <c r="AP95" s="2671"/>
      <c r="AQ95" s="2671"/>
      <c r="AR95" s="3872"/>
      <c r="AS95" s="3872"/>
      <c r="AT95" s="3872"/>
      <c r="AU95" s="3872"/>
    </row>
    <row r="96" spans="1:59">
      <c r="A96" s="3872"/>
      <c r="K96" s="3872"/>
      <c r="L96" s="3872"/>
      <c r="M96" s="2671"/>
      <c r="N96" s="2671"/>
      <c r="O96" s="2671"/>
      <c r="P96" s="2671"/>
      <c r="Q96" s="2671"/>
      <c r="R96" s="2790"/>
      <c r="S96" s="2671"/>
      <c r="T96" s="2671"/>
      <c r="U96" s="2671"/>
      <c r="V96" s="2671"/>
      <c r="W96" s="2671"/>
      <c r="X96" s="2671"/>
      <c r="Y96" s="2671"/>
      <c r="Z96" s="2671"/>
      <c r="AA96" s="2671"/>
      <c r="AB96" s="2671"/>
      <c r="AC96" s="2671"/>
      <c r="AD96" s="2671"/>
      <c r="AE96" s="2671"/>
      <c r="AF96" s="2671"/>
      <c r="AG96" s="2671"/>
      <c r="AH96" s="2724"/>
      <c r="AI96" s="2671"/>
      <c r="AJ96" s="2671"/>
      <c r="AK96" s="2671"/>
      <c r="AL96" s="2671"/>
      <c r="AM96" s="2671"/>
      <c r="AN96" s="2671"/>
      <c r="AO96" s="2671"/>
      <c r="AP96" s="2671"/>
      <c r="AQ96" s="2791"/>
      <c r="AR96" s="2791"/>
      <c r="AT96" s="2791"/>
      <c r="AU96" s="2791"/>
    </row>
    <row r="97" spans="1:51">
      <c r="A97" s="3872"/>
      <c r="K97" s="3872"/>
      <c r="L97" s="3872"/>
      <c r="M97" s="2671"/>
      <c r="N97" s="2671"/>
      <c r="O97" s="2671"/>
      <c r="P97" s="2671"/>
      <c r="Q97" s="2671"/>
      <c r="R97" s="2671"/>
      <c r="S97" s="2671"/>
      <c r="T97" s="2671"/>
      <c r="U97" s="2671"/>
      <c r="V97" s="2671"/>
      <c r="W97" s="2671"/>
      <c r="X97" s="2671"/>
      <c r="Y97" s="2671"/>
      <c r="Z97" s="2671"/>
      <c r="AA97" s="2671"/>
      <c r="AB97" s="2671"/>
      <c r="AC97" s="2671"/>
      <c r="AD97" s="2671"/>
      <c r="AE97" s="2671"/>
      <c r="AF97" s="2671"/>
      <c r="AG97" s="2671"/>
      <c r="AH97" s="2724"/>
      <c r="AI97" s="2671"/>
      <c r="AJ97" s="2671"/>
      <c r="AK97" s="2671"/>
      <c r="AL97" s="2671"/>
      <c r="AM97" s="2671"/>
      <c r="AN97" s="2671"/>
      <c r="AO97" s="2671"/>
      <c r="AP97" s="2671"/>
      <c r="AQ97" s="2671"/>
      <c r="AR97" s="3872"/>
      <c r="AT97" s="3872"/>
      <c r="AU97" s="3872"/>
    </row>
    <row r="98" spans="1:51" ht="18.75">
      <c r="A98" s="3872"/>
      <c r="K98" s="3872"/>
      <c r="L98" s="3872"/>
      <c r="M98" s="2671"/>
      <c r="N98" s="2671"/>
      <c r="O98" s="2671"/>
      <c r="P98" s="2671"/>
      <c r="Q98" s="2671"/>
      <c r="R98" s="2671"/>
      <c r="S98" s="2671"/>
      <c r="T98" s="2671"/>
      <c r="U98" s="2671"/>
      <c r="V98" s="2671"/>
      <c r="W98" s="2671"/>
      <c r="X98" s="2671"/>
      <c r="Y98" s="2671"/>
      <c r="Z98" s="2671"/>
      <c r="AA98" s="2671"/>
      <c r="AB98" s="2671"/>
      <c r="AC98" s="2671"/>
      <c r="AD98" s="2671"/>
      <c r="AE98" s="2671"/>
      <c r="AF98" s="2671"/>
      <c r="AG98" s="2671"/>
      <c r="AH98" s="2724"/>
      <c r="AI98" s="2671"/>
      <c r="AJ98" s="2671"/>
      <c r="AK98" s="2671"/>
      <c r="AL98" s="2671"/>
      <c r="AM98" s="2671"/>
      <c r="AN98" s="2671"/>
      <c r="AO98" s="2671"/>
      <c r="AP98" s="2671"/>
      <c r="AQ98" s="2671"/>
      <c r="AT98" s="3870" t="s">
        <v>1010</v>
      </c>
      <c r="AU98" s="3872"/>
    </row>
    <row r="99" spans="1:51" ht="18.75">
      <c r="A99" s="3872"/>
      <c r="K99" s="3872"/>
      <c r="L99" s="3872"/>
      <c r="M99" s="2671"/>
      <c r="N99" s="2671"/>
      <c r="O99" s="2671"/>
      <c r="P99" s="2671"/>
      <c r="Q99" s="2671"/>
      <c r="R99" s="2671"/>
      <c r="S99" s="2671"/>
      <c r="T99" s="2671"/>
      <c r="U99" s="2671"/>
      <c r="V99" s="2671"/>
      <c r="W99" s="2671"/>
      <c r="X99" s="2671"/>
      <c r="Y99" s="2671"/>
      <c r="Z99" s="2671"/>
      <c r="AA99" s="2671"/>
      <c r="AB99" s="2671"/>
      <c r="AC99" s="2671"/>
      <c r="AD99" s="2671"/>
      <c r="AE99" s="2671"/>
      <c r="AF99" s="2671"/>
      <c r="AG99" s="2671"/>
      <c r="AH99" s="2724"/>
      <c r="AI99" s="2671"/>
      <c r="AJ99" s="2671"/>
      <c r="AK99" s="2671"/>
      <c r="AL99" s="2671"/>
      <c r="AM99" s="2671"/>
      <c r="AN99" s="2792"/>
      <c r="AO99" s="2792"/>
      <c r="AP99" s="2792"/>
      <c r="AQ99" s="2792"/>
      <c r="AR99" s="2792"/>
      <c r="AS99" s="3449"/>
      <c r="AT99" s="2792"/>
      <c r="AU99" s="3872"/>
    </row>
    <row r="100" spans="1:51">
      <c r="A100" s="3872"/>
      <c r="K100" s="3872"/>
      <c r="L100" s="3872"/>
      <c r="M100" s="2671"/>
      <c r="N100" s="2671"/>
      <c r="O100" s="2671"/>
      <c r="P100" s="2671"/>
      <c r="Q100" s="2671"/>
      <c r="R100" s="2671"/>
      <c r="S100" s="2671"/>
      <c r="T100" s="2671"/>
      <c r="U100" s="2671"/>
      <c r="V100" s="2671"/>
      <c r="W100" s="2671"/>
      <c r="X100" s="2671"/>
      <c r="Y100" s="2671"/>
      <c r="Z100" s="2671"/>
      <c r="AA100" s="2671"/>
      <c r="AB100" s="2671"/>
      <c r="AC100" s="2671"/>
      <c r="AD100" s="2671"/>
      <c r="AE100" s="2671"/>
      <c r="AF100" s="2671"/>
      <c r="AG100" s="2671"/>
      <c r="AH100" s="2724"/>
      <c r="AI100" s="2671"/>
      <c r="AJ100" s="2671"/>
      <c r="AK100" s="2671"/>
      <c r="AL100" s="2671"/>
      <c r="AM100" s="2671"/>
      <c r="AN100" s="2671"/>
      <c r="AO100" s="2671"/>
      <c r="AP100" s="2671"/>
      <c r="AQ100" s="2671"/>
      <c r="AR100" s="3872"/>
      <c r="AS100" s="3872"/>
      <c r="AT100" s="3872"/>
      <c r="AU100" s="3872"/>
    </row>
    <row r="101" spans="1:51">
      <c r="A101" s="3872"/>
      <c r="K101" s="3872"/>
      <c r="L101" s="3872"/>
      <c r="M101" s="2671"/>
      <c r="N101" s="2671"/>
      <c r="O101" s="2671"/>
      <c r="P101" s="2671"/>
      <c r="Q101" s="2671"/>
      <c r="R101" s="2671"/>
      <c r="S101" s="2671"/>
      <c r="T101" s="2671"/>
      <c r="U101" s="2671"/>
      <c r="V101" s="2671"/>
      <c r="W101" s="2671"/>
      <c r="X101" s="2671"/>
      <c r="Y101" s="2671"/>
      <c r="Z101" s="2671"/>
      <c r="AA101" s="2671"/>
      <c r="AB101" s="2671"/>
      <c r="AC101" s="2671"/>
      <c r="AD101" s="2671"/>
      <c r="AE101" s="2671"/>
      <c r="AF101" s="2671"/>
      <c r="AG101" s="2671"/>
      <c r="AH101" s="2724"/>
      <c r="AI101" s="2671"/>
      <c r="AJ101" s="2671"/>
      <c r="AK101" s="2671"/>
      <c r="AL101" s="2671"/>
      <c r="AM101" s="2671"/>
      <c r="AN101" s="2671"/>
      <c r="AO101" s="2671"/>
      <c r="AP101" s="2671"/>
      <c r="AQ101" s="2671"/>
      <c r="AR101" s="3872"/>
      <c r="AS101" s="3872"/>
      <c r="AT101" s="3872"/>
      <c r="AU101" s="3872"/>
      <c r="AV101" s="2730"/>
      <c r="AY101" s="2730"/>
    </row>
    <row r="102" spans="1:51">
      <c r="A102" s="3872"/>
      <c r="K102" s="3872"/>
      <c r="L102" s="3872"/>
      <c r="M102" s="2671"/>
      <c r="N102" s="2671"/>
      <c r="O102" s="2671"/>
      <c r="P102" s="2671"/>
      <c r="Q102" s="2671"/>
      <c r="R102" s="2671"/>
      <c r="S102" s="2671"/>
      <c r="T102" s="2671"/>
      <c r="U102" s="2671"/>
      <c r="V102" s="2671"/>
      <c r="W102" s="2671"/>
      <c r="X102" s="2671"/>
      <c r="Y102" s="2671"/>
      <c r="Z102" s="2671"/>
      <c r="AA102" s="2671"/>
      <c r="AB102" s="2671"/>
      <c r="AC102" s="2671"/>
      <c r="AD102" s="2671"/>
      <c r="AE102" s="2671"/>
      <c r="AF102" s="2671"/>
      <c r="AG102" s="2671"/>
      <c r="AH102" s="2724"/>
      <c r="AI102" s="2671"/>
      <c r="AJ102" s="2671"/>
      <c r="AK102" s="2671"/>
      <c r="AL102" s="2671"/>
      <c r="AM102" s="2671"/>
      <c r="AN102" s="2671"/>
      <c r="AO102" s="2671"/>
      <c r="AP102" s="2671"/>
      <c r="AQ102" s="2671"/>
      <c r="AR102" s="3872"/>
      <c r="AS102" s="3872"/>
      <c r="AT102" s="3872"/>
      <c r="AU102" s="3872"/>
      <c r="AV102" s="2730"/>
      <c r="AY102" s="2730"/>
    </row>
    <row r="103" spans="1:51">
      <c r="A103" s="3872"/>
      <c r="K103" s="3872"/>
      <c r="L103" s="3872"/>
      <c r="M103" s="2671"/>
      <c r="N103" s="2671"/>
      <c r="O103" s="2671"/>
      <c r="P103" s="2671"/>
      <c r="Q103" s="2671"/>
      <c r="R103" s="2671"/>
      <c r="S103" s="2671"/>
      <c r="T103" s="2671"/>
      <c r="U103" s="2671"/>
      <c r="V103" s="2671"/>
      <c r="W103" s="2671"/>
      <c r="X103" s="2671"/>
      <c r="Y103" s="2671"/>
      <c r="Z103" s="2671"/>
      <c r="AA103" s="2671"/>
      <c r="AB103" s="2671"/>
      <c r="AC103" s="2671"/>
      <c r="AD103" s="2671"/>
      <c r="AE103" s="2671"/>
      <c r="AF103" s="2671"/>
      <c r="AG103" s="2671"/>
      <c r="AH103" s="2724"/>
      <c r="AI103" s="2671"/>
      <c r="AJ103" s="2671"/>
      <c r="AK103" s="2671"/>
      <c r="AL103" s="2671"/>
      <c r="AM103" s="2671"/>
      <c r="AN103" s="2671"/>
      <c r="AO103" s="2671"/>
      <c r="AP103" s="2671"/>
      <c r="AQ103" s="2671"/>
      <c r="AR103" s="3872"/>
      <c r="AS103" s="3872"/>
      <c r="AT103" s="3872"/>
      <c r="AU103" s="3872"/>
      <c r="AV103" s="2730"/>
      <c r="AY103" s="2730"/>
    </row>
    <row r="104" spans="1:51">
      <c r="A104" s="3872"/>
      <c r="K104" s="3872"/>
      <c r="L104" s="3872"/>
      <c r="M104" s="2671"/>
      <c r="N104" s="2671"/>
      <c r="O104" s="2671"/>
      <c r="P104" s="2671"/>
      <c r="Q104" s="2671"/>
      <c r="R104" s="2671"/>
      <c r="S104" s="2671"/>
      <c r="T104" s="2671"/>
      <c r="U104" s="2671"/>
      <c r="V104" s="2671"/>
      <c r="W104" s="2671"/>
      <c r="X104" s="2671"/>
      <c r="Y104" s="2671"/>
      <c r="Z104" s="2671"/>
      <c r="AA104" s="2671"/>
      <c r="AB104" s="2671"/>
      <c r="AC104" s="2671"/>
      <c r="AD104" s="2671"/>
      <c r="AE104" s="2671"/>
      <c r="AF104" s="2671"/>
      <c r="AG104" s="2671"/>
      <c r="AH104" s="2724"/>
      <c r="AI104" s="2671"/>
      <c r="AJ104" s="2671"/>
      <c r="AK104" s="2671"/>
      <c r="AL104" s="2671"/>
      <c r="AM104" s="2671"/>
      <c r="AN104" s="2671"/>
      <c r="AO104" s="2671"/>
      <c r="AP104" s="2671"/>
      <c r="AQ104" s="2671"/>
      <c r="AR104" s="3872"/>
      <c r="AS104" s="3872"/>
      <c r="AT104" s="3872"/>
      <c r="AU104" s="3872"/>
      <c r="AV104" s="2730"/>
      <c r="AY104" s="2730"/>
    </row>
    <row r="105" spans="1:51">
      <c r="A105" s="3872"/>
      <c r="K105" s="3872"/>
      <c r="L105" s="3872"/>
      <c r="M105" s="2671"/>
      <c r="N105" s="2671"/>
      <c r="O105" s="2671"/>
      <c r="P105" s="2671"/>
      <c r="Q105" s="2671"/>
      <c r="R105" s="2671"/>
      <c r="S105" s="2671"/>
      <c r="T105" s="2671"/>
      <c r="U105" s="2671"/>
      <c r="V105" s="2671"/>
      <c r="W105" s="2671"/>
      <c r="X105" s="2671"/>
      <c r="Y105" s="2671"/>
      <c r="Z105" s="2671"/>
      <c r="AA105" s="2671"/>
      <c r="AB105" s="2671"/>
      <c r="AC105" s="2671"/>
      <c r="AD105" s="2671"/>
      <c r="AE105" s="2671"/>
      <c r="AF105" s="2671"/>
      <c r="AG105" s="2671"/>
      <c r="AH105" s="2724"/>
      <c r="AI105" s="2671"/>
      <c r="AJ105" s="2671"/>
      <c r="AK105" s="2671"/>
      <c r="AL105" s="2671"/>
      <c r="AM105" s="2671"/>
      <c r="AN105" s="2671"/>
      <c r="AO105" s="2671"/>
      <c r="AP105" s="2671"/>
      <c r="AQ105" s="2671"/>
      <c r="AR105" s="3872"/>
      <c r="AS105" s="3872"/>
      <c r="AT105" s="3872"/>
      <c r="AU105" s="3872"/>
      <c r="AV105" s="2730"/>
      <c r="AY105" s="2730"/>
    </row>
    <row r="106" spans="1:51">
      <c r="A106" s="3872"/>
      <c r="K106" s="2783"/>
      <c r="L106" s="2783"/>
      <c r="M106" s="2793"/>
      <c r="N106" s="2793"/>
      <c r="O106" s="2793"/>
      <c r="P106" s="2793"/>
      <c r="Q106" s="2793"/>
      <c r="R106" s="2793"/>
      <c r="S106" s="2793"/>
      <c r="T106" s="2793"/>
      <c r="U106" s="2793"/>
      <c r="V106" s="2793"/>
      <c r="W106" s="2793"/>
      <c r="X106" s="2793"/>
      <c r="Y106" s="2793"/>
      <c r="Z106" s="2793"/>
      <c r="AA106" s="2793"/>
      <c r="AB106" s="2793"/>
      <c r="AC106" s="2793"/>
      <c r="AD106" s="2793"/>
      <c r="AE106" s="2793"/>
      <c r="AF106" s="2793"/>
      <c r="AG106" s="2793"/>
      <c r="AH106" s="2794"/>
      <c r="AI106" s="2793"/>
      <c r="AJ106" s="2793"/>
      <c r="AK106" s="2793"/>
      <c r="AL106" s="2793"/>
      <c r="AM106" s="2793"/>
      <c r="AN106" s="2793"/>
      <c r="AO106" s="2793"/>
      <c r="AP106" s="2793"/>
      <c r="AQ106" s="2793"/>
      <c r="AR106" s="2783"/>
      <c r="AS106" s="2783"/>
      <c r="AT106" s="2783"/>
      <c r="AU106" s="2783"/>
      <c r="AV106" s="2730"/>
      <c r="AY106" s="2730"/>
    </row>
    <row r="107" spans="1:51">
      <c r="A107" s="2795"/>
      <c r="K107" s="2783"/>
      <c r="L107" s="2783"/>
      <c r="M107" s="2793"/>
      <c r="N107" s="2793"/>
      <c r="O107" s="2793"/>
      <c r="P107" s="2793"/>
      <c r="Q107" s="2793"/>
      <c r="R107" s="2793"/>
      <c r="S107" s="2793"/>
      <c r="T107" s="2793"/>
      <c r="U107" s="2793"/>
      <c r="V107" s="2793"/>
      <c r="W107" s="2793"/>
      <c r="X107" s="2793"/>
      <c r="Y107" s="2793"/>
      <c r="Z107" s="2793"/>
      <c r="AA107" s="2793"/>
      <c r="AB107" s="2793"/>
      <c r="AC107" s="2793"/>
      <c r="AD107" s="2793"/>
      <c r="AE107" s="2793"/>
      <c r="AF107" s="2793"/>
      <c r="AG107" s="2793"/>
      <c r="AH107" s="2794"/>
      <c r="AI107" s="2793"/>
      <c r="AJ107" s="2793"/>
      <c r="AK107" s="2793"/>
      <c r="AL107" s="2793"/>
      <c r="AM107" s="2793"/>
      <c r="AN107" s="2793"/>
      <c r="AO107" s="2793"/>
      <c r="AP107" s="2793"/>
      <c r="AQ107" s="2793"/>
      <c r="AR107" s="2783"/>
      <c r="AS107" s="2783"/>
      <c r="AT107" s="2783"/>
      <c r="AU107" s="2783"/>
      <c r="AV107" s="2730"/>
      <c r="AY107" s="2730"/>
    </row>
    <row r="108" spans="1:51">
      <c r="A108" s="2795"/>
      <c r="K108" s="2783"/>
      <c r="L108" s="2783"/>
      <c r="M108" s="2793"/>
      <c r="N108" s="2793"/>
      <c r="O108" s="2793"/>
      <c r="P108" s="2793"/>
      <c r="Q108" s="2793"/>
      <c r="R108" s="2793"/>
      <c r="S108" s="2793"/>
      <c r="T108" s="2793"/>
      <c r="U108" s="2793"/>
      <c r="V108" s="2793"/>
      <c r="W108" s="2793"/>
      <c r="X108" s="2793"/>
      <c r="Y108" s="2793"/>
      <c r="Z108" s="2793"/>
      <c r="AA108" s="2793"/>
      <c r="AB108" s="2793"/>
      <c r="AC108" s="2793"/>
      <c r="AD108" s="2793"/>
      <c r="AE108" s="2793"/>
      <c r="AF108" s="2793"/>
      <c r="AG108" s="2793"/>
      <c r="AH108" s="2794"/>
      <c r="AI108" s="2793"/>
      <c r="AJ108" s="2793"/>
      <c r="AK108" s="2793"/>
      <c r="AL108" s="2793"/>
      <c r="AM108" s="2793"/>
      <c r="AN108" s="2793"/>
      <c r="AO108" s="2793"/>
      <c r="AP108" s="2793"/>
      <c r="AQ108" s="2793"/>
      <c r="AR108" s="2783"/>
      <c r="AS108" s="2783"/>
      <c r="AT108" s="2783"/>
      <c r="AU108" s="2783"/>
      <c r="AV108" s="2730"/>
      <c r="AY108" s="2730"/>
    </row>
    <row r="109" spans="1:51">
      <c r="A109" s="2795"/>
      <c r="K109" s="2783"/>
      <c r="L109" s="2783"/>
      <c r="M109" s="2793"/>
      <c r="N109" s="2793"/>
      <c r="O109" s="2793"/>
      <c r="P109" s="2793"/>
      <c r="Q109" s="2793"/>
      <c r="R109" s="2793"/>
      <c r="S109" s="2793"/>
      <c r="T109" s="2793"/>
      <c r="U109" s="2793"/>
      <c r="V109" s="2793"/>
      <c r="W109" s="2793"/>
      <c r="X109" s="2793"/>
      <c r="Y109" s="2793"/>
      <c r="Z109" s="2793"/>
      <c r="AA109" s="2793"/>
      <c r="AB109" s="2793"/>
      <c r="AC109" s="2793"/>
      <c r="AD109" s="2793"/>
      <c r="AE109" s="2793"/>
      <c r="AF109" s="2793"/>
      <c r="AG109" s="2793"/>
      <c r="AH109" s="2794"/>
      <c r="AI109" s="2793"/>
      <c r="AJ109" s="2793"/>
      <c r="AK109" s="2793"/>
      <c r="AL109" s="2793"/>
      <c r="AM109" s="2793"/>
      <c r="AN109" s="2793"/>
      <c r="AO109" s="2793"/>
      <c r="AP109" s="2793"/>
      <c r="AQ109" s="2793"/>
      <c r="AR109" s="2783"/>
      <c r="AS109" s="2783"/>
      <c r="AT109" s="2783"/>
      <c r="AU109" s="2783"/>
      <c r="AV109" s="2730"/>
      <c r="AY109" s="2730"/>
    </row>
    <row r="110" spans="1:51">
      <c r="A110" s="2795"/>
      <c r="K110" s="2783"/>
      <c r="L110" s="2783"/>
      <c r="M110" s="2793"/>
      <c r="N110" s="2793"/>
      <c r="O110" s="2793"/>
      <c r="P110" s="2793"/>
      <c r="Q110" s="2793"/>
      <c r="R110" s="2793"/>
      <c r="S110" s="2793"/>
      <c r="T110" s="2793"/>
      <c r="U110" s="2793"/>
      <c r="V110" s="2793"/>
      <c r="W110" s="2793"/>
      <c r="X110" s="2793"/>
      <c r="Y110" s="2793"/>
      <c r="Z110" s="2793"/>
      <c r="AA110" s="2793"/>
      <c r="AB110" s="2793"/>
      <c r="AC110" s="2793"/>
      <c r="AD110" s="2793"/>
      <c r="AE110" s="2793"/>
      <c r="AF110" s="2793"/>
      <c r="AG110" s="2793"/>
      <c r="AH110" s="2794"/>
      <c r="AI110" s="2793"/>
      <c r="AJ110" s="2793"/>
      <c r="AK110" s="2793"/>
      <c r="AL110" s="2793"/>
      <c r="AM110" s="2793"/>
      <c r="AN110" s="2793"/>
      <c r="AO110" s="2793"/>
      <c r="AP110" s="2793"/>
      <c r="AQ110" s="2793"/>
      <c r="AR110" s="2783"/>
      <c r="AS110" s="2783"/>
      <c r="AT110" s="2783"/>
      <c r="AU110" s="2783"/>
      <c r="AV110" s="2730"/>
      <c r="AY110" s="2730"/>
    </row>
    <row r="111" spans="1:51">
      <c r="A111" s="2795"/>
      <c r="K111" s="2783"/>
      <c r="L111" s="2783"/>
      <c r="M111" s="2793"/>
      <c r="N111" s="2793"/>
      <c r="O111" s="2793"/>
      <c r="P111" s="2793"/>
      <c r="Q111" s="2793"/>
      <c r="R111" s="2793"/>
      <c r="S111" s="2793"/>
      <c r="T111" s="2793"/>
      <c r="U111" s="2793"/>
      <c r="V111" s="2793"/>
      <c r="W111" s="2793"/>
      <c r="X111" s="2793"/>
      <c r="Y111" s="2793"/>
      <c r="Z111" s="2793"/>
      <c r="AA111" s="2793"/>
      <c r="AB111" s="2793"/>
      <c r="AC111" s="2793"/>
      <c r="AD111" s="2793"/>
      <c r="AE111" s="2793"/>
      <c r="AF111" s="2793"/>
      <c r="AG111" s="2793"/>
      <c r="AH111" s="2794"/>
      <c r="AI111" s="2793"/>
      <c r="AJ111" s="2793"/>
      <c r="AK111" s="2793"/>
      <c r="AL111" s="2793"/>
      <c r="AM111" s="2793"/>
      <c r="AN111" s="2793"/>
      <c r="AO111" s="2793"/>
      <c r="AP111" s="2793"/>
      <c r="AQ111" s="2793"/>
      <c r="AR111" s="2783"/>
      <c r="AS111" s="2783"/>
      <c r="AT111" s="2783"/>
      <c r="AU111" s="2783"/>
      <c r="AV111" s="2730"/>
      <c r="AY111" s="2730"/>
    </row>
    <row r="112" spans="1:51">
      <c r="A112" s="2795"/>
      <c r="K112" s="2783"/>
      <c r="L112" s="2783"/>
      <c r="M112" s="2793"/>
      <c r="N112" s="2793"/>
      <c r="O112" s="2793"/>
      <c r="P112" s="2793"/>
      <c r="Q112" s="2793"/>
      <c r="R112" s="2793"/>
      <c r="S112" s="2793"/>
      <c r="T112" s="2793"/>
      <c r="U112" s="2793"/>
      <c r="V112" s="2793"/>
      <c r="W112" s="2793"/>
      <c r="X112" s="2793"/>
      <c r="Y112" s="2793"/>
      <c r="Z112" s="2793"/>
      <c r="AA112" s="2793"/>
      <c r="AB112" s="2793"/>
      <c r="AC112" s="2793"/>
      <c r="AD112" s="2793"/>
      <c r="AE112" s="2793"/>
      <c r="AF112" s="2793"/>
      <c r="AG112" s="2793"/>
      <c r="AH112" s="2794"/>
      <c r="AI112" s="2793"/>
      <c r="AJ112" s="2793"/>
      <c r="AK112" s="2793"/>
      <c r="AL112" s="2793"/>
      <c r="AM112" s="2793"/>
      <c r="AN112" s="2793"/>
      <c r="AO112" s="2793"/>
      <c r="AP112" s="2793"/>
      <c r="AQ112" s="2793"/>
      <c r="AR112" s="2783"/>
      <c r="AS112" s="2783"/>
      <c r="AT112" s="2783"/>
      <c r="AU112" s="2783"/>
      <c r="AV112" s="2730"/>
      <c r="AY112" s="2730"/>
    </row>
    <row r="113" spans="1:51">
      <c r="A113" s="2795"/>
      <c r="K113" s="2783"/>
      <c r="L113" s="2783"/>
      <c r="M113" s="2793"/>
      <c r="N113" s="2793"/>
      <c r="O113" s="2793"/>
      <c r="P113" s="2793"/>
      <c r="Q113" s="2793"/>
      <c r="R113" s="2793"/>
      <c r="S113" s="2793"/>
      <c r="T113" s="2793"/>
      <c r="U113" s="2793"/>
      <c r="V113" s="2793"/>
      <c r="W113" s="2793"/>
      <c r="X113" s="2793"/>
      <c r="Y113" s="2793"/>
      <c r="Z113" s="2793"/>
      <c r="AA113" s="2793"/>
      <c r="AB113" s="2793"/>
      <c r="AC113" s="2793"/>
      <c r="AD113" s="2793"/>
      <c r="AE113" s="2793"/>
      <c r="AF113" s="2793"/>
      <c r="AG113" s="2793"/>
      <c r="AH113" s="2794"/>
      <c r="AI113" s="2793"/>
      <c r="AJ113" s="2793"/>
      <c r="AK113" s="2793"/>
      <c r="AL113" s="2793"/>
      <c r="AM113" s="2793"/>
      <c r="AN113" s="2793"/>
      <c r="AO113" s="2793"/>
      <c r="AP113" s="2793"/>
      <c r="AQ113" s="2793"/>
      <c r="AR113" s="2783"/>
      <c r="AS113" s="2783"/>
      <c r="AT113" s="2783"/>
      <c r="AU113" s="2783"/>
      <c r="AV113" s="2730"/>
      <c r="AY113" s="2730"/>
    </row>
    <row r="114" spans="1:51">
      <c r="A114" s="2795"/>
      <c r="K114" s="2783"/>
      <c r="L114" s="2783"/>
      <c r="M114" s="2793"/>
      <c r="N114" s="2793"/>
      <c r="O114" s="2793"/>
      <c r="P114" s="2793"/>
      <c r="Q114" s="2793"/>
      <c r="R114" s="2793"/>
      <c r="S114" s="2793"/>
      <c r="T114" s="2793"/>
      <c r="U114" s="2793"/>
      <c r="V114" s="2793"/>
      <c r="W114" s="2793"/>
      <c r="X114" s="2793"/>
      <c r="Y114" s="2793"/>
      <c r="Z114" s="2793"/>
      <c r="AA114" s="2793"/>
      <c r="AB114" s="2793"/>
      <c r="AC114" s="2793"/>
      <c r="AD114" s="2793"/>
      <c r="AE114" s="2793"/>
      <c r="AF114" s="2793"/>
      <c r="AG114" s="2793"/>
      <c r="AH114" s="2794"/>
      <c r="AI114" s="2793"/>
      <c r="AJ114" s="2793"/>
      <c r="AK114" s="2793"/>
      <c r="AL114" s="2793"/>
      <c r="AM114" s="2793"/>
      <c r="AN114" s="2793"/>
      <c r="AO114" s="2793"/>
      <c r="AP114" s="2793"/>
      <c r="AQ114" s="2793"/>
      <c r="AR114" s="2783"/>
      <c r="AS114" s="2783"/>
      <c r="AT114" s="2783"/>
      <c r="AU114" s="2783"/>
      <c r="AV114" s="2730"/>
      <c r="AY114" s="2730"/>
    </row>
    <row r="115" spans="1:51">
      <c r="A115" s="2795"/>
      <c r="K115" s="4033"/>
      <c r="L115" s="4033"/>
      <c r="M115" s="4033"/>
      <c r="N115" s="4033"/>
      <c r="O115" s="4033"/>
      <c r="P115" s="4033"/>
      <c r="Q115" s="4033"/>
      <c r="R115" s="4033"/>
      <c r="S115" s="4033"/>
      <c r="T115" s="4033"/>
      <c r="U115" s="2793"/>
      <c r="V115" s="2793"/>
      <c r="W115" s="2793"/>
      <c r="X115" s="2793"/>
      <c r="Y115" s="2793"/>
      <c r="Z115" s="2793"/>
      <c r="AA115" s="4030"/>
      <c r="AB115" s="4030"/>
      <c r="AC115" s="4030"/>
      <c r="AD115" s="4030"/>
      <c r="AE115" s="4030"/>
      <c r="AF115" s="4030"/>
      <c r="AG115" s="4030"/>
      <c r="AH115" s="4030"/>
      <c r="AI115" s="4030"/>
      <c r="AJ115" s="4030"/>
      <c r="AK115" s="4030"/>
      <c r="AL115" s="4030"/>
      <c r="AM115" s="4030"/>
      <c r="AN115" s="4030"/>
      <c r="AO115" s="4030"/>
      <c r="AP115" s="4030"/>
      <c r="AQ115" s="4030"/>
      <c r="AR115" s="2783"/>
      <c r="AS115" s="2783"/>
      <c r="AT115" s="2783"/>
      <c r="AU115" s="2783"/>
      <c r="AV115" s="2730"/>
      <c r="AY115" s="2730"/>
    </row>
    <row r="116" spans="1:51" ht="15.75" hidden="1" customHeight="1">
      <c r="K116" s="4031"/>
      <c r="L116" s="4031"/>
      <c r="M116" s="4031"/>
      <c r="N116" s="4031"/>
      <c r="O116" s="4031"/>
      <c r="P116" s="4031"/>
      <c r="Q116" s="4031"/>
      <c r="R116" s="4031"/>
      <c r="S116" s="4031"/>
      <c r="T116" s="4031"/>
      <c r="U116" s="2793"/>
      <c r="V116" s="2793"/>
      <c r="W116" s="2793"/>
      <c r="X116" s="2793"/>
      <c r="Y116" s="2793"/>
      <c r="Z116" s="2793"/>
      <c r="AA116" s="4030"/>
      <c r="AB116" s="4030"/>
      <c r="AC116" s="4030"/>
      <c r="AD116" s="4030"/>
      <c r="AE116" s="4030"/>
      <c r="AF116" s="4030"/>
      <c r="AG116" s="4030"/>
      <c r="AH116" s="4030"/>
      <c r="AI116" s="4030"/>
      <c r="AJ116" s="4030"/>
      <c r="AK116" s="4030"/>
      <c r="AL116" s="4030"/>
      <c r="AM116" s="4030"/>
      <c r="AN116" s="4030"/>
      <c r="AO116" s="4030"/>
      <c r="AP116" s="4030"/>
      <c r="AQ116" s="4030"/>
      <c r="AR116" s="2783"/>
      <c r="AS116" s="2783"/>
      <c r="AT116" s="2783"/>
      <c r="AU116" s="2783"/>
      <c r="AV116" s="2730"/>
      <c r="AY116" s="2730"/>
    </row>
    <row r="117" spans="1:51" ht="15.75" hidden="1" customHeight="1">
      <c r="K117" s="4031"/>
      <c r="L117" s="4031"/>
      <c r="M117" s="4031"/>
      <c r="N117" s="4031"/>
      <c r="O117" s="4031"/>
      <c r="P117" s="4031"/>
      <c r="Q117" s="4031"/>
      <c r="R117" s="4031"/>
      <c r="S117" s="4031"/>
      <c r="T117" s="4031"/>
      <c r="U117" s="2793"/>
      <c r="V117" s="2793"/>
      <c r="W117" s="2793"/>
      <c r="X117" s="2793"/>
      <c r="Y117" s="2793"/>
      <c r="Z117" s="2793"/>
      <c r="AA117" s="2793"/>
      <c r="AB117" s="2793"/>
      <c r="AC117" s="2793"/>
      <c r="AD117" s="2793"/>
      <c r="AE117" s="2793"/>
      <c r="AF117" s="2793"/>
      <c r="AG117" s="2793"/>
      <c r="AH117" s="2794"/>
      <c r="AI117" s="2793"/>
      <c r="AJ117" s="2793"/>
      <c r="AK117" s="2793"/>
      <c r="AL117" s="2793"/>
      <c r="AM117" s="2793"/>
      <c r="AN117" s="2793"/>
      <c r="AO117" s="2793"/>
      <c r="AP117" s="2793"/>
      <c r="AQ117" s="2793"/>
      <c r="AR117" s="2783"/>
      <c r="AS117" s="2783"/>
      <c r="AT117" s="2783"/>
      <c r="AU117" s="2783"/>
      <c r="AV117" s="2730"/>
      <c r="AY117" s="2730"/>
    </row>
    <row r="118" spans="1:51" ht="15.75" hidden="1" customHeight="1">
      <c r="K118" s="4033"/>
      <c r="L118" s="4033"/>
      <c r="M118" s="4033"/>
      <c r="N118" s="4033"/>
      <c r="O118" s="4033"/>
      <c r="P118" s="4033"/>
      <c r="Q118" s="4033"/>
      <c r="R118" s="4033"/>
      <c r="S118" s="4033"/>
      <c r="T118" s="4033"/>
      <c r="U118" s="4033"/>
      <c r="V118" s="4033"/>
      <c r="W118" s="4033"/>
      <c r="X118" s="4033"/>
      <c r="Y118" s="4033"/>
      <c r="Z118" s="4033"/>
      <c r="AA118" s="4033"/>
      <c r="AB118" s="4033"/>
      <c r="AC118" s="4033"/>
      <c r="AD118" s="4033"/>
      <c r="AE118" s="4033"/>
      <c r="AF118" s="4033"/>
      <c r="AG118" s="4033"/>
      <c r="AH118" s="4033"/>
      <c r="AI118" s="4033"/>
      <c r="AJ118" s="4033"/>
      <c r="AK118" s="4033"/>
      <c r="AL118" s="4033"/>
      <c r="AM118" s="4033"/>
      <c r="AN118" s="4033"/>
      <c r="AO118" s="4033"/>
      <c r="AP118" s="4033"/>
      <c r="AQ118" s="4033"/>
      <c r="AR118" s="2783"/>
      <c r="AS118" s="2783"/>
      <c r="AT118" s="2783"/>
      <c r="AU118" s="2783"/>
      <c r="AV118" s="2730"/>
      <c r="AY118" s="2730"/>
    </row>
    <row r="119" spans="1:51" ht="15.75" hidden="1" customHeight="1">
      <c r="K119" s="4032"/>
      <c r="L119" s="4032"/>
      <c r="M119" s="4032"/>
      <c r="N119" s="4032"/>
      <c r="O119" s="4032"/>
      <c r="P119" s="4032"/>
      <c r="Q119" s="4032"/>
      <c r="R119" s="4032"/>
      <c r="S119" s="4032"/>
      <c r="T119" s="4032"/>
      <c r="U119" s="4032"/>
      <c r="V119" s="4032"/>
      <c r="W119" s="4032"/>
      <c r="X119" s="4032"/>
      <c r="Y119" s="4032"/>
      <c r="Z119" s="4032"/>
      <c r="AA119" s="4032"/>
      <c r="AB119" s="4032"/>
      <c r="AC119" s="4032"/>
      <c r="AD119" s="4032"/>
      <c r="AE119" s="4032"/>
      <c r="AF119" s="4032"/>
      <c r="AG119" s="4032"/>
      <c r="AH119" s="4032"/>
      <c r="AI119" s="4032"/>
      <c r="AJ119" s="4032"/>
      <c r="AK119" s="4032"/>
      <c r="AL119" s="4032"/>
      <c r="AM119" s="4032"/>
      <c r="AN119" s="4032"/>
      <c r="AO119" s="4032"/>
      <c r="AP119" s="4032"/>
      <c r="AQ119" s="4032"/>
      <c r="AR119" s="2783"/>
      <c r="AS119" s="2783"/>
      <c r="AT119" s="2783"/>
      <c r="AU119" s="2783"/>
      <c r="AV119" s="2730"/>
      <c r="AY119" s="2730"/>
    </row>
    <row r="120" spans="1:51" ht="15.75" hidden="1" customHeight="1">
      <c r="K120" s="3868"/>
      <c r="L120" s="3868"/>
      <c r="M120" s="2629"/>
      <c r="N120" s="2629"/>
      <c r="O120" s="2629"/>
      <c r="P120" s="2629"/>
      <c r="Q120" s="2629"/>
      <c r="R120" s="2629"/>
      <c r="S120" s="2629"/>
      <c r="T120" s="2629"/>
      <c r="U120" s="2629"/>
      <c r="V120" s="2629"/>
      <c r="W120" s="2629"/>
      <c r="X120" s="2629"/>
      <c r="Y120" s="2629"/>
      <c r="Z120" s="2629"/>
      <c r="AA120" s="2629"/>
      <c r="AB120" s="2629"/>
      <c r="AC120" s="2629"/>
      <c r="AD120" s="2629"/>
      <c r="AE120" s="2629"/>
      <c r="AF120" s="2629"/>
      <c r="AG120" s="2629"/>
      <c r="AH120" s="2796"/>
      <c r="AI120" s="2629"/>
      <c r="AJ120" s="2629"/>
      <c r="AK120" s="2629"/>
      <c r="AL120" s="2629"/>
      <c r="AM120" s="2629"/>
      <c r="AN120" s="2629"/>
      <c r="AO120" s="2629"/>
      <c r="AP120" s="2629"/>
      <c r="AQ120" s="2797"/>
      <c r="AR120" s="2783"/>
      <c r="AS120" s="2783"/>
      <c r="AT120" s="2783"/>
      <c r="AU120" s="2783"/>
      <c r="AV120" s="2730"/>
      <c r="AY120" s="2730"/>
    </row>
    <row r="121" spans="1:51" ht="26.25" hidden="1" customHeight="1">
      <c r="K121" s="2768"/>
      <c r="L121" s="2768"/>
      <c r="M121" s="2629"/>
      <c r="N121" s="2629"/>
      <c r="O121" s="2629"/>
      <c r="P121" s="2629"/>
      <c r="Q121" s="2629"/>
      <c r="R121" s="2629"/>
      <c r="S121" s="2629"/>
      <c r="T121" s="2629"/>
      <c r="U121" s="2629"/>
      <c r="V121" s="2629"/>
      <c r="W121" s="2629"/>
      <c r="X121" s="2629"/>
      <c r="Y121" s="2629"/>
      <c r="Z121" s="2629"/>
      <c r="AA121" s="2629"/>
      <c r="AB121" s="2629"/>
      <c r="AC121" s="2629"/>
      <c r="AD121" s="2629"/>
      <c r="AE121" s="2629"/>
      <c r="AF121" s="2629"/>
      <c r="AG121" s="2629"/>
      <c r="AH121" s="2796"/>
      <c r="AI121" s="2629"/>
      <c r="AJ121" s="2629"/>
      <c r="AK121" s="2629"/>
      <c r="AL121" s="2629"/>
      <c r="AM121" s="2629"/>
      <c r="AN121" s="2629"/>
      <c r="AO121" s="2629"/>
      <c r="AP121" s="2629"/>
      <c r="AQ121" s="2629"/>
      <c r="AR121" s="2783"/>
      <c r="AS121" s="2783"/>
      <c r="AT121" s="2783"/>
      <c r="AU121" s="2783"/>
      <c r="AV121" s="2730"/>
      <c r="AY121" s="2730"/>
    </row>
    <row r="122" spans="1:51" hidden="1">
      <c r="K122" s="2768"/>
      <c r="L122" s="2768"/>
      <c r="M122" s="2629"/>
      <c r="N122" s="2629"/>
      <c r="O122" s="2629"/>
      <c r="P122" s="2629"/>
      <c r="Q122" s="2629"/>
      <c r="R122" s="2629"/>
      <c r="S122" s="2629"/>
      <c r="T122" s="2629"/>
      <c r="U122" s="2629"/>
      <c r="V122" s="2629"/>
      <c r="W122" s="2629"/>
      <c r="X122" s="2629"/>
      <c r="Y122" s="2629"/>
      <c r="Z122" s="2629"/>
      <c r="AA122" s="2629"/>
      <c r="AB122" s="2629"/>
      <c r="AC122" s="2629"/>
      <c r="AD122" s="2629"/>
      <c r="AE122" s="2629"/>
      <c r="AF122" s="2629"/>
      <c r="AG122" s="2629"/>
      <c r="AH122" s="2796"/>
      <c r="AI122" s="2629"/>
      <c r="AJ122" s="2629"/>
      <c r="AK122" s="2629"/>
      <c r="AL122" s="2629"/>
      <c r="AM122" s="2629"/>
      <c r="AN122" s="2629"/>
      <c r="AO122" s="2629"/>
      <c r="AP122" s="2629"/>
      <c r="AQ122" s="2629"/>
      <c r="AR122" s="2783"/>
      <c r="AS122" s="2783"/>
      <c r="AT122" s="2783"/>
      <c r="AU122" s="2783"/>
      <c r="AV122" s="2730"/>
      <c r="AY122" s="2730"/>
    </row>
    <row r="123" spans="1:51" hidden="1">
      <c r="A123" s="2731">
        <f>1384+48+48</f>
        <v>1480</v>
      </c>
      <c r="K123" s="2768"/>
      <c r="L123" s="2768"/>
      <c r="M123" s="2629"/>
      <c r="N123" s="2629"/>
      <c r="O123" s="2629"/>
      <c r="P123" s="2629"/>
      <c r="Q123" s="2629"/>
      <c r="R123" s="2629"/>
      <c r="S123" s="2629"/>
      <c r="T123" s="2629"/>
      <c r="U123" s="2629"/>
      <c r="V123" s="2629"/>
      <c r="W123" s="2629"/>
      <c r="X123" s="2629"/>
      <c r="Y123" s="2629"/>
      <c r="Z123" s="2629"/>
      <c r="AA123" s="2629"/>
      <c r="AB123" s="2629"/>
      <c r="AC123" s="2629"/>
      <c r="AD123" s="2629"/>
      <c r="AE123" s="2629"/>
      <c r="AF123" s="2629"/>
      <c r="AG123" s="2629"/>
      <c r="AH123" s="2796"/>
      <c r="AI123" s="2629"/>
      <c r="AJ123" s="2629"/>
      <c r="AK123" s="2629"/>
      <c r="AL123" s="2629"/>
      <c r="AM123" s="2629"/>
      <c r="AN123" s="2629"/>
      <c r="AO123" s="2629"/>
      <c r="AP123" s="2629"/>
      <c r="AQ123" s="2629"/>
      <c r="AR123" s="2783"/>
      <c r="AS123" s="2783"/>
      <c r="AT123" s="2783"/>
      <c r="AU123" s="2783"/>
      <c r="AV123" s="2730"/>
      <c r="AY123" s="2730"/>
    </row>
    <row r="124" spans="1:51" hidden="1">
      <c r="K124" s="2783"/>
      <c r="L124" s="2783"/>
      <c r="M124" s="2793"/>
      <c r="N124" s="2793"/>
      <c r="O124" s="2793"/>
      <c r="P124" s="2793"/>
      <c r="Q124" s="2793"/>
      <c r="R124" s="2793"/>
      <c r="S124" s="2793"/>
      <c r="T124" s="2793"/>
      <c r="U124" s="2793"/>
      <c r="V124" s="2793"/>
      <c r="W124" s="2793"/>
      <c r="X124" s="2793"/>
      <c r="Y124" s="2793"/>
      <c r="Z124" s="2793"/>
      <c r="AA124" s="2793"/>
      <c r="AB124" s="2793"/>
      <c r="AC124" s="2793"/>
      <c r="AD124" s="2793"/>
      <c r="AE124" s="2793"/>
      <c r="AF124" s="2793"/>
      <c r="AG124" s="2793"/>
      <c r="AH124" s="2794"/>
      <c r="AI124" s="3869"/>
      <c r="AJ124" s="3869"/>
      <c r="AK124" s="3869"/>
      <c r="AL124" s="3869"/>
      <c r="AM124" s="3869"/>
      <c r="AN124" s="3869"/>
      <c r="AO124" s="3869"/>
      <c r="AP124" s="3869"/>
      <c r="AQ124" s="3869"/>
      <c r="AR124" s="2783"/>
      <c r="AS124" s="2783"/>
      <c r="AT124" s="2783"/>
      <c r="AU124" s="2783"/>
      <c r="AV124" s="2730"/>
      <c r="AY124" s="2730"/>
    </row>
    <row r="125" spans="1:51" hidden="1">
      <c r="K125" s="2783"/>
      <c r="L125" s="2732"/>
      <c r="M125" s="2798"/>
      <c r="N125" s="2793"/>
      <c r="O125" s="2793"/>
      <c r="Q125" s="2793"/>
      <c r="R125" s="2793"/>
      <c r="S125" s="2793"/>
      <c r="T125" s="2793"/>
      <c r="U125" s="2793"/>
      <c r="V125" s="2793"/>
      <c r="W125" s="2793"/>
      <c r="X125" s="2793"/>
      <c r="Y125" s="2793"/>
      <c r="Z125" s="2793"/>
      <c r="AA125" s="2793"/>
      <c r="AB125" s="2793"/>
      <c r="AC125" s="2793"/>
      <c r="AD125" s="2793"/>
      <c r="AE125" s="2793"/>
      <c r="AF125" s="2793"/>
      <c r="AG125" s="2793"/>
      <c r="AH125" s="2794"/>
      <c r="AI125" s="4030"/>
      <c r="AJ125" s="4030"/>
      <c r="AK125" s="4030"/>
      <c r="AL125" s="4030"/>
      <c r="AM125" s="4030"/>
      <c r="AN125" s="4030"/>
      <c r="AO125" s="4030"/>
      <c r="AP125" s="4030"/>
      <c r="AQ125" s="3865"/>
      <c r="AR125" s="2783"/>
      <c r="AS125" s="2783"/>
      <c r="AT125" s="2783"/>
      <c r="AU125" s="2783"/>
      <c r="AV125" s="2730"/>
      <c r="AY125" s="2730"/>
    </row>
    <row r="126" spans="1:51" ht="15.75" hidden="1" customHeight="1">
      <c r="K126" s="2783"/>
      <c r="L126" s="2732"/>
      <c r="M126" s="2798"/>
      <c r="N126" s="2793"/>
      <c r="O126" s="2793"/>
      <c r="Q126" s="2793"/>
      <c r="R126" s="2793"/>
      <c r="S126" s="2793"/>
      <c r="T126" s="2793"/>
      <c r="U126" s="2793"/>
      <c r="V126" s="2793"/>
      <c r="W126" s="2793"/>
      <c r="X126" s="2793"/>
      <c r="Y126" s="2793"/>
      <c r="Z126" s="2793"/>
      <c r="AA126" s="2793"/>
      <c r="AB126" s="2793"/>
      <c r="AC126" s="2793"/>
      <c r="AD126" s="2793"/>
      <c r="AE126" s="2793"/>
      <c r="AF126" s="2793"/>
      <c r="AG126" s="2793"/>
      <c r="AH126" s="2794"/>
      <c r="AI126" s="3865"/>
      <c r="AJ126" s="3865"/>
      <c r="AK126" s="3865"/>
      <c r="AL126" s="3865"/>
      <c r="AM126" s="3865"/>
      <c r="AN126" s="3865"/>
      <c r="AO126" s="3865"/>
      <c r="AP126" s="3865"/>
      <c r="AQ126" s="3865"/>
      <c r="AR126" s="2783"/>
      <c r="AS126" s="2783"/>
      <c r="AT126" s="2783"/>
      <c r="AU126" s="2783"/>
      <c r="AV126" s="2730"/>
      <c r="AY126" s="2730"/>
    </row>
    <row r="127" spans="1:51">
      <c r="K127" s="2783"/>
      <c r="L127" s="2732"/>
      <c r="M127" s="2798"/>
      <c r="N127" s="2793"/>
      <c r="O127" s="2793"/>
      <c r="Q127" s="2793"/>
      <c r="R127" s="2793"/>
      <c r="S127" s="2793"/>
      <c r="T127" s="2793"/>
      <c r="U127" s="2793"/>
      <c r="V127" s="2793"/>
      <c r="W127" s="2793"/>
      <c r="X127" s="2793"/>
      <c r="Y127" s="2793"/>
      <c r="Z127" s="2793"/>
      <c r="AA127" s="2793"/>
      <c r="AB127" s="2793"/>
      <c r="AC127" s="2793"/>
      <c r="AD127" s="2793"/>
      <c r="AE127" s="2793"/>
      <c r="AF127" s="2793"/>
      <c r="AG127" s="2793"/>
      <c r="AH127" s="2794"/>
      <c r="AI127" s="3865"/>
      <c r="AJ127" s="3865"/>
      <c r="AK127" s="3865"/>
      <c r="AL127" s="3865"/>
      <c r="AM127" s="3865"/>
      <c r="AN127" s="3865"/>
      <c r="AO127" s="3865"/>
      <c r="AP127" s="3865"/>
      <c r="AQ127" s="3865"/>
      <c r="AR127" s="2783"/>
      <c r="AS127" s="2783"/>
      <c r="AT127" s="2783"/>
      <c r="AU127" s="2783"/>
      <c r="AV127" s="2730"/>
      <c r="AY127" s="2730"/>
    </row>
    <row r="128" spans="1:51">
      <c r="K128" s="2783"/>
      <c r="L128" s="2732"/>
      <c r="M128" s="2798"/>
      <c r="N128" s="2793"/>
      <c r="O128" s="2793"/>
      <c r="Q128" s="2793"/>
      <c r="R128" s="2793"/>
      <c r="S128" s="2793"/>
      <c r="T128" s="2793"/>
      <c r="U128" s="2793"/>
      <c r="V128" s="2793"/>
      <c r="W128" s="2793"/>
      <c r="X128" s="2793"/>
      <c r="Y128" s="2793"/>
      <c r="Z128" s="2793"/>
      <c r="AA128" s="2793"/>
      <c r="AB128" s="2793"/>
      <c r="AC128" s="2793"/>
      <c r="AD128" s="2793"/>
      <c r="AE128" s="2793"/>
      <c r="AF128" s="2793"/>
      <c r="AG128" s="2793"/>
      <c r="AH128" s="2794"/>
      <c r="AI128" s="3865"/>
      <c r="AJ128" s="3865"/>
      <c r="AK128" s="3865"/>
      <c r="AL128" s="3865"/>
      <c r="AM128" s="3865"/>
      <c r="AN128" s="3865"/>
      <c r="AO128" s="3865"/>
      <c r="AP128" s="3865"/>
      <c r="AQ128" s="3865"/>
      <c r="AR128" s="2783"/>
      <c r="AS128" s="2783"/>
      <c r="AT128" s="2783"/>
      <c r="AU128" s="2783"/>
      <c r="AV128" s="2730"/>
      <c r="AY128" s="2730"/>
    </row>
    <row r="129" spans="11:51">
      <c r="K129" s="2783"/>
      <c r="L129" s="2732"/>
      <c r="M129" s="2798"/>
      <c r="N129" s="2793"/>
      <c r="O129" s="2793"/>
      <c r="Q129" s="2793"/>
      <c r="R129" s="2793"/>
      <c r="S129" s="2793"/>
      <c r="T129" s="2793"/>
      <c r="U129" s="2793"/>
      <c r="V129" s="2793"/>
      <c r="W129" s="2793"/>
      <c r="X129" s="2793"/>
      <c r="Y129" s="2793"/>
      <c r="Z129" s="2793"/>
      <c r="AA129" s="2793"/>
      <c r="AB129" s="2793"/>
      <c r="AC129" s="2793"/>
      <c r="AD129" s="2793"/>
      <c r="AE129" s="2793"/>
      <c r="AF129" s="2793"/>
      <c r="AG129" s="2793"/>
      <c r="AH129" s="2794"/>
      <c r="AI129" s="3865"/>
      <c r="AJ129" s="3865"/>
      <c r="AK129" s="3865"/>
      <c r="AL129" s="3865"/>
      <c r="AM129" s="3865"/>
      <c r="AN129" s="3865"/>
      <c r="AO129" s="3865"/>
      <c r="AP129" s="3865"/>
      <c r="AQ129" s="3865"/>
      <c r="AR129" s="2783"/>
      <c r="AS129" s="2783"/>
      <c r="AT129" s="2783"/>
      <c r="AU129" s="2783"/>
      <c r="AV129" s="2730"/>
      <c r="AY129" s="2730"/>
    </row>
    <row r="130" spans="11:51">
      <c r="K130" s="2783"/>
      <c r="L130" s="2732"/>
      <c r="M130" s="2798"/>
      <c r="N130" s="2793"/>
      <c r="O130" s="2793"/>
      <c r="Q130" s="2793"/>
      <c r="R130" s="2793"/>
      <c r="S130" s="2793"/>
      <c r="T130" s="2793"/>
      <c r="U130" s="2793"/>
      <c r="V130" s="2793"/>
      <c r="W130" s="2793"/>
      <c r="X130" s="2793"/>
      <c r="Y130" s="2793"/>
      <c r="Z130" s="2793"/>
      <c r="AA130" s="2793"/>
      <c r="AB130" s="2793"/>
      <c r="AC130" s="2793"/>
      <c r="AD130" s="2793"/>
      <c r="AE130" s="2793"/>
      <c r="AF130" s="2793"/>
      <c r="AG130" s="2793"/>
      <c r="AH130" s="2794"/>
      <c r="AI130" s="3865"/>
      <c r="AJ130" s="3865"/>
      <c r="AK130" s="3865"/>
      <c r="AL130" s="3865"/>
      <c r="AM130" s="3865"/>
      <c r="AN130" s="3865"/>
      <c r="AO130" s="3865"/>
      <c r="AP130" s="3865"/>
      <c r="AQ130" s="3865"/>
      <c r="AR130" s="2783"/>
      <c r="AS130" s="2783"/>
      <c r="AT130" s="2783"/>
      <c r="AU130" s="2783"/>
      <c r="AV130" s="2730"/>
      <c r="AY130" s="2730"/>
    </row>
    <row r="131" spans="11:51">
      <c r="K131" s="2783"/>
      <c r="L131" s="2732"/>
      <c r="M131" s="2798"/>
      <c r="N131" s="2793"/>
      <c r="O131" s="2793"/>
      <c r="Q131" s="2793"/>
      <c r="R131" s="2793"/>
      <c r="S131" s="2793"/>
      <c r="T131" s="2793"/>
      <c r="U131" s="2793"/>
      <c r="V131" s="2793"/>
      <c r="W131" s="2793"/>
      <c r="X131" s="2793"/>
      <c r="Y131" s="2793"/>
      <c r="Z131" s="2793"/>
      <c r="AA131" s="2793"/>
      <c r="AB131" s="2793"/>
      <c r="AC131" s="2793"/>
      <c r="AD131" s="2793"/>
      <c r="AE131" s="2793"/>
      <c r="AF131" s="2793"/>
      <c r="AG131" s="2793"/>
      <c r="AH131" s="2794"/>
      <c r="AI131" s="3865"/>
      <c r="AJ131" s="3865"/>
      <c r="AK131" s="3865"/>
      <c r="AL131" s="3865"/>
      <c r="AM131" s="3865"/>
      <c r="AN131" s="3865"/>
      <c r="AO131" s="3865"/>
      <c r="AP131" s="3865"/>
      <c r="AQ131" s="3865"/>
      <c r="AR131" s="2783"/>
      <c r="AS131" s="2783"/>
      <c r="AT131" s="2783"/>
      <c r="AU131" s="2783"/>
      <c r="AV131" s="2730"/>
      <c r="AY131" s="2730"/>
    </row>
    <row r="132" spans="11:51">
      <c r="K132" s="2783"/>
      <c r="L132" s="2732"/>
      <c r="M132" s="2798"/>
      <c r="N132" s="2793"/>
      <c r="O132" s="2793"/>
      <c r="Q132" s="2793"/>
      <c r="R132" s="2793"/>
      <c r="S132" s="2793"/>
      <c r="T132" s="2793"/>
      <c r="U132" s="2793"/>
      <c r="V132" s="2793"/>
      <c r="W132" s="2793"/>
      <c r="X132" s="2793"/>
      <c r="Y132" s="2793"/>
      <c r="Z132" s="2793"/>
      <c r="AA132" s="2793"/>
      <c r="AB132" s="2793"/>
      <c r="AC132" s="2793"/>
      <c r="AD132" s="2793"/>
      <c r="AE132" s="2793"/>
      <c r="AF132" s="2793"/>
      <c r="AG132" s="2793"/>
      <c r="AH132" s="2794"/>
      <c r="AI132" s="3865"/>
      <c r="AJ132" s="3865"/>
      <c r="AK132" s="3865"/>
      <c r="AL132" s="3865"/>
      <c r="AM132" s="3865"/>
      <c r="AN132" s="3865"/>
      <c r="AO132" s="3865"/>
      <c r="AP132" s="3865"/>
      <c r="AQ132" s="3865"/>
      <c r="AR132" s="2783"/>
      <c r="AS132" s="2783"/>
      <c r="AT132" s="2783"/>
      <c r="AU132" s="2783"/>
      <c r="AV132" s="2730"/>
      <c r="AY132" s="2730"/>
    </row>
    <row r="133" spans="11:51">
      <c r="K133" s="2783"/>
      <c r="L133" s="2732"/>
      <c r="M133" s="2798"/>
      <c r="N133" s="2793"/>
      <c r="O133" s="2793"/>
      <c r="Q133" s="2793"/>
      <c r="R133" s="2793"/>
      <c r="S133" s="2793"/>
      <c r="T133" s="2793"/>
      <c r="U133" s="2793"/>
      <c r="V133" s="2793"/>
      <c r="W133" s="2793"/>
      <c r="X133" s="2793"/>
      <c r="Y133" s="2793"/>
      <c r="Z133" s="2793"/>
      <c r="AA133" s="2793"/>
      <c r="AB133" s="2793"/>
      <c r="AC133" s="2793"/>
      <c r="AD133" s="2793"/>
      <c r="AE133" s="2793"/>
      <c r="AF133" s="2793"/>
      <c r="AG133" s="2793"/>
      <c r="AH133" s="2794"/>
      <c r="AI133" s="3865"/>
      <c r="AJ133" s="3865"/>
      <c r="AK133" s="3865"/>
      <c r="AL133" s="3865"/>
      <c r="AM133" s="3865"/>
      <c r="AN133" s="3865"/>
      <c r="AO133" s="3865"/>
      <c r="AP133" s="3865"/>
      <c r="AQ133" s="3865"/>
      <c r="AR133" s="2783"/>
      <c r="AS133" s="2783"/>
      <c r="AT133" s="2783"/>
      <c r="AU133" s="2783"/>
      <c r="AV133" s="2730"/>
      <c r="AY133" s="2730"/>
    </row>
    <row r="134" spans="11:51">
      <c r="K134" s="2783"/>
      <c r="L134" s="2732"/>
      <c r="M134" s="2798"/>
      <c r="N134" s="2793"/>
      <c r="O134" s="2793"/>
      <c r="Q134" s="2793"/>
      <c r="R134" s="2793"/>
      <c r="S134" s="2793"/>
      <c r="T134" s="2793"/>
      <c r="U134" s="2793"/>
      <c r="V134" s="2793"/>
      <c r="W134" s="2793"/>
      <c r="X134" s="2793"/>
      <c r="Y134" s="2793"/>
      <c r="Z134" s="2793"/>
      <c r="AA134" s="2793"/>
      <c r="AB134" s="2793"/>
      <c r="AC134" s="2793"/>
      <c r="AD134" s="2793"/>
      <c r="AE134" s="2793"/>
      <c r="AF134" s="2793"/>
      <c r="AG134" s="2793"/>
      <c r="AH134" s="2794"/>
      <c r="AI134" s="3865"/>
      <c r="AJ134" s="3865"/>
      <c r="AK134" s="3865"/>
      <c r="AL134" s="3865"/>
      <c r="AM134" s="3865"/>
      <c r="AN134" s="3865"/>
      <c r="AO134" s="3865"/>
      <c r="AP134" s="3865"/>
      <c r="AQ134" s="3865"/>
      <c r="AR134" s="2783"/>
      <c r="AS134" s="2783"/>
      <c r="AT134" s="2783"/>
      <c r="AU134" s="2783"/>
      <c r="AV134" s="2730"/>
      <c r="AY134" s="2730"/>
    </row>
    <row r="135" spans="11:51">
      <c r="K135" s="2783"/>
      <c r="L135" s="2732"/>
      <c r="M135" s="2798"/>
      <c r="N135" s="2793"/>
      <c r="O135" s="2793"/>
      <c r="Q135" s="2793"/>
      <c r="R135" s="2793"/>
      <c r="S135" s="2793"/>
      <c r="T135" s="2793"/>
      <c r="U135" s="2793"/>
      <c r="V135" s="2793"/>
      <c r="W135" s="2793"/>
      <c r="X135" s="2793"/>
      <c r="Y135" s="2793"/>
      <c r="Z135" s="2793"/>
      <c r="AA135" s="2793"/>
      <c r="AB135" s="2793"/>
      <c r="AC135" s="2793"/>
      <c r="AD135" s="2793"/>
      <c r="AE135" s="2793"/>
      <c r="AF135" s="2793"/>
      <c r="AG135" s="2793"/>
      <c r="AH135" s="2794"/>
      <c r="AI135" s="3865"/>
      <c r="AJ135" s="3865"/>
      <c r="AK135" s="3865"/>
      <c r="AL135" s="3865"/>
      <c r="AM135" s="3865"/>
      <c r="AN135" s="3865"/>
      <c r="AO135" s="3865"/>
      <c r="AP135" s="3865"/>
      <c r="AQ135" s="3865"/>
      <c r="AR135" s="2783"/>
      <c r="AS135" s="2783"/>
      <c r="AT135" s="2783"/>
      <c r="AU135" s="2783"/>
      <c r="AV135" s="2730"/>
      <c r="AY135" s="2730"/>
    </row>
    <row r="136" spans="11:51">
      <c r="K136" s="2783"/>
      <c r="L136" s="2732"/>
      <c r="M136" s="2798"/>
      <c r="N136" s="2793"/>
      <c r="O136" s="2793"/>
      <c r="Q136" s="2793"/>
      <c r="R136" s="2793"/>
      <c r="S136" s="2793"/>
      <c r="T136" s="2793"/>
      <c r="U136" s="2793"/>
      <c r="V136" s="2793"/>
      <c r="W136" s="2793"/>
      <c r="X136" s="2793"/>
      <c r="Y136" s="2793"/>
      <c r="Z136" s="2793"/>
      <c r="AA136" s="2793"/>
      <c r="AB136" s="2793"/>
      <c r="AC136" s="2793"/>
      <c r="AD136" s="2793"/>
      <c r="AE136" s="2793"/>
      <c r="AF136" s="2793"/>
      <c r="AG136" s="2793"/>
      <c r="AH136" s="2794"/>
      <c r="AI136" s="3865"/>
      <c r="AJ136" s="3865"/>
      <c r="AK136" s="3865"/>
      <c r="AL136" s="3865"/>
      <c r="AM136" s="3865"/>
      <c r="AN136" s="3865"/>
      <c r="AO136" s="3865"/>
      <c r="AP136" s="3865"/>
      <c r="AQ136" s="3865"/>
      <c r="AR136" s="2783"/>
      <c r="AS136" s="2783"/>
      <c r="AT136" s="2783"/>
      <c r="AU136" s="2783"/>
      <c r="AV136" s="2730"/>
      <c r="AY136" s="2730"/>
    </row>
    <row r="137" spans="11:51">
      <c r="K137" s="2783"/>
      <c r="L137" s="2783"/>
      <c r="M137" s="2793"/>
      <c r="N137" s="2793"/>
      <c r="O137" s="2793"/>
      <c r="P137" s="2793"/>
      <c r="Q137" s="2793"/>
      <c r="R137" s="2793"/>
      <c r="S137" s="2793"/>
      <c r="T137" s="2793"/>
      <c r="U137" s="2793"/>
      <c r="V137" s="2793"/>
      <c r="W137" s="2793"/>
      <c r="X137" s="2793"/>
      <c r="Y137" s="2793"/>
      <c r="Z137" s="2793"/>
      <c r="AA137" s="2793"/>
      <c r="AB137" s="2793"/>
      <c r="AC137" s="2793"/>
      <c r="AD137" s="2793"/>
      <c r="AE137" s="2793"/>
      <c r="AF137" s="2793"/>
      <c r="AG137" s="2793"/>
      <c r="AH137" s="2794"/>
      <c r="AI137" s="2793"/>
      <c r="AJ137" s="2793"/>
      <c r="AK137" s="2793"/>
      <c r="AL137" s="2793"/>
      <c r="AM137" s="2793"/>
      <c r="AN137" s="2793"/>
      <c r="AO137" s="2793"/>
      <c r="AP137" s="2793"/>
      <c r="AQ137" s="2793"/>
      <c r="AR137" s="2783"/>
      <c r="AS137" s="2783"/>
      <c r="AT137" s="2783"/>
      <c r="AU137" s="2783"/>
      <c r="AV137" s="2730"/>
      <c r="AY137" s="2730"/>
    </row>
    <row r="138" spans="11:51">
      <c r="K138" s="2783"/>
      <c r="L138" s="2783"/>
      <c r="M138" s="2793"/>
      <c r="N138" s="2793"/>
      <c r="O138" s="2793"/>
      <c r="P138" s="2793"/>
      <c r="Q138" s="2793"/>
      <c r="R138" s="2793"/>
      <c r="S138" s="2793"/>
      <c r="T138" s="2793"/>
      <c r="U138" s="2793"/>
      <c r="V138" s="2793"/>
      <c r="W138" s="2793"/>
      <c r="X138" s="2793"/>
      <c r="Y138" s="2793"/>
      <c r="Z138" s="2793"/>
      <c r="AA138" s="2793"/>
      <c r="AB138" s="2793"/>
      <c r="AC138" s="2793"/>
      <c r="AD138" s="2793"/>
      <c r="AE138" s="2793"/>
      <c r="AF138" s="2793"/>
      <c r="AG138" s="2793"/>
      <c r="AH138" s="2794"/>
      <c r="AI138" s="2793"/>
      <c r="AJ138" s="2793"/>
      <c r="AK138" s="2793"/>
      <c r="AL138" s="2793"/>
      <c r="AM138" s="2793"/>
      <c r="AN138" s="2793"/>
      <c r="AO138" s="2793"/>
      <c r="AP138" s="2793"/>
      <c r="AQ138" s="2793"/>
      <c r="AR138" s="2783"/>
      <c r="AS138" s="2783"/>
      <c r="AT138" s="2783"/>
      <c r="AU138" s="2783"/>
      <c r="AV138" s="2730"/>
      <c r="AY138" s="2730"/>
    </row>
    <row r="139" spans="11:51">
      <c r="K139" s="2783"/>
      <c r="L139" s="2783"/>
      <c r="M139" s="2793"/>
      <c r="N139" s="2793"/>
      <c r="O139" s="2793"/>
      <c r="P139" s="2793"/>
      <c r="Q139" s="2793"/>
      <c r="R139" s="2793"/>
      <c r="S139" s="2793"/>
      <c r="T139" s="2793"/>
      <c r="U139" s="2793"/>
      <c r="V139" s="2793"/>
      <c r="W139" s="2793"/>
      <c r="X139" s="2793"/>
      <c r="Y139" s="2793"/>
      <c r="Z139" s="2793"/>
      <c r="AA139" s="2793"/>
      <c r="AB139" s="2793"/>
      <c r="AC139" s="2793"/>
      <c r="AD139" s="2793"/>
      <c r="AE139" s="2793"/>
      <c r="AF139" s="2793"/>
      <c r="AG139" s="2793"/>
      <c r="AH139" s="2794"/>
      <c r="AI139" s="2793"/>
      <c r="AJ139" s="2793"/>
      <c r="AK139" s="2793"/>
      <c r="AL139" s="2793"/>
      <c r="AM139" s="2793"/>
      <c r="AN139" s="2793"/>
      <c r="AO139" s="2793"/>
      <c r="AP139" s="2793"/>
      <c r="AQ139" s="2793"/>
      <c r="AR139" s="2783"/>
      <c r="AS139" s="2783"/>
      <c r="AT139" s="2783"/>
      <c r="AU139" s="2783"/>
      <c r="AV139" s="2730"/>
      <c r="AY139" s="2730"/>
    </row>
    <row r="140" spans="11:51">
      <c r="K140" s="2783"/>
      <c r="L140" s="2783"/>
      <c r="M140" s="2793"/>
      <c r="N140" s="2793"/>
      <c r="O140" s="2793"/>
      <c r="P140" s="2793"/>
      <c r="Q140" s="2793"/>
      <c r="R140" s="2793"/>
      <c r="S140" s="2793"/>
      <c r="T140" s="2793"/>
      <c r="U140" s="2793"/>
      <c r="V140" s="2793"/>
      <c r="W140" s="2793"/>
      <c r="X140" s="2793"/>
      <c r="Y140" s="2793"/>
      <c r="Z140" s="2793"/>
      <c r="AA140" s="2793"/>
      <c r="AB140" s="2793"/>
      <c r="AC140" s="2793"/>
      <c r="AD140" s="2793"/>
      <c r="AE140" s="2793"/>
      <c r="AF140" s="2793"/>
      <c r="AG140" s="2793"/>
      <c r="AH140" s="2794"/>
      <c r="AI140" s="2793"/>
      <c r="AJ140" s="2793"/>
      <c r="AK140" s="2793"/>
      <c r="AL140" s="2793"/>
      <c r="AM140" s="2793"/>
      <c r="AN140" s="2793"/>
      <c r="AO140" s="2793"/>
      <c r="AP140" s="2793"/>
      <c r="AQ140" s="2793"/>
      <c r="AR140" s="2783"/>
      <c r="AS140" s="2783"/>
      <c r="AT140" s="2783"/>
      <c r="AU140" s="2783"/>
      <c r="AV140" s="2730"/>
      <c r="AY140" s="2730"/>
    </row>
    <row r="141" spans="11:51" ht="24" customHeight="1">
      <c r="K141" s="2783"/>
      <c r="L141" s="2783"/>
      <c r="M141" s="2793"/>
      <c r="N141" s="2793"/>
      <c r="O141" s="2793"/>
      <c r="P141" s="2793"/>
      <c r="Q141" s="2793"/>
      <c r="R141" s="2793"/>
      <c r="S141" s="2793"/>
      <c r="T141" s="2793"/>
      <c r="U141" s="2793"/>
      <c r="V141" s="2793"/>
      <c r="W141" s="2793"/>
      <c r="X141" s="2793"/>
      <c r="Y141" s="2793"/>
      <c r="Z141" s="2793"/>
      <c r="AA141" s="2793"/>
      <c r="AB141" s="2793"/>
      <c r="AC141" s="2793"/>
      <c r="AD141" s="2793"/>
      <c r="AE141" s="2793"/>
      <c r="AF141" s="2793"/>
      <c r="AG141" s="2793"/>
      <c r="AH141" s="2794"/>
      <c r="AI141" s="2793"/>
      <c r="AJ141" s="2793"/>
      <c r="AK141" s="2793"/>
      <c r="AL141" s="2793"/>
      <c r="AM141" s="2793"/>
      <c r="AN141" s="2793"/>
      <c r="AO141" s="2793"/>
      <c r="AP141" s="2793"/>
      <c r="AQ141" s="2793"/>
      <c r="AR141" s="2783"/>
      <c r="AS141" s="2783"/>
      <c r="AT141" s="2783"/>
      <c r="AU141" s="2783"/>
      <c r="AV141" s="2730"/>
      <c r="AY141" s="2730"/>
    </row>
    <row r="142" spans="11:51">
      <c r="K142" s="2783"/>
      <c r="L142" s="2783"/>
      <c r="M142" s="2793"/>
      <c r="N142" s="2793"/>
      <c r="O142" s="2793"/>
      <c r="P142" s="2793"/>
      <c r="Q142" s="2793"/>
      <c r="R142" s="2793"/>
      <c r="S142" s="2793"/>
      <c r="T142" s="2793"/>
      <c r="U142" s="2793"/>
      <c r="V142" s="2793"/>
      <c r="W142" s="2793"/>
      <c r="X142" s="2793"/>
      <c r="Y142" s="2793"/>
      <c r="Z142" s="2793"/>
      <c r="AA142" s="2793"/>
      <c r="AB142" s="2793"/>
      <c r="AC142" s="2793"/>
      <c r="AD142" s="2793"/>
      <c r="AE142" s="2793"/>
      <c r="AF142" s="2793"/>
      <c r="AG142" s="2793"/>
      <c r="AH142" s="2794"/>
      <c r="AI142" s="2793"/>
      <c r="AJ142" s="2793"/>
      <c r="AK142" s="2793"/>
      <c r="AL142" s="2793"/>
      <c r="AM142" s="2793"/>
      <c r="AN142" s="2793"/>
      <c r="AO142" s="2793"/>
      <c r="AP142" s="2793"/>
      <c r="AQ142" s="2793"/>
      <c r="AR142" s="2783"/>
      <c r="AS142" s="2783"/>
      <c r="AT142" s="2783"/>
      <c r="AU142" s="2783"/>
      <c r="AV142" s="2730"/>
      <c r="AY142" s="2730"/>
    </row>
    <row r="143" spans="11:51">
      <c r="K143" s="2783"/>
      <c r="L143" s="2783"/>
      <c r="M143" s="2793"/>
      <c r="N143" s="2793"/>
      <c r="O143" s="2793"/>
      <c r="P143" s="2793"/>
      <c r="Q143" s="2793"/>
      <c r="R143" s="2793"/>
      <c r="S143" s="2793"/>
      <c r="T143" s="2793"/>
      <c r="U143" s="2793"/>
      <c r="V143" s="2793"/>
      <c r="W143" s="2793"/>
      <c r="X143" s="2793"/>
      <c r="Y143" s="2793"/>
      <c r="Z143" s="2793"/>
      <c r="AA143" s="2793"/>
      <c r="AB143" s="2793"/>
      <c r="AC143" s="2793"/>
      <c r="AD143" s="2793"/>
      <c r="AE143" s="2793"/>
      <c r="AF143" s="2793"/>
      <c r="AG143" s="2793"/>
      <c r="AH143" s="2794"/>
      <c r="AI143" s="2793"/>
      <c r="AJ143" s="2793"/>
      <c r="AK143" s="2793"/>
      <c r="AL143" s="2793"/>
      <c r="AM143" s="2793"/>
      <c r="AN143" s="2793"/>
      <c r="AO143" s="2793"/>
      <c r="AP143" s="2793"/>
      <c r="AQ143" s="2793"/>
      <c r="AR143" s="2783"/>
      <c r="AS143" s="2783"/>
      <c r="AT143" s="2783"/>
      <c r="AU143" s="2783"/>
      <c r="AV143" s="2730"/>
      <c r="AY143" s="2730"/>
    </row>
    <row r="144" spans="11:51">
      <c r="K144" s="2783"/>
      <c r="L144" s="2783"/>
      <c r="M144" s="2793"/>
      <c r="N144" s="2793"/>
      <c r="O144" s="2793"/>
      <c r="P144" s="2793"/>
      <c r="Q144" s="2793"/>
      <c r="R144" s="2793"/>
      <c r="S144" s="2793"/>
      <c r="T144" s="2793"/>
      <c r="U144" s="2793"/>
      <c r="V144" s="2793"/>
      <c r="W144" s="2793"/>
      <c r="X144" s="2793"/>
      <c r="Y144" s="2793"/>
      <c r="Z144" s="2793"/>
      <c r="AA144" s="2793"/>
      <c r="AB144" s="2793"/>
      <c r="AC144" s="2793"/>
      <c r="AD144" s="2793"/>
      <c r="AE144" s="2793"/>
      <c r="AF144" s="2793"/>
      <c r="AG144" s="2793"/>
      <c r="AH144" s="2794"/>
      <c r="AI144" s="2793"/>
      <c r="AJ144" s="2793"/>
      <c r="AK144" s="2793"/>
      <c r="AL144" s="2793"/>
      <c r="AM144" s="2793"/>
      <c r="AN144" s="2793"/>
      <c r="AO144" s="2793"/>
      <c r="AP144" s="2793"/>
      <c r="AQ144" s="2793"/>
      <c r="AR144" s="2783"/>
      <c r="AS144" s="2783"/>
      <c r="AT144" s="2783"/>
      <c r="AU144" s="2783"/>
      <c r="AV144" s="2730"/>
      <c r="AY144" s="2730"/>
    </row>
    <row r="145" spans="1:51">
      <c r="K145" s="2783"/>
      <c r="L145" s="2783"/>
      <c r="M145" s="2793"/>
      <c r="N145" s="2793"/>
      <c r="O145" s="2793"/>
      <c r="P145" s="2793"/>
      <c r="Q145" s="2793"/>
      <c r="R145" s="2793"/>
      <c r="S145" s="2793"/>
      <c r="T145" s="2793"/>
      <c r="U145" s="2793"/>
      <c r="V145" s="2793"/>
      <c r="W145" s="2793"/>
      <c r="X145" s="2793"/>
      <c r="Y145" s="2793"/>
      <c r="Z145" s="2793"/>
      <c r="AA145" s="2793"/>
      <c r="AB145" s="2793"/>
      <c r="AC145" s="2793"/>
      <c r="AD145" s="2793"/>
      <c r="AE145" s="2793"/>
      <c r="AF145" s="2793"/>
      <c r="AG145" s="2793"/>
      <c r="AH145" s="2794"/>
      <c r="AI145" s="2793"/>
      <c r="AJ145" s="2793"/>
      <c r="AK145" s="2793"/>
      <c r="AL145" s="2793"/>
      <c r="AM145" s="2793"/>
      <c r="AN145" s="2793"/>
      <c r="AO145" s="2793"/>
      <c r="AP145" s="2793"/>
      <c r="AQ145" s="2793"/>
      <c r="AR145" s="2783"/>
      <c r="AS145" s="2783"/>
      <c r="AT145" s="2783"/>
      <c r="AU145" s="2783"/>
      <c r="AV145" s="2730"/>
      <c r="AY145" s="2730"/>
    </row>
    <row r="146" spans="1:51">
      <c r="A146" s="2795"/>
      <c r="K146" s="2783"/>
      <c r="L146" s="2783"/>
      <c r="M146" s="2793"/>
      <c r="N146" s="2793"/>
      <c r="O146" s="2793"/>
      <c r="P146" s="2793"/>
      <c r="Q146" s="2793"/>
      <c r="R146" s="2793"/>
      <c r="S146" s="2793"/>
      <c r="T146" s="2793"/>
      <c r="U146" s="2793"/>
      <c r="V146" s="2793"/>
      <c r="W146" s="2793"/>
      <c r="X146" s="2793"/>
      <c r="Y146" s="2793"/>
      <c r="Z146" s="2793"/>
      <c r="AA146" s="2793"/>
      <c r="AB146" s="2793"/>
      <c r="AC146" s="2793"/>
      <c r="AD146" s="2793"/>
      <c r="AE146" s="2793"/>
      <c r="AF146" s="2793"/>
      <c r="AG146" s="2793"/>
      <c r="AH146" s="2794"/>
      <c r="AI146" s="2793"/>
      <c r="AJ146" s="2793"/>
      <c r="AK146" s="2793"/>
      <c r="AL146" s="2793"/>
      <c r="AM146" s="2793"/>
      <c r="AN146" s="2793"/>
      <c r="AO146" s="2793"/>
      <c r="AP146" s="2793"/>
      <c r="AQ146" s="2793"/>
      <c r="AR146" s="2783"/>
      <c r="AS146" s="2783"/>
      <c r="AT146" s="2783"/>
      <c r="AU146" s="2783"/>
      <c r="AV146" s="2730"/>
      <c r="AY146" s="2730"/>
    </row>
    <row r="147" spans="1:51">
      <c r="A147" s="2795"/>
      <c r="K147" s="2783"/>
      <c r="L147" s="2783"/>
      <c r="M147" s="2793"/>
      <c r="N147" s="2793"/>
      <c r="O147" s="2793"/>
      <c r="P147" s="2793"/>
      <c r="Q147" s="2793"/>
      <c r="R147" s="2793"/>
      <c r="S147" s="2793"/>
      <c r="T147" s="2793"/>
      <c r="U147" s="2793"/>
      <c r="V147" s="2793"/>
      <c r="W147" s="2793"/>
      <c r="X147" s="2793"/>
      <c r="Y147" s="2793"/>
      <c r="Z147" s="2793"/>
      <c r="AA147" s="2793"/>
      <c r="AB147" s="2793"/>
      <c r="AC147" s="2793"/>
      <c r="AD147" s="2793"/>
      <c r="AE147" s="2793"/>
      <c r="AF147" s="2793"/>
      <c r="AG147" s="2793"/>
      <c r="AH147" s="2794"/>
      <c r="AI147" s="2793"/>
      <c r="AJ147" s="2793"/>
      <c r="AK147" s="2793"/>
      <c r="AL147" s="2793"/>
      <c r="AM147" s="2793"/>
      <c r="AN147" s="2793"/>
      <c r="AO147" s="2793"/>
      <c r="AP147" s="2793"/>
      <c r="AQ147" s="2793"/>
      <c r="AR147" s="2783"/>
      <c r="AS147" s="2783"/>
      <c r="AT147" s="2783"/>
      <c r="AU147" s="2783"/>
      <c r="AV147" s="2730"/>
      <c r="AY147" s="2730"/>
    </row>
    <row r="148" spans="1:51">
      <c r="A148" s="2795"/>
      <c r="K148" s="2783"/>
      <c r="L148" s="2783"/>
      <c r="M148" s="2793"/>
      <c r="N148" s="2793"/>
      <c r="O148" s="2793"/>
      <c r="P148" s="2793"/>
      <c r="Q148" s="2793"/>
      <c r="R148" s="2793"/>
      <c r="S148" s="2793"/>
      <c r="T148" s="2793"/>
      <c r="U148" s="2793"/>
      <c r="V148" s="2793"/>
      <c r="W148" s="2793"/>
      <c r="X148" s="2793"/>
      <c r="Y148" s="2793"/>
      <c r="Z148" s="2793"/>
      <c r="AA148" s="2793"/>
      <c r="AB148" s="2793"/>
      <c r="AC148" s="2793"/>
      <c r="AD148" s="2793"/>
      <c r="AE148" s="2793"/>
      <c r="AF148" s="2793"/>
      <c r="AG148" s="2793"/>
      <c r="AH148" s="2794"/>
      <c r="AI148" s="2793"/>
      <c r="AJ148" s="2793"/>
      <c r="AK148" s="2793"/>
      <c r="AL148" s="2793"/>
      <c r="AM148" s="2793"/>
      <c r="AN148" s="2793"/>
      <c r="AO148" s="2793"/>
      <c r="AP148" s="2793"/>
      <c r="AQ148" s="2793"/>
      <c r="AR148" s="2783"/>
      <c r="AS148" s="2783"/>
      <c r="AT148" s="2783"/>
      <c r="AU148" s="2783"/>
      <c r="AV148" s="2730"/>
      <c r="AY148" s="2730"/>
    </row>
    <row r="149" spans="1:51">
      <c r="A149" s="2795"/>
      <c r="K149" s="2783"/>
      <c r="L149" s="2783"/>
      <c r="M149" s="2793"/>
      <c r="N149" s="2793"/>
      <c r="O149" s="2793"/>
      <c r="P149" s="2793"/>
      <c r="Q149" s="2793"/>
      <c r="R149" s="2793"/>
      <c r="S149" s="2793"/>
      <c r="T149" s="2793"/>
      <c r="U149" s="2793"/>
      <c r="V149" s="2793"/>
      <c r="W149" s="2793"/>
      <c r="X149" s="2793"/>
      <c r="Y149" s="2793"/>
      <c r="Z149" s="2793"/>
      <c r="AA149" s="2793"/>
      <c r="AB149" s="2793"/>
      <c r="AC149" s="2793"/>
      <c r="AD149" s="2793"/>
      <c r="AE149" s="2793"/>
      <c r="AF149" s="2793"/>
      <c r="AG149" s="2793"/>
      <c r="AH149" s="2794"/>
      <c r="AI149" s="2793"/>
      <c r="AJ149" s="2793"/>
      <c r="AK149" s="2793"/>
      <c r="AL149" s="2793"/>
      <c r="AM149" s="2793"/>
      <c r="AN149" s="2793"/>
      <c r="AO149" s="2793"/>
      <c r="AP149" s="2793"/>
      <c r="AQ149" s="2793"/>
      <c r="AR149" s="2783"/>
      <c r="AS149" s="2783"/>
      <c r="AT149" s="2783"/>
      <c r="AU149" s="2783"/>
      <c r="AV149" s="2730"/>
      <c r="AY149" s="2730"/>
    </row>
    <row r="150" spans="1:51">
      <c r="A150" s="2795"/>
      <c r="K150" s="2783"/>
      <c r="L150" s="2783"/>
      <c r="M150" s="2793"/>
      <c r="N150" s="2793"/>
      <c r="O150" s="2793"/>
      <c r="P150" s="2793"/>
      <c r="Q150" s="2793"/>
      <c r="R150" s="2793"/>
      <c r="S150" s="2793"/>
      <c r="T150" s="2793"/>
      <c r="U150" s="2793"/>
      <c r="V150" s="2793"/>
      <c r="W150" s="2793"/>
      <c r="X150" s="2793"/>
      <c r="Y150" s="2793"/>
      <c r="Z150" s="2793"/>
      <c r="AA150" s="2793"/>
      <c r="AB150" s="2793"/>
      <c r="AC150" s="2793"/>
      <c r="AD150" s="2793"/>
      <c r="AE150" s="2793"/>
      <c r="AF150" s="2793"/>
      <c r="AG150" s="2793"/>
      <c r="AH150" s="2794"/>
      <c r="AI150" s="2793"/>
      <c r="AJ150" s="2793"/>
      <c r="AK150" s="2793"/>
      <c r="AL150" s="2793"/>
      <c r="AM150" s="2793"/>
      <c r="AN150" s="2793"/>
      <c r="AO150" s="2793"/>
      <c r="AP150" s="2793"/>
      <c r="AQ150" s="2793"/>
      <c r="AR150" s="2783"/>
      <c r="AS150" s="2783"/>
      <c r="AT150" s="2783"/>
      <c r="AU150" s="2783"/>
      <c r="AV150" s="2730"/>
      <c r="AY150" s="2730"/>
    </row>
    <row r="151" spans="1:51">
      <c r="A151" s="2795"/>
      <c r="K151" s="2783"/>
      <c r="L151" s="2783"/>
      <c r="M151" s="2793"/>
      <c r="N151" s="2793"/>
      <c r="O151" s="2793"/>
      <c r="P151" s="2793"/>
      <c r="Q151" s="2793"/>
      <c r="R151" s="2793"/>
      <c r="S151" s="2793"/>
      <c r="T151" s="2793"/>
      <c r="U151" s="2793"/>
      <c r="V151" s="2793"/>
      <c r="W151" s="2793"/>
      <c r="X151" s="2793"/>
      <c r="Y151" s="2793"/>
      <c r="Z151" s="2793"/>
      <c r="AA151" s="2793"/>
      <c r="AB151" s="2793"/>
      <c r="AC151" s="2793"/>
      <c r="AD151" s="2793"/>
      <c r="AE151" s="2793"/>
      <c r="AF151" s="2793"/>
      <c r="AG151" s="2793"/>
      <c r="AH151" s="2794"/>
      <c r="AI151" s="2793"/>
      <c r="AJ151" s="2793"/>
      <c r="AK151" s="2793"/>
      <c r="AL151" s="2793"/>
      <c r="AM151" s="2793"/>
      <c r="AN151" s="2793"/>
      <c r="AO151" s="2793"/>
      <c r="AP151" s="2793"/>
      <c r="AQ151" s="2793"/>
      <c r="AR151" s="2783"/>
      <c r="AS151" s="2783"/>
      <c r="AT151" s="2783"/>
      <c r="AU151" s="2783"/>
      <c r="AV151" s="2730"/>
      <c r="AY151" s="2730"/>
    </row>
    <row r="152" spans="1:51">
      <c r="A152" s="2795"/>
      <c r="K152" s="2783"/>
      <c r="L152" s="2783"/>
      <c r="M152" s="2793"/>
      <c r="N152" s="2793"/>
      <c r="O152" s="2793"/>
      <c r="P152" s="2793"/>
      <c r="Q152" s="2793"/>
      <c r="R152" s="2793"/>
      <c r="S152" s="2793"/>
      <c r="T152" s="2793"/>
      <c r="U152" s="2793"/>
      <c r="V152" s="2793"/>
      <c r="W152" s="2793"/>
      <c r="X152" s="2793"/>
      <c r="Y152" s="2793"/>
      <c r="Z152" s="2793"/>
      <c r="AA152" s="2793"/>
      <c r="AB152" s="2793"/>
      <c r="AC152" s="2793"/>
      <c r="AD152" s="2793"/>
      <c r="AE152" s="2793"/>
      <c r="AF152" s="2793"/>
      <c r="AG152" s="2793"/>
      <c r="AH152" s="2794"/>
      <c r="AI152" s="2793"/>
      <c r="AJ152" s="2793"/>
      <c r="AK152" s="2793"/>
      <c r="AL152" s="2793"/>
      <c r="AM152" s="2793"/>
      <c r="AN152" s="2793"/>
      <c r="AO152" s="2793"/>
      <c r="AP152" s="2793"/>
      <c r="AQ152" s="2793"/>
      <c r="AR152" s="2783"/>
      <c r="AS152" s="2783"/>
      <c r="AT152" s="2783"/>
      <c r="AU152" s="2783"/>
      <c r="AV152" s="2730"/>
      <c r="AY152" s="2730"/>
    </row>
    <row r="153" spans="1:51">
      <c r="A153" s="2795"/>
      <c r="K153" s="2783"/>
      <c r="L153" s="2783"/>
      <c r="M153" s="2793"/>
      <c r="N153" s="2793"/>
      <c r="O153" s="2793"/>
      <c r="P153" s="2793"/>
      <c r="Q153" s="2793"/>
      <c r="R153" s="2793"/>
      <c r="S153" s="2793"/>
      <c r="T153" s="2793"/>
      <c r="U153" s="2793"/>
      <c r="V153" s="2793"/>
      <c r="W153" s="2793"/>
      <c r="X153" s="2793"/>
      <c r="Y153" s="2793"/>
      <c r="Z153" s="2793"/>
      <c r="AA153" s="2793"/>
      <c r="AB153" s="2793"/>
      <c r="AC153" s="2793"/>
      <c r="AD153" s="2793"/>
      <c r="AE153" s="2793"/>
      <c r="AF153" s="2793"/>
      <c r="AG153" s="2793"/>
      <c r="AH153" s="2794"/>
      <c r="AI153" s="2793"/>
      <c r="AJ153" s="2793"/>
      <c r="AK153" s="2793"/>
      <c r="AL153" s="2793"/>
      <c r="AM153" s="2793"/>
      <c r="AN153" s="2793"/>
      <c r="AO153" s="2793"/>
      <c r="AP153" s="2793"/>
      <c r="AQ153" s="2793"/>
      <c r="AR153" s="2783"/>
      <c r="AS153" s="2783"/>
      <c r="AT153" s="2783"/>
      <c r="AU153" s="2783"/>
      <c r="AV153" s="2730"/>
      <c r="AY153" s="2730"/>
    </row>
    <row r="154" spans="1:51">
      <c r="A154" s="2795"/>
      <c r="K154" s="2783"/>
      <c r="L154" s="2783"/>
      <c r="M154" s="2793"/>
      <c r="N154" s="2793"/>
      <c r="O154" s="2793"/>
      <c r="P154" s="2793"/>
      <c r="Q154" s="2793"/>
      <c r="R154" s="2793"/>
      <c r="S154" s="2793"/>
      <c r="T154" s="2793"/>
      <c r="U154" s="2793"/>
      <c r="V154" s="2793"/>
      <c r="W154" s="2793"/>
      <c r="X154" s="2793"/>
      <c r="Y154" s="2793"/>
      <c r="Z154" s="2793"/>
      <c r="AA154" s="2793"/>
      <c r="AB154" s="2793"/>
      <c r="AC154" s="2793"/>
      <c r="AD154" s="2793"/>
      <c r="AE154" s="2793"/>
      <c r="AF154" s="2793"/>
      <c r="AG154" s="2793"/>
      <c r="AH154" s="2794"/>
      <c r="AI154" s="2793"/>
      <c r="AJ154" s="2793"/>
      <c r="AK154" s="2793"/>
      <c r="AL154" s="2793"/>
      <c r="AM154" s="2793"/>
      <c r="AN154" s="2793"/>
      <c r="AO154" s="2793"/>
      <c r="AP154" s="2793"/>
      <c r="AQ154" s="2793"/>
      <c r="AR154" s="2783"/>
      <c r="AS154" s="2783"/>
      <c r="AT154" s="2783"/>
      <c r="AU154" s="2783"/>
      <c r="AV154" s="2730"/>
      <c r="AY154" s="2730"/>
    </row>
    <row r="155" spans="1:51">
      <c r="A155" s="2795"/>
      <c r="K155" s="2783"/>
      <c r="L155" s="2783"/>
      <c r="M155" s="2793"/>
      <c r="N155" s="2793"/>
      <c r="O155" s="2793"/>
      <c r="P155" s="2793"/>
      <c r="Q155" s="2793"/>
      <c r="R155" s="2793"/>
      <c r="S155" s="2793"/>
      <c r="T155" s="2793"/>
      <c r="U155" s="2793"/>
      <c r="V155" s="2793"/>
      <c r="W155" s="2793"/>
      <c r="X155" s="2793"/>
      <c r="Y155" s="2793"/>
      <c r="Z155" s="2793"/>
      <c r="AA155" s="2793"/>
      <c r="AB155" s="2793"/>
      <c r="AC155" s="2793"/>
      <c r="AD155" s="2793"/>
      <c r="AE155" s="2793"/>
      <c r="AF155" s="2793"/>
      <c r="AG155" s="2793"/>
      <c r="AH155" s="2794"/>
      <c r="AI155" s="2793"/>
      <c r="AJ155" s="2793"/>
      <c r="AK155" s="2793"/>
      <c r="AL155" s="2793"/>
      <c r="AM155" s="2793"/>
      <c r="AN155" s="2793"/>
      <c r="AO155" s="2793"/>
      <c r="AP155" s="2793"/>
      <c r="AQ155" s="2793"/>
      <c r="AR155" s="2783"/>
      <c r="AS155" s="2783"/>
      <c r="AT155" s="2783"/>
      <c r="AU155" s="2783"/>
      <c r="AV155" s="2730"/>
      <c r="AY155" s="2730"/>
    </row>
    <row r="156" spans="1:51">
      <c r="A156" s="2795"/>
      <c r="K156" s="2783"/>
      <c r="L156" s="2783"/>
      <c r="M156" s="2793"/>
      <c r="N156" s="2793"/>
      <c r="O156" s="2793"/>
      <c r="P156" s="2793"/>
      <c r="Q156" s="2793"/>
      <c r="R156" s="2793"/>
      <c r="S156" s="2793"/>
      <c r="T156" s="2793"/>
      <c r="U156" s="2793"/>
      <c r="V156" s="2793"/>
      <c r="W156" s="2793"/>
      <c r="X156" s="2793"/>
      <c r="Y156" s="2793"/>
      <c r="Z156" s="2793"/>
      <c r="AA156" s="2793"/>
      <c r="AB156" s="2793"/>
      <c r="AC156" s="2793"/>
      <c r="AD156" s="2793"/>
      <c r="AE156" s="2793"/>
      <c r="AF156" s="2793"/>
      <c r="AG156" s="2793"/>
      <c r="AH156" s="2794"/>
      <c r="AI156" s="2793"/>
      <c r="AJ156" s="2793"/>
      <c r="AK156" s="2793"/>
      <c r="AL156" s="2793"/>
      <c r="AM156" s="2793"/>
      <c r="AN156" s="2793"/>
      <c r="AO156" s="2793"/>
      <c r="AP156" s="2793"/>
      <c r="AQ156" s="2793"/>
      <c r="AR156" s="2783"/>
      <c r="AS156" s="2783"/>
      <c r="AT156" s="2783"/>
      <c r="AU156" s="2783"/>
      <c r="AV156" s="2730"/>
      <c r="AY156" s="2730"/>
    </row>
    <row r="157" spans="1:51">
      <c r="A157" s="2795"/>
      <c r="K157" s="2783"/>
      <c r="L157" s="2783"/>
      <c r="M157" s="2793"/>
      <c r="N157" s="2793"/>
      <c r="O157" s="2793"/>
      <c r="P157" s="2793"/>
      <c r="Q157" s="2793"/>
      <c r="R157" s="2793"/>
      <c r="S157" s="2793"/>
      <c r="T157" s="2793"/>
      <c r="U157" s="2793"/>
      <c r="V157" s="2793"/>
      <c r="W157" s="2793"/>
      <c r="X157" s="2793"/>
      <c r="Y157" s="2793"/>
      <c r="Z157" s="2793"/>
      <c r="AA157" s="2793"/>
      <c r="AB157" s="2793"/>
      <c r="AC157" s="2793"/>
      <c r="AD157" s="2793"/>
      <c r="AE157" s="2793"/>
      <c r="AF157" s="2793"/>
      <c r="AG157" s="2793"/>
      <c r="AH157" s="2794"/>
      <c r="AI157" s="2793"/>
      <c r="AJ157" s="2793"/>
      <c r="AK157" s="2793"/>
      <c r="AL157" s="2793"/>
      <c r="AM157" s="2793"/>
      <c r="AN157" s="2793"/>
      <c r="AO157" s="2793"/>
      <c r="AP157" s="2793"/>
      <c r="AQ157" s="2793"/>
      <c r="AR157" s="2783"/>
      <c r="AS157" s="2783"/>
      <c r="AT157" s="2783"/>
      <c r="AU157" s="2783"/>
      <c r="AV157" s="2730"/>
      <c r="AY157" s="2730"/>
    </row>
    <row r="158" spans="1:51">
      <c r="A158" s="2795"/>
      <c r="K158" s="2783"/>
      <c r="L158" s="2783"/>
      <c r="M158" s="2793"/>
      <c r="N158" s="2793"/>
      <c r="O158" s="2793"/>
      <c r="P158" s="2793"/>
      <c r="Q158" s="2793"/>
      <c r="R158" s="2793"/>
      <c r="S158" s="2793"/>
      <c r="T158" s="2793"/>
      <c r="U158" s="2793"/>
      <c r="V158" s="2793"/>
      <c r="W158" s="2793"/>
      <c r="X158" s="2793"/>
      <c r="Y158" s="2793"/>
      <c r="Z158" s="2793"/>
      <c r="AA158" s="2793"/>
      <c r="AB158" s="2793"/>
      <c r="AC158" s="2793"/>
      <c r="AD158" s="2793"/>
      <c r="AE158" s="2793"/>
      <c r="AF158" s="2793"/>
      <c r="AG158" s="2793"/>
      <c r="AH158" s="2794"/>
      <c r="AI158" s="2793"/>
      <c r="AJ158" s="2793"/>
      <c r="AK158" s="2793"/>
      <c r="AL158" s="2793"/>
      <c r="AM158" s="2793"/>
      <c r="AN158" s="2793"/>
      <c r="AO158" s="2793"/>
      <c r="AP158" s="2793"/>
      <c r="AQ158" s="2793"/>
      <c r="AR158" s="2783"/>
      <c r="AS158" s="2783"/>
      <c r="AT158" s="2783"/>
      <c r="AU158" s="2783"/>
      <c r="AV158" s="2730"/>
      <c r="AY158" s="2730"/>
    </row>
    <row r="159" spans="1:51">
      <c r="A159" s="2795"/>
      <c r="K159" s="2783"/>
      <c r="L159" s="2783"/>
      <c r="M159" s="2793"/>
      <c r="N159" s="2793"/>
      <c r="O159" s="2793"/>
      <c r="P159" s="2793"/>
      <c r="Q159" s="2793"/>
      <c r="R159" s="2793"/>
      <c r="S159" s="2793"/>
      <c r="T159" s="2793"/>
      <c r="U159" s="2793"/>
      <c r="V159" s="2793"/>
      <c r="W159" s="2793"/>
      <c r="X159" s="2793"/>
      <c r="Y159" s="2793"/>
      <c r="Z159" s="2793"/>
      <c r="AA159" s="2793"/>
      <c r="AB159" s="2793"/>
      <c r="AC159" s="2793"/>
      <c r="AD159" s="2793"/>
      <c r="AE159" s="2793"/>
      <c r="AF159" s="2793"/>
      <c r="AG159" s="2793"/>
      <c r="AH159" s="2794"/>
      <c r="AI159" s="2793"/>
      <c r="AJ159" s="2793"/>
      <c r="AK159" s="2793"/>
      <c r="AL159" s="2793"/>
      <c r="AM159" s="2793"/>
      <c r="AN159" s="2793"/>
      <c r="AO159" s="2793"/>
      <c r="AP159" s="2793"/>
      <c r="AQ159" s="2793"/>
      <c r="AR159" s="2783"/>
      <c r="AS159" s="2783"/>
      <c r="AT159" s="2783"/>
      <c r="AU159" s="2783"/>
      <c r="AV159" s="2730"/>
      <c r="AY159" s="2730"/>
    </row>
    <row r="160" spans="1:51">
      <c r="A160" s="2795"/>
      <c r="K160" s="2783"/>
      <c r="L160" s="2783"/>
      <c r="M160" s="2793"/>
      <c r="N160" s="2793"/>
      <c r="O160" s="2793"/>
      <c r="P160" s="2793"/>
      <c r="Q160" s="2793"/>
      <c r="R160" s="2793"/>
      <c r="S160" s="2793"/>
      <c r="T160" s="2793"/>
      <c r="U160" s="2793"/>
      <c r="V160" s="2793"/>
      <c r="W160" s="2793"/>
      <c r="X160" s="2793"/>
      <c r="Y160" s="2793"/>
      <c r="Z160" s="2793"/>
      <c r="AA160" s="2793"/>
      <c r="AB160" s="2793"/>
      <c r="AC160" s="2793"/>
      <c r="AD160" s="2793"/>
      <c r="AE160" s="2793"/>
      <c r="AF160" s="2793"/>
      <c r="AG160" s="2793"/>
      <c r="AH160" s="2794"/>
      <c r="AI160" s="2793"/>
      <c r="AJ160" s="2793"/>
      <c r="AK160" s="2793"/>
      <c r="AL160" s="2793"/>
      <c r="AM160" s="2793"/>
      <c r="AN160" s="2793"/>
      <c r="AO160" s="2793"/>
      <c r="AP160" s="2793"/>
      <c r="AQ160" s="2793"/>
      <c r="AR160" s="2783"/>
      <c r="AS160" s="2783"/>
      <c r="AT160" s="2783"/>
      <c r="AU160" s="2783"/>
      <c r="AV160" s="2730"/>
      <c r="AY160" s="2730"/>
    </row>
    <row r="161" spans="1:51">
      <c r="A161" s="2795"/>
      <c r="K161" s="2783"/>
      <c r="L161" s="2783"/>
      <c r="M161" s="2793"/>
      <c r="N161" s="2793"/>
      <c r="O161" s="2793"/>
      <c r="P161" s="2793"/>
      <c r="Q161" s="2793"/>
      <c r="R161" s="2793"/>
      <c r="S161" s="2793"/>
      <c r="T161" s="2793"/>
      <c r="U161" s="2793"/>
      <c r="V161" s="2793"/>
      <c r="W161" s="2793"/>
      <c r="X161" s="2793"/>
      <c r="Y161" s="2793"/>
      <c r="Z161" s="2793"/>
      <c r="AA161" s="2793"/>
      <c r="AB161" s="2793"/>
      <c r="AC161" s="2793"/>
      <c r="AD161" s="2793"/>
      <c r="AE161" s="2793"/>
      <c r="AF161" s="2793"/>
      <c r="AG161" s="2793"/>
      <c r="AH161" s="2794"/>
      <c r="AI161" s="2793"/>
      <c r="AJ161" s="2793"/>
      <c r="AK161" s="2793"/>
      <c r="AL161" s="2793"/>
      <c r="AM161" s="2793"/>
      <c r="AN161" s="2793"/>
      <c r="AO161" s="2793"/>
      <c r="AP161" s="2793"/>
      <c r="AQ161" s="2793"/>
      <c r="AR161" s="2783"/>
      <c r="AS161" s="2783"/>
      <c r="AT161" s="2783"/>
      <c r="AU161" s="2783"/>
      <c r="AV161" s="2730"/>
      <c r="AY161" s="2730"/>
    </row>
    <row r="162" spans="1:51">
      <c r="A162" s="2795"/>
      <c r="K162" s="2783"/>
      <c r="L162" s="2783"/>
      <c r="M162" s="2793"/>
      <c r="N162" s="2793"/>
      <c r="O162" s="2793"/>
      <c r="P162" s="2793"/>
      <c r="Q162" s="2793"/>
      <c r="R162" s="2793"/>
      <c r="S162" s="2793"/>
      <c r="T162" s="2793"/>
      <c r="U162" s="2793"/>
      <c r="V162" s="2793"/>
      <c r="W162" s="2793"/>
      <c r="X162" s="2793"/>
      <c r="Y162" s="2793"/>
      <c r="Z162" s="2793"/>
      <c r="AA162" s="2793"/>
      <c r="AB162" s="2793"/>
      <c r="AC162" s="2793"/>
      <c r="AD162" s="2793"/>
      <c r="AE162" s="2793"/>
      <c r="AF162" s="2793"/>
      <c r="AG162" s="2793"/>
      <c r="AH162" s="2794"/>
      <c r="AI162" s="2793"/>
      <c r="AJ162" s="2793"/>
      <c r="AK162" s="2793"/>
      <c r="AL162" s="2793"/>
      <c r="AM162" s="2793"/>
      <c r="AN162" s="2793"/>
      <c r="AO162" s="2793"/>
      <c r="AP162" s="2793"/>
      <c r="AQ162" s="2793"/>
      <c r="AR162" s="2783"/>
      <c r="AS162" s="2783"/>
      <c r="AT162" s="2783"/>
      <c r="AU162" s="2783"/>
      <c r="AV162" s="2730"/>
      <c r="AY162" s="2730"/>
    </row>
    <row r="163" spans="1:51">
      <c r="A163" s="2795"/>
      <c r="K163" s="2783"/>
      <c r="L163" s="2783"/>
      <c r="M163" s="2793"/>
      <c r="N163" s="2793"/>
      <c r="O163" s="2793"/>
      <c r="P163" s="2793"/>
      <c r="Q163" s="2793"/>
      <c r="R163" s="2793"/>
      <c r="S163" s="2793"/>
      <c r="T163" s="2793"/>
      <c r="U163" s="2793"/>
      <c r="V163" s="2793"/>
      <c r="W163" s="2793"/>
      <c r="X163" s="2793"/>
      <c r="Y163" s="2793"/>
      <c r="Z163" s="2793"/>
      <c r="AA163" s="2793"/>
      <c r="AB163" s="2793"/>
      <c r="AC163" s="2793"/>
      <c r="AD163" s="2793"/>
      <c r="AE163" s="2793"/>
      <c r="AF163" s="2793"/>
      <c r="AG163" s="2793"/>
      <c r="AH163" s="2794"/>
      <c r="AI163" s="2793"/>
      <c r="AJ163" s="2793"/>
      <c r="AK163" s="2793"/>
      <c r="AL163" s="2793"/>
      <c r="AM163" s="2793"/>
      <c r="AN163" s="2793"/>
      <c r="AO163" s="2793"/>
      <c r="AP163" s="2793"/>
      <c r="AQ163" s="2793"/>
      <c r="AR163" s="2783"/>
      <c r="AS163" s="2783"/>
      <c r="AT163" s="2783"/>
      <c r="AU163" s="2783"/>
      <c r="AV163" s="2730"/>
      <c r="AY163" s="2730"/>
    </row>
    <row r="164" spans="1:51">
      <c r="A164" s="2795"/>
      <c r="K164" s="2783"/>
      <c r="L164" s="2783"/>
      <c r="M164" s="2793"/>
      <c r="N164" s="2793"/>
      <c r="O164" s="2793"/>
      <c r="P164" s="2793"/>
      <c r="Q164" s="2793"/>
      <c r="R164" s="2793"/>
      <c r="S164" s="2793"/>
      <c r="T164" s="2793"/>
      <c r="U164" s="2793"/>
      <c r="V164" s="2793"/>
      <c r="W164" s="2793"/>
      <c r="X164" s="2793"/>
      <c r="Y164" s="2793"/>
      <c r="Z164" s="2793"/>
      <c r="AA164" s="2793"/>
      <c r="AB164" s="2793"/>
      <c r="AC164" s="2793"/>
      <c r="AD164" s="2793"/>
      <c r="AE164" s="2793"/>
      <c r="AF164" s="2793"/>
      <c r="AG164" s="2793"/>
      <c r="AH164" s="2794"/>
      <c r="AI164" s="2793"/>
      <c r="AJ164" s="2793"/>
      <c r="AK164" s="2793"/>
      <c r="AL164" s="2793"/>
      <c r="AM164" s="2793"/>
      <c r="AN164" s="2793"/>
      <c r="AO164" s="2793"/>
      <c r="AP164" s="2793"/>
      <c r="AQ164" s="2793"/>
      <c r="AR164" s="2783"/>
      <c r="AS164" s="2783"/>
      <c r="AT164" s="2783"/>
      <c r="AU164" s="2783"/>
      <c r="AV164" s="2730"/>
      <c r="AY164" s="2730"/>
    </row>
    <row r="165" spans="1:51">
      <c r="A165" s="2795"/>
      <c r="K165" s="2783"/>
      <c r="L165" s="2783"/>
      <c r="M165" s="2793"/>
      <c r="N165" s="2793"/>
      <c r="O165" s="2793"/>
      <c r="P165" s="2793"/>
      <c r="Q165" s="2793"/>
      <c r="R165" s="2793"/>
      <c r="S165" s="2793"/>
      <c r="T165" s="2793"/>
      <c r="U165" s="2793"/>
      <c r="V165" s="2793"/>
      <c r="W165" s="2793"/>
      <c r="X165" s="2793"/>
      <c r="Y165" s="2793"/>
      <c r="Z165" s="2793"/>
      <c r="AA165" s="2793"/>
      <c r="AB165" s="2793"/>
      <c r="AC165" s="2793"/>
      <c r="AD165" s="2793"/>
      <c r="AE165" s="2793"/>
      <c r="AF165" s="2793"/>
      <c r="AG165" s="2793"/>
      <c r="AH165" s="2794"/>
      <c r="AI165" s="2793"/>
      <c r="AJ165" s="2793"/>
      <c r="AK165" s="2793"/>
      <c r="AL165" s="2793"/>
      <c r="AM165" s="2793"/>
      <c r="AN165" s="2793"/>
      <c r="AO165" s="2793"/>
      <c r="AP165" s="2793"/>
      <c r="AQ165" s="2793"/>
      <c r="AR165" s="2783"/>
      <c r="AS165" s="2783"/>
      <c r="AT165" s="2783"/>
      <c r="AU165" s="2783"/>
      <c r="AV165" s="2730"/>
      <c r="AY165" s="2730"/>
    </row>
    <row r="166" spans="1:51">
      <c r="A166" s="2795"/>
      <c r="K166" s="2783"/>
      <c r="L166" s="2783"/>
      <c r="M166" s="2793"/>
      <c r="N166" s="2793"/>
      <c r="O166" s="2793"/>
      <c r="P166" s="2793"/>
      <c r="Q166" s="2793"/>
      <c r="R166" s="2793"/>
      <c r="S166" s="2793"/>
      <c r="T166" s="2793"/>
      <c r="U166" s="2793"/>
      <c r="V166" s="2793"/>
      <c r="W166" s="2793"/>
      <c r="X166" s="2793"/>
      <c r="Y166" s="2793"/>
      <c r="Z166" s="2793"/>
      <c r="AA166" s="2793"/>
      <c r="AB166" s="2793"/>
      <c r="AC166" s="2793"/>
      <c r="AD166" s="2793"/>
      <c r="AE166" s="2793"/>
      <c r="AF166" s="2793"/>
      <c r="AG166" s="2793"/>
      <c r="AH166" s="2794"/>
      <c r="AI166" s="2793"/>
      <c r="AJ166" s="2793"/>
      <c r="AK166" s="2793"/>
      <c r="AL166" s="2793"/>
      <c r="AM166" s="2793"/>
      <c r="AN166" s="2793"/>
      <c r="AO166" s="2793"/>
      <c r="AP166" s="2793"/>
      <c r="AQ166" s="2793"/>
      <c r="AR166" s="2783"/>
      <c r="AS166" s="2783"/>
      <c r="AT166" s="2783"/>
      <c r="AU166" s="2783"/>
      <c r="AV166" s="2730"/>
      <c r="AY166" s="2730"/>
    </row>
    <row r="167" spans="1:51">
      <c r="A167" s="2795"/>
      <c r="K167" s="2783"/>
      <c r="L167" s="2783"/>
      <c r="M167" s="2793"/>
      <c r="N167" s="2793"/>
      <c r="O167" s="2793"/>
      <c r="P167" s="2793"/>
      <c r="Q167" s="2793"/>
      <c r="R167" s="2793"/>
      <c r="S167" s="2793"/>
      <c r="T167" s="2793"/>
      <c r="U167" s="2793"/>
      <c r="V167" s="2793"/>
      <c r="W167" s="2793"/>
      <c r="X167" s="2793"/>
      <c r="Y167" s="2793"/>
      <c r="Z167" s="2793"/>
      <c r="AA167" s="2793"/>
      <c r="AB167" s="2793"/>
      <c r="AC167" s="2793"/>
      <c r="AD167" s="2793"/>
      <c r="AE167" s="2793"/>
      <c r="AF167" s="2793"/>
      <c r="AG167" s="2793"/>
      <c r="AH167" s="2794"/>
      <c r="AI167" s="2793"/>
      <c r="AJ167" s="2793"/>
      <c r="AK167" s="2793"/>
      <c r="AL167" s="2793"/>
      <c r="AM167" s="2793"/>
      <c r="AN167" s="2793"/>
      <c r="AO167" s="2793"/>
      <c r="AP167" s="2793"/>
      <c r="AQ167" s="2793"/>
      <c r="AR167" s="2783"/>
      <c r="AS167" s="2783"/>
      <c r="AT167" s="2783"/>
      <c r="AU167" s="2783"/>
      <c r="AV167" s="2730"/>
      <c r="AY167" s="2730"/>
    </row>
    <row r="168" spans="1:51">
      <c r="A168" s="2795"/>
      <c r="K168" s="2783"/>
      <c r="L168" s="2783"/>
      <c r="M168" s="2793"/>
      <c r="N168" s="2793"/>
      <c r="O168" s="2793"/>
      <c r="P168" s="2793"/>
      <c r="Q168" s="2793"/>
      <c r="R168" s="2793"/>
      <c r="S168" s="2793"/>
      <c r="T168" s="2793"/>
      <c r="U168" s="2793"/>
      <c r="V168" s="2793"/>
      <c r="W168" s="2793"/>
      <c r="X168" s="2793"/>
      <c r="Y168" s="2793"/>
      <c r="Z168" s="2793"/>
      <c r="AA168" s="2793"/>
      <c r="AB168" s="2793"/>
      <c r="AC168" s="2793"/>
      <c r="AD168" s="2793"/>
      <c r="AE168" s="2793"/>
      <c r="AF168" s="2793"/>
      <c r="AG168" s="2793"/>
      <c r="AH168" s="2794"/>
      <c r="AI168" s="2793"/>
      <c r="AJ168" s="2793"/>
      <c r="AK168" s="2793"/>
      <c r="AL168" s="2793"/>
      <c r="AM168" s="2793"/>
      <c r="AN168" s="2793"/>
      <c r="AO168" s="2793"/>
      <c r="AP168" s="2793"/>
      <c r="AQ168" s="2793"/>
      <c r="AR168" s="2783"/>
      <c r="AS168" s="2783"/>
      <c r="AT168" s="2783"/>
      <c r="AU168" s="2783"/>
      <c r="AV168" s="2730"/>
      <c r="AY168" s="2730"/>
    </row>
    <row r="169" spans="1:51">
      <c r="A169" s="2795"/>
      <c r="K169" s="2783"/>
      <c r="L169" s="2783"/>
      <c r="M169" s="2793"/>
      <c r="N169" s="2793"/>
      <c r="O169" s="2793"/>
      <c r="P169" s="2793"/>
      <c r="Q169" s="2793"/>
      <c r="R169" s="2793"/>
      <c r="S169" s="2793"/>
      <c r="T169" s="2793"/>
      <c r="U169" s="2793"/>
      <c r="V169" s="2793"/>
      <c r="W169" s="2793"/>
      <c r="X169" s="2793"/>
      <c r="Y169" s="2793"/>
      <c r="Z169" s="2793"/>
      <c r="AA169" s="2793"/>
      <c r="AB169" s="2793"/>
      <c r="AC169" s="2793"/>
      <c r="AD169" s="2793"/>
      <c r="AE169" s="2793"/>
      <c r="AF169" s="2793"/>
      <c r="AG169" s="2793"/>
      <c r="AH169" s="2794"/>
      <c r="AI169" s="2793"/>
      <c r="AJ169" s="2793"/>
      <c r="AK169" s="2793"/>
      <c r="AL169" s="2793"/>
      <c r="AM169" s="2793"/>
      <c r="AN169" s="2793"/>
      <c r="AO169" s="2793"/>
      <c r="AP169" s="2793"/>
      <c r="AQ169" s="2793"/>
      <c r="AR169" s="2783"/>
      <c r="AS169" s="2783"/>
      <c r="AT169" s="2783"/>
      <c r="AU169" s="2783"/>
      <c r="AV169" s="2730"/>
      <c r="AY169" s="2730"/>
    </row>
    <row r="170" spans="1:51">
      <c r="A170" s="2795"/>
      <c r="K170" s="2783"/>
      <c r="L170" s="2783"/>
      <c r="M170" s="2793"/>
      <c r="N170" s="2793"/>
      <c r="O170" s="2793"/>
      <c r="P170" s="2793"/>
      <c r="Q170" s="2793"/>
      <c r="R170" s="2793"/>
      <c r="S170" s="2793"/>
      <c r="T170" s="2793"/>
      <c r="U170" s="2793"/>
      <c r="V170" s="2793"/>
      <c r="W170" s="2793"/>
      <c r="X170" s="2793"/>
      <c r="Y170" s="2793"/>
      <c r="Z170" s="2793"/>
      <c r="AA170" s="2793"/>
      <c r="AB170" s="2793"/>
      <c r="AC170" s="2793"/>
      <c r="AD170" s="2793"/>
      <c r="AE170" s="2793"/>
      <c r="AF170" s="2793"/>
      <c r="AG170" s="2793"/>
      <c r="AH170" s="2794"/>
      <c r="AI170" s="2793"/>
      <c r="AJ170" s="2793"/>
      <c r="AK170" s="2793"/>
      <c r="AL170" s="2793"/>
      <c r="AM170" s="2793"/>
      <c r="AN170" s="2793"/>
      <c r="AO170" s="2793"/>
      <c r="AP170" s="2793"/>
      <c r="AQ170" s="2793"/>
      <c r="AR170" s="2783"/>
      <c r="AS170" s="2783"/>
      <c r="AT170" s="2783"/>
      <c r="AU170" s="2783"/>
      <c r="AV170" s="2730"/>
      <c r="AY170" s="2730"/>
    </row>
    <row r="171" spans="1:51">
      <c r="A171" s="2795"/>
      <c r="K171" s="2783"/>
      <c r="L171" s="2783"/>
      <c r="M171" s="2793"/>
      <c r="N171" s="2793"/>
      <c r="O171" s="2793"/>
      <c r="P171" s="2793"/>
      <c r="Q171" s="2793"/>
      <c r="R171" s="2793"/>
      <c r="S171" s="2793"/>
      <c r="T171" s="2793"/>
      <c r="U171" s="2793"/>
      <c r="V171" s="2793"/>
      <c r="W171" s="2793"/>
      <c r="X171" s="2793"/>
      <c r="Y171" s="2793"/>
      <c r="Z171" s="2793"/>
      <c r="AA171" s="2793"/>
      <c r="AB171" s="2793"/>
      <c r="AC171" s="2793"/>
      <c r="AD171" s="2793"/>
      <c r="AE171" s="2793"/>
      <c r="AF171" s="2793"/>
      <c r="AG171" s="2793"/>
      <c r="AH171" s="2794"/>
      <c r="AI171" s="2793"/>
      <c r="AJ171" s="2793"/>
      <c r="AK171" s="2793"/>
      <c r="AL171" s="2793"/>
      <c r="AM171" s="2793"/>
      <c r="AN171" s="2793"/>
      <c r="AO171" s="2793"/>
      <c r="AP171" s="2793"/>
      <c r="AQ171" s="2793"/>
      <c r="AR171" s="2783"/>
      <c r="AS171" s="2783"/>
      <c r="AT171" s="2783"/>
      <c r="AU171" s="2783"/>
      <c r="AV171" s="2730"/>
      <c r="AY171" s="2730"/>
    </row>
    <row r="172" spans="1:51">
      <c r="A172" s="2795"/>
      <c r="K172" s="2783"/>
      <c r="L172" s="2783"/>
      <c r="M172" s="2793"/>
      <c r="N172" s="2793"/>
      <c r="O172" s="2793"/>
      <c r="P172" s="2793"/>
      <c r="Q172" s="2793"/>
      <c r="R172" s="2793"/>
      <c r="S172" s="2793"/>
      <c r="T172" s="2793"/>
      <c r="U172" s="2793"/>
      <c r="V172" s="2793"/>
      <c r="W172" s="2793"/>
      <c r="X172" s="2793"/>
      <c r="Y172" s="2793"/>
      <c r="Z172" s="2793"/>
      <c r="AA172" s="2793"/>
      <c r="AB172" s="2793"/>
      <c r="AC172" s="2793"/>
      <c r="AD172" s="2793"/>
      <c r="AE172" s="2793"/>
      <c r="AF172" s="2793"/>
      <c r="AG172" s="2793"/>
      <c r="AH172" s="2794"/>
      <c r="AI172" s="2793"/>
      <c r="AJ172" s="2793"/>
      <c r="AK172" s="2793"/>
      <c r="AL172" s="2793"/>
      <c r="AM172" s="2793"/>
      <c r="AN172" s="2793"/>
      <c r="AO172" s="2793"/>
      <c r="AP172" s="2793"/>
      <c r="AQ172" s="2793"/>
      <c r="AR172" s="2783"/>
      <c r="AS172" s="2783"/>
      <c r="AT172" s="2783"/>
      <c r="AU172" s="2783"/>
      <c r="AV172" s="2730"/>
      <c r="AY172" s="2730"/>
    </row>
    <row r="173" spans="1:51">
      <c r="A173" s="2795"/>
      <c r="K173" s="2783"/>
      <c r="L173" s="2783"/>
      <c r="M173" s="2793"/>
      <c r="N173" s="2793"/>
      <c r="O173" s="2793"/>
      <c r="P173" s="2793"/>
      <c r="Q173" s="2793"/>
      <c r="R173" s="2793"/>
      <c r="S173" s="2793"/>
      <c r="T173" s="2793"/>
      <c r="U173" s="2793"/>
      <c r="V173" s="2793"/>
      <c r="W173" s="2793"/>
      <c r="X173" s="2793"/>
      <c r="Y173" s="2793"/>
      <c r="Z173" s="2793"/>
      <c r="AA173" s="2793"/>
      <c r="AB173" s="2793"/>
      <c r="AC173" s="2793"/>
      <c r="AD173" s="2793"/>
      <c r="AE173" s="2793"/>
      <c r="AF173" s="2793"/>
      <c r="AG173" s="2793"/>
      <c r="AH173" s="2794"/>
      <c r="AI173" s="2793"/>
      <c r="AJ173" s="2793"/>
      <c r="AK173" s="2793"/>
      <c r="AL173" s="2793"/>
      <c r="AM173" s="2793"/>
      <c r="AN173" s="2793"/>
      <c r="AO173" s="2793"/>
      <c r="AP173" s="2793"/>
      <c r="AQ173" s="2793"/>
      <c r="AR173" s="2783"/>
      <c r="AS173" s="2783"/>
      <c r="AT173" s="2783"/>
      <c r="AU173" s="2783"/>
      <c r="AV173" s="2730"/>
      <c r="AY173" s="2730"/>
    </row>
    <row r="174" spans="1:51">
      <c r="A174" s="2795"/>
      <c r="K174" s="2783"/>
      <c r="L174" s="2783"/>
      <c r="M174" s="2793"/>
      <c r="N174" s="2793"/>
      <c r="O174" s="2793"/>
      <c r="P174" s="2793"/>
      <c r="Q174" s="2793"/>
      <c r="R174" s="2793"/>
      <c r="S174" s="2793"/>
      <c r="T174" s="2793"/>
      <c r="U174" s="2793"/>
      <c r="V174" s="2793"/>
      <c r="W174" s="2793"/>
      <c r="X174" s="2793"/>
      <c r="Y174" s="2793"/>
      <c r="Z174" s="2793"/>
      <c r="AA174" s="2793"/>
      <c r="AB174" s="2793"/>
      <c r="AC174" s="2793"/>
      <c r="AD174" s="2793"/>
      <c r="AE174" s="2793"/>
      <c r="AF174" s="2793"/>
      <c r="AG174" s="2793"/>
      <c r="AH174" s="2794"/>
      <c r="AI174" s="2793"/>
      <c r="AJ174" s="2793"/>
      <c r="AK174" s="2793"/>
      <c r="AL174" s="2793"/>
      <c r="AM174" s="2793"/>
      <c r="AN174" s="2793"/>
      <c r="AO174" s="2793"/>
      <c r="AP174" s="2793"/>
      <c r="AQ174" s="2793"/>
      <c r="AR174" s="2783"/>
      <c r="AS174" s="2783"/>
      <c r="AT174" s="2783"/>
      <c r="AU174" s="2783"/>
      <c r="AV174" s="2730"/>
      <c r="AY174" s="2730"/>
    </row>
    <row r="175" spans="1:51">
      <c r="A175" s="2795"/>
      <c r="K175" s="2783"/>
      <c r="L175" s="2783"/>
      <c r="M175" s="2793"/>
      <c r="N175" s="2793"/>
      <c r="O175" s="2793"/>
      <c r="P175" s="2793"/>
      <c r="Q175" s="2793"/>
      <c r="R175" s="2793"/>
      <c r="S175" s="2793"/>
      <c r="T175" s="2793"/>
      <c r="U175" s="2793"/>
      <c r="V175" s="2793"/>
      <c r="W175" s="2793"/>
      <c r="X175" s="2793"/>
      <c r="Y175" s="2793"/>
      <c r="Z175" s="2793"/>
      <c r="AA175" s="2793"/>
      <c r="AB175" s="2793"/>
      <c r="AC175" s="2793"/>
      <c r="AD175" s="2793"/>
      <c r="AE175" s="2793"/>
      <c r="AF175" s="2793"/>
      <c r="AG175" s="2793"/>
      <c r="AH175" s="2794"/>
      <c r="AI175" s="2793"/>
      <c r="AJ175" s="2793"/>
      <c r="AK175" s="2793"/>
      <c r="AL175" s="2793"/>
      <c r="AM175" s="2793"/>
      <c r="AN175" s="2793"/>
      <c r="AO175" s="2793"/>
      <c r="AP175" s="2793"/>
      <c r="AQ175" s="2793"/>
      <c r="AR175" s="2783"/>
      <c r="AS175" s="2783"/>
      <c r="AT175" s="2783"/>
      <c r="AU175" s="2783"/>
      <c r="AV175" s="2730"/>
      <c r="AY175" s="2730"/>
    </row>
    <row r="176" spans="1:51">
      <c r="A176" s="2795"/>
      <c r="K176" s="2783"/>
      <c r="L176" s="2783"/>
      <c r="M176" s="2793"/>
      <c r="N176" s="2793"/>
      <c r="O176" s="2793"/>
      <c r="P176" s="2793"/>
      <c r="Q176" s="2793"/>
      <c r="R176" s="2793"/>
      <c r="S176" s="2793"/>
      <c r="T176" s="2793"/>
      <c r="U176" s="2793"/>
      <c r="V176" s="2793"/>
      <c r="W176" s="2793"/>
      <c r="X176" s="2793"/>
      <c r="Y176" s="2793"/>
      <c r="Z176" s="2793"/>
      <c r="AA176" s="2793"/>
      <c r="AB176" s="2793"/>
      <c r="AC176" s="2793"/>
      <c r="AD176" s="2793"/>
      <c r="AE176" s="2793"/>
      <c r="AF176" s="2793"/>
      <c r="AG176" s="2793"/>
      <c r="AH176" s="2794"/>
      <c r="AI176" s="2793"/>
      <c r="AJ176" s="2793"/>
      <c r="AK176" s="2793"/>
      <c r="AL176" s="2793"/>
      <c r="AM176" s="2793"/>
      <c r="AN176" s="2793"/>
      <c r="AO176" s="2793"/>
      <c r="AP176" s="2793"/>
      <c r="AQ176" s="2793"/>
      <c r="AR176" s="2783"/>
      <c r="AS176" s="2783"/>
      <c r="AT176" s="2783"/>
      <c r="AU176" s="2783"/>
      <c r="AV176" s="2730"/>
      <c r="AY176" s="2730"/>
    </row>
    <row r="177" spans="1:51">
      <c r="A177" s="2795"/>
      <c r="K177" s="2783"/>
      <c r="L177" s="2783"/>
      <c r="M177" s="2793"/>
      <c r="N177" s="2793"/>
      <c r="O177" s="2793"/>
      <c r="P177" s="2793"/>
      <c r="Q177" s="2793"/>
      <c r="R177" s="2793"/>
      <c r="S177" s="2793"/>
      <c r="T177" s="2793"/>
      <c r="U177" s="2793"/>
      <c r="V177" s="2793"/>
      <c r="W177" s="2793"/>
      <c r="X177" s="2793"/>
      <c r="Y177" s="2793"/>
      <c r="Z177" s="2793"/>
      <c r="AA177" s="2793"/>
      <c r="AB177" s="2793"/>
      <c r="AC177" s="2793"/>
      <c r="AD177" s="2793"/>
      <c r="AE177" s="2793"/>
      <c r="AF177" s="2793"/>
      <c r="AG177" s="2793"/>
      <c r="AH177" s="2794"/>
      <c r="AI177" s="2793"/>
      <c r="AJ177" s="2793"/>
      <c r="AK177" s="2793"/>
      <c r="AL177" s="2793"/>
      <c r="AM177" s="2793"/>
      <c r="AN177" s="2793"/>
      <c r="AO177" s="2793"/>
      <c r="AP177" s="2793"/>
      <c r="AQ177" s="2793"/>
      <c r="AR177" s="2783"/>
      <c r="AS177" s="2783"/>
      <c r="AT177" s="2783"/>
      <c r="AU177" s="2783"/>
      <c r="AV177" s="2730"/>
      <c r="AY177" s="2730"/>
    </row>
    <row r="178" spans="1:51">
      <c r="A178" s="2795"/>
      <c r="K178" s="2783"/>
      <c r="L178" s="2783"/>
      <c r="M178" s="2793"/>
      <c r="N178" s="2793"/>
      <c r="O178" s="2793"/>
      <c r="P178" s="2793"/>
      <c r="Q178" s="2793"/>
      <c r="R178" s="2793"/>
      <c r="S178" s="2793"/>
      <c r="T178" s="2793"/>
      <c r="U178" s="2793"/>
      <c r="V178" s="2793"/>
      <c r="W178" s="2793"/>
      <c r="X178" s="2793"/>
      <c r="Y178" s="2793"/>
      <c r="Z178" s="2793"/>
      <c r="AA178" s="2793"/>
      <c r="AB178" s="2793"/>
      <c r="AC178" s="2793"/>
      <c r="AD178" s="2793"/>
      <c r="AE178" s="2793"/>
      <c r="AF178" s="2793"/>
      <c r="AG178" s="2793"/>
      <c r="AH178" s="2794"/>
      <c r="AI178" s="2793"/>
      <c r="AJ178" s="2793"/>
      <c r="AK178" s="2793"/>
      <c r="AL178" s="2793"/>
      <c r="AM178" s="2793"/>
      <c r="AN178" s="2793"/>
      <c r="AO178" s="2793"/>
      <c r="AP178" s="2793"/>
      <c r="AQ178" s="2793"/>
      <c r="AR178" s="2783"/>
      <c r="AS178" s="2783"/>
      <c r="AT178" s="2783"/>
      <c r="AU178" s="2783"/>
      <c r="AV178" s="2730"/>
      <c r="AY178" s="2730"/>
    </row>
    <row r="179" spans="1:51">
      <c r="A179" s="2795"/>
      <c r="K179" s="2783"/>
      <c r="L179" s="2783"/>
      <c r="M179" s="2793"/>
      <c r="N179" s="2793"/>
      <c r="O179" s="2793"/>
      <c r="P179" s="2793"/>
      <c r="Q179" s="2793"/>
      <c r="R179" s="2793"/>
      <c r="S179" s="2793"/>
      <c r="T179" s="2793"/>
      <c r="U179" s="2793"/>
      <c r="V179" s="2793"/>
      <c r="W179" s="2793"/>
      <c r="X179" s="2793"/>
      <c r="Y179" s="2793"/>
      <c r="Z179" s="2793"/>
      <c r="AA179" s="2793"/>
      <c r="AB179" s="2793"/>
      <c r="AC179" s="2793"/>
      <c r="AD179" s="2793"/>
      <c r="AE179" s="2793"/>
      <c r="AF179" s="2793"/>
      <c r="AG179" s="2793"/>
      <c r="AH179" s="2794"/>
      <c r="AI179" s="2793"/>
      <c r="AJ179" s="2793"/>
      <c r="AK179" s="2793"/>
      <c r="AL179" s="2793"/>
      <c r="AM179" s="2793"/>
      <c r="AN179" s="2793"/>
      <c r="AO179" s="2793"/>
      <c r="AP179" s="2793"/>
      <c r="AQ179" s="2793"/>
      <c r="AR179" s="2783"/>
      <c r="AS179" s="2783"/>
      <c r="AT179" s="2783"/>
      <c r="AU179" s="2783"/>
      <c r="AV179" s="2730"/>
      <c r="AY179" s="2730"/>
    </row>
    <row r="180" spans="1:51">
      <c r="A180" s="2795"/>
      <c r="K180" s="2783"/>
      <c r="L180" s="2783"/>
      <c r="M180" s="2793"/>
      <c r="N180" s="2793"/>
      <c r="O180" s="2793"/>
      <c r="P180" s="2793"/>
      <c r="Q180" s="2793"/>
      <c r="R180" s="2793"/>
      <c r="S180" s="2793"/>
      <c r="T180" s="2793"/>
      <c r="U180" s="2793"/>
      <c r="V180" s="2793"/>
      <c r="W180" s="2793"/>
      <c r="X180" s="2793"/>
      <c r="Y180" s="2793"/>
      <c r="Z180" s="2793"/>
      <c r="AA180" s="2793"/>
      <c r="AB180" s="2793"/>
      <c r="AC180" s="2793"/>
      <c r="AD180" s="2793"/>
      <c r="AE180" s="2793"/>
      <c r="AF180" s="2793"/>
      <c r="AG180" s="2793"/>
      <c r="AH180" s="2794"/>
      <c r="AI180" s="2793"/>
      <c r="AJ180" s="2793"/>
      <c r="AK180" s="2793"/>
      <c r="AL180" s="2793"/>
      <c r="AM180" s="2793"/>
      <c r="AN180" s="2793"/>
      <c r="AO180" s="2793"/>
      <c r="AP180" s="2793"/>
      <c r="AQ180" s="2793"/>
      <c r="AR180" s="2783"/>
      <c r="AS180" s="2783"/>
      <c r="AT180" s="2783"/>
      <c r="AU180" s="2783"/>
      <c r="AV180" s="2730"/>
      <c r="AY180" s="2730"/>
    </row>
    <row r="181" spans="1:51">
      <c r="A181" s="2795"/>
      <c r="K181" s="2783"/>
      <c r="L181" s="2783"/>
      <c r="M181" s="2793"/>
      <c r="N181" s="2793"/>
      <c r="O181" s="2793"/>
      <c r="P181" s="2793"/>
      <c r="Q181" s="2793"/>
      <c r="R181" s="2793"/>
      <c r="S181" s="2793"/>
      <c r="T181" s="2793"/>
      <c r="U181" s="2793"/>
      <c r="V181" s="2793"/>
      <c r="W181" s="2793"/>
      <c r="X181" s="2793"/>
      <c r="Y181" s="2793"/>
      <c r="Z181" s="2793"/>
      <c r="AA181" s="2793"/>
      <c r="AB181" s="2793"/>
      <c r="AC181" s="2793"/>
      <c r="AD181" s="2793"/>
      <c r="AE181" s="2793"/>
      <c r="AF181" s="2793"/>
      <c r="AG181" s="2793"/>
      <c r="AH181" s="2794"/>
      <c r="AI181" s="2793"/>
      <c r="AJ181" s="2793"/>
      <c r="AK181" s="2793"/>
      <c r="AL181" s="2793"/>
      <c r="AM181" s="2793"/>
      <c r="AN181" s="2793"/>
      <c r="AO181" s="2793"/>
      <c r="AP181" s="2793"/>
      <c r="AQ181" s="2793"/>
      <c r="AR181" s="2783"/>
      <c r="AS181" s="2783"/>
      <c r="AT181" s="2783"/>
      <c r="AU181" s="2783"/>
      <c r="AV181" s="2730"/>
      <c r="AY181" s="2730"/>
    </row>
    <row r="182" spans="1:51">
      <c r="A182" s="2795"/>
      <c r="K182" s="2783"/>
      <c r="L182" s="2783"/>
      <c r="M182" s="2793"/>
      <c r="N182" s="2793"/>
      <c r="O182" s="2793"/>
      <c r="P182" s="2793"/>
      <c r="Q182" s="2793"/>
      <c r="R182" s="2793"/>
      <c r="S182" s="2793"/>
      <c r="T182" s="2793"/>
      <c r="U182" s="2793"/>
      <c r="V182" s="2793"/>
      <c r="W182" s="2793"/>
      <c r="X182" s="2793"/>
      <c r="Y182" s="2793"/>
      <c r="Z182" s="2793"/>
      <c r="AA182" s="2793"/>
      <c r="AB182" s="2793"/>
      <c r="AC182" s="2793"/>
      <c r="AD182" s="2793"/>
      <c r="AE182" s="2793"/>
      <c r="AF182" s="2793"/>
      <c r="AG182" s="2793"/>
      <c r="AH182" s="2794"/>
      <c r="AI182" s="2793"/>
      <c r="AJ182" s="2793"/>
      <c r="AK182" s="2793"/>
      <c r="AL182" s="2793"/>
      <c r="AM182" s="2793"/>
      <c r="AN182" s="2793"/>
      <c r="AO182" s="2793"/>
      <c r="AP182" s="2793"/>
      <c r="AQ182" s="2793"/>
      <c r="AR182" s="2783"/>
      <c r="AS182" s="2783"/>
      <c r="AT182" s="2783"/>
      <c r="AU182" s="2783"/>
      <c r="AV182" s="2730"/>
      <c r="AY182" s="2730"/>
    </row>
    <row r="183" spans="1:51">
      <c r="A183" s="2795"/>
      <c r="K183" s="2783"/>
      <c r="L183" s="2783"/>
      <c r="M183" s="2793"/>
      <c r="N183" s="2793"/>
      <c r="O183" s="2793"/>
      <c r="P183" s="2793"/>
      <c r="Q183" s="2793"/>
      <c r="R183" s="2793"/>
      <c r="S183" s="2793"/>
      <c r="T183" s="2793"/>
      <c r="U183" s="2793"/>
      <c r="V183" s="2793"/>
      <c r="W183" s="2793"/>
      <c r="X183" s="2793"/>
      <c r="Y183" s="2793"/>
      <c r="Z183" s="2793"/>
      <c r="AA183" s="2793"/>
      <c r="AB183" s="2793"/>
      <c r="AC183" s="2793"/>
      <c r="AD183" s="2793"/>
      <c r="AE183" s="2793"/>
      <c r="AF183" s="2793"/>
      <c r="AG183" s="2793"/>
      <c r="AH183" s="2794"/>
      <c r="AI183" s="2793"/>
      <c r="AJ183" s="2793"/>
      <c r="AK183" s="2793"/>
      <c r="AL183" s="2793"/>
      <c r="AM183" s="2793"/>
      <c r="AN183" s="2793"/>
      <c r="AO183" s="2793"/>
      <c r="AP183" s="2793"/>
      <c r="AQ183" s="2793"/>
      <c r="AR183" s="2783"/>
      <c r="AS183" s="2783"/>
      <c r="AT183" s="2783"/>
      <c r="AU183" s="2783"/>
      <c r="AV183" s="2730"/>
      <c r="AY183" s="2730"/>
    </row>
    <row r="184" spans="1:51">
      <c r="A184" s="2795"/>
      <c r="K184" s="2783"/>
      <c r="L184" s="2783"/>
      <c r="M184" s="2793"/>
      <c r="N184" s="2793"/>
      <c r="O184" s="2793"/>
      <c r="P184" s="2793"/>
      <c r="Q184" s="2793"/>
      <c r="R184" s="2793"/>
      <c r="S184" s="2793"/>
      <c r="T184" s="2793"/>
      <c r="U184" s="2793"/>
      <c r="V184" s="2793"/>
      <c r="W184" s="2793"/>
      <c r="X184" s="2793"/>
      <c r="Y184" s="2793"/>
      <c r="Z184" s="2793"/>
      <c r="AA184" s="2793"/>
      <c r="AB184" s="2793"/>
      <c r="AC184" s="2793"/>
      <c r="AD184" s="2793"/>
      <c r="AE184" s="2793"/>
      <c r="AF184" s="2793"/>
      <c r="AG184" s="2793"/>
      <c r="AH184" s="2794"/>
      <c r="AI184" s="2793"/>
      <c r="AJ184" s="2793"/>
      <c r="AK184" s="2793"/>
      <c r="AL184" s="2793"/>
      <c r="AM184" s="2793"/>
      <c r="AN184" s="2793"/>
      <c r="AO184" s="2793"/>
      <c r="AP184" s="2793"/>
      <c r="AQ184" s="2793"/>
      <c r="AR184" s="2783"/>
      <c r="AS184" s="2783"/>
      <c r="AT184" s="2783"/>
      <c r="AU184" s="2783"/>
      <c r="AV184" s="2730"/>
      <c r="AY184" s="2730"/>
    </row>
    <row r="185" spans="1:51">
      <c r="A185" s="2795"/>
      <c r="K185" s="2783"/>
      <c r="L185" s="2783"/>
      <c r="M185" s="2793"/>
      <c r="N185" s="2793"/>
      <c r="O185" s="2793"/>
      <c r="P185" s="2793"/>
      <c r="Q185" s="2793"/>
      <c r="R185" s="2793"/>
      <c r="S185" s="2793"/>
      <c r="T185" s="2793"/>
      <c r="U185" s="2793"/>
      <c r="V185" s="2793"/>
      <c r="W185" s="2793"/>
      <c r="X185" s="2793"/>
      <c r="Y185" s="2793"/>
      <c r="Z185" s="2793"/>
      <c r="AA185" s="2793"/>
      <c r="AB185" s="2793"/>
      <c r="AC185" s="2793"/>
      <c r="AD185" s="2793"/>
      <c r="AE185" s="2793"/>
      <c r="AF185" s="2793"/>
      <c r="AG185" s="2793"/>
      <c r="AH185" s="2794"/>
      <c r="AI185" s="2793"/>
      <c r="AJ185" s="2793"/>
      <c r="AK185" s="2793"/>
      <c r="AL185" s="2793"/>
      <c r="AM185" s="2793"/>
      <c r="AN185" s="2793"/>
      <c r="AO185" s="2793"/>
      <c r="AP185" s="2793"/>
      <c r="AQ185" s="2793"/>
      <c r="AR185" s="2783"/>
      <c r="AS185" s="2783"/>
      <c r="AT185" s="2783"/>
      <c r="AU185" s="2783"/>
      <c r="AV185" s="2730"/>
      <c r="AY185" s="2730"/>
    </row>
    <row r="186" spans="1:51">
      <c r="A186" s="2795"/>
      <c r="K186" s="2783"/>
      <c r="L186" s="2783"/>
      <c r="M186" s="2793"/>
      <c r="N186" s="2793"/>
      <c r="O186" s="2793"/>
      <c r="P186" s="2793"/>
      <c r="Q186" s="2793"/>
      <c r="R186" s="2793"/>
      <c r="S186" s="2793"/>
      <c r="T186" s="2793"/>
      <c r="U186" s="2793"/>
      <c r="V186" s="2793"/>
      <c r="W186" s="2793"/>
      <c r="X186" s="2793"/>
      <c r="Y186" s="2793"/>
      <c r="Z186" s="2793"/>
      <c r="AA186" s="2793"/>
      <c r="AB186" s="2793"/>
      <c r="AC186" s="2793"/>
      <c r="AD186" s="2793"/>
      <c r="AE186" s="2793"/>
      <c r="AF186" s="2793"/>
      <c r="AG186" s="2793"/>
      <c r="AH186" s="2794"/>
      <c r="AI186" s="2793"/>
      <c r="AJ186" s="2793"/>
      <c r="AK186" s="2793"/>
      <c r="AL186" s="2793"/>
      <c r="AM186" s="2793"/>
      <c r="AN186" s="2793"/>
      <c r="AO186" s="2793"/>
      <c r="AP186" s="2793"/>
      <c r="AQ186" s="2793"/>
      <c r="AR186" s="2783"/>
      <c r="AS186" s="2783"/>
      <c r="AT186" s="2783"/>
      <c r="AU186" s="2783"/>
      <c r="AV186" s="2730"/>
      <c r="AY186" s="2730"/>
    </row>
    <row r="187" spans="1:51">
      <c r="A187" s="2795"/>
      <c r="K187" s="2783"/>
      <c r="L187" s="2783"/>
      <c r="M187" s="2793"/>
      <c r="N187" s="2793"/>
      <c r="O187" s="2793"/>
      <c r="P187" s="2793"/>
      <c r="Q187" s="2793"/>
      <c r="R187" s="2793"/>
      <c r="S187" s="2793"/>
      <c r="T187" s="2793"/>
      <c r="U187" s="2793"/>
      <c r="V187" s="2793"/>
      <c r="W187" s="2793"/>
      <c r="X187" s="2793"/>
      <c r="Y187" s="2793"/>
      <c r="Z187" s="2793"/>
      <c r="AA187" s="2793"/>
      <c r="AB187" s="2793"/>
      <c r="AC187" s="2793"/>
      <c r="AD187" s="2793"/>
      <c r="AE187" s="2793"/>
      <c r="AF187" s="2793"/>
      <c r="AG187" s="2793"/>
      <c r="AH187" s="2794"/>
      <c r="AI187" s="2793"/>
      <c r="AJ187" s="2793"/>
      <c r="AK187" s="2793"/>
      <c r="AL187" s="2793"/>
      <c r="AM187" s="2793"/>
      <c r="AN187" s="2793"/>
      <c r="AO187" s="2793"/>
      <c r="AP187" s="2793"/>
      <c r="AQ187" s="2793"/>
      <c r="AR187" s="2783"/>
      <c r="AS187" s="2783"/>
      <c r="AT187" s="2783"/>
      <c r="AU187" s="2783"/>
      <c r="AV187" s="2730"/>
      <c r="AY187" s="2730"/>
    </row>
    <row r="188" spans="1:51">
      <c r="A188" s="2795"/>
      <c r="K188" s="2783"/>
      <c r="L188" s="2783"/>
      <c r="M188" s="2793"/>
      <c r="N188" s="2793"/>
      <c r="O188" s="2793"/>
      <c r="P188" s="2793"/>
      <c r="Q188" s="2793"/>
      <c r="R188" s="2793"/>
      <c r="S188" s="2793"/>
      <c r="T188" s="2793"/>
      <c r="U188" s="2793"/>
      <c r="V188" s="2793"/>
      <c r="W188" s="2793"/>
      <c r="X188" s="2793"/>
      <c r="Y188" s="2793"/>
      <c r="Z188" s="2793"/>
      <c r="AA188" s="2793"/>
      <c r="AB188" s="2793"/>
      <c r="AC188" s="2793"/>
      <c r="AD188" s="2793"/>
      <c r="AE188" s="2793"/>
      <c r="AF188" s="2793"/>
      <c r="AG188" s="2793"/>
      <c r="AH188" s="2794"/>
      <c r="AI188" s="2793"/>
      <c r="AJ188" s="2793"/>
      <c r="AK188" s="2793"/>
      <c r="AL188" s="2793"/>
      <c r="AM188" s="2793"/>
      <c r="AN188" s="2793"/>
      <c r="AO188" s="2793"/>
      <c r="AP188" s="2793"/>
      <c r="AQ188" s="2793"/>
      <c r="AR188" s="2783"/>
      <c r="AS188" s="2783"/>
      <c r="AT188" s="2783"/>
      <c r="AU188" s="2783"/>
      <c r="AV188" s="2730"/>
      <c r="AY188" s="2730"/>
    </row>
    <row r="189" spans="1:51">
      <c r="A189" s="2795"/>
      <c r="K189" s="2783"/>
      <c r="L189" s="2783"/>
      <c r="M189" s="2793"/>
      <c r="N189" s="2793"/>
      <c r="O189" s="2793"/>
      <c r="P189" s="2793"/>
      <c r="Q189" s="2793"/>
      <c r="R189" s="2793"/>
      <c r="S189" s="2793"/>
      <c r="T189" s="2793"/>
      <c r="U189" s="2793"/>
      <c r="V189" s="2793"/>
      <c r="W189" s="2793"/>
      <c r="X189" s="2793"/>
      <c r="Y189" s="2793"/>
      <c r="Z189" s="2793"/>
      <c r="AA189" s="2793"/>
      <c r="AB189" s="2793"/>
      <c r="AC189" s="2793"/>
      <c r="AD189" s="2793"/>
      <c r="AE189" s="2793"/>
      <c r="AF189" s="2793"/>
      <c r="AG189" s="2793"/>
      <c r="AH189" s="2794"/>
      <c r="AI189" s="2793"/>
      <c r="AJ189" s="2793"/>
      <c r="AK189" s="2793"/>
      <c r="AL189" s="2793"/>
      <c r="AM189" s="2793"/>
      <c r="AN189" s="2793"/>
      <c r="AO189" s="2793"/>
      <c r="AP189" s="2793"/>
      <c r="AQ189" s="2793"/>
      <c r="AR189" s="2783"/>
      <c r="AS189" s="2783"/>
      <c r="AT189" s="2783"/>
      <c r="AU189" s="2783"/>
      <c r="AV189" s="2730"/>
      <c r="AY189" s="2730"/>
    </row>
    <row r="190" spans="1:51">
      <c r="A190" s="2795"/>
      <c r="K190" s="2783"/>
      <c r="L190" s="2783"/>
      <c r="M190" s="2793"/>
      <c r="N190" s="2793"/>
      <c r="O190" s="2793"/>
      <c r="P190" s="2793"/>
      <c r="Q190" s="2793"/>
      <c r="R190" s="2793"/>
      <c r="S190" s="2793"/>
      <c r="T190" s="2793"/>
      <c r="U190" s="2793"/>
      <c r="V190" s="2793"/>
      <c r="W190" s="2793"/>
      <c r="X190" s="2793"/>
      <c r="Y190" s="2793"/>
      <c r="Z190" s="2793"/>
      <c r="AA190" s="2793"/>
      <c r="AB190" s="2793"/>
      <c r="AC190" s="2793"/>
      <c r="AD190" s="2793"/>
      <c r="AE190" s="2793"/>
      <c r="AF190" s="2793"/>
      <c r="AG190" s="2793"/>
      <c r="AH190" s="2794"/>
      <c r="AI190" s="2793"/>
      <c r="AJ190" s="2793"/>
      <c r="AK190" s="2793"/>
      <c r="AL190" s="2793"/>
      <c r="AM190" s="2793"/>
      <c r="AN190" s="2793"/>
      <c r="AO190" s="2793"/>
      <c r="AP190" s="2793"/>
      <c r="AQ190" s="2793"/>
      <c r="AR190" s="2783"/>
      <c r="AS190" s="2783"/>
      <c r="AT190" s="2783"/>
      <c r="AU190" s="2783"/>
      <c r="AV190" s="2730"/>
      <c r="AY190" s="2730"/>
    </row>
    <row r="191" spans="1:51">
      <c r="A191" s="2795"/>
      <c r="K191" s="2783"/>
      <c r="L191" s="2783"/>
      <c r="M191" s="2793"/>
      <c r="N191" s="2793"/>
      <c r="O191" s="2793"/>
      <c r="P191" s="2793"/>
      <c r="Q191" s="2793"/>
      <c r="R191" s="2793"/>
      <c r="S191" s="2793"/>
      <c r="T191" s="2793"/>
      <c r="U191" s="2793"/>
      <c r="V191" s="2793"/>
      <c r="W191" s="2793"/>
      <c r="X191" s="2793"/>
      <c r="Y191" s="2793"/>
      <c r="Z191" s="2793"/>
      <c r="AA191" s="2793"/>
      <c r="AB191" s="2793"/>
      <c r="AC191" s="2793"/>
      <c r="AD191" s="2793"/>
      <c r="AE191" s="2793"/>
      <c r="AF191" s="2793"/>
      <c r="AG191" s="2793"/>
      <c r="AH191" s="2794"/>
      <c r="AI191" s="2793"/>
      <c r="AJ191" s="2793"/>
      <c r="AK191" s="2793"/>
      <c r="AL191" s="2793"/>
      <c r="AM191" s="2793"/>
      <c r="AN191" s="2793"/>
      <c r="AO191" s="2793"/>
      <c r="AP191" s="2793"/>
      <c r="AQ191" s="2793"/>
      <c r="AR191" s="2783"/>
      <c r="AS191" s="2783"/>
      <c r="AT191" s="2783"/>
      <c r="AU191" s="2783"/>
      <c r="AV191" s="2730"/>
      <c r="AY191" s="2730"/>
    </row>
    <row r="192" spans="1:51">
      <c r="A192" s="2795"/>
      <c r="K192" s="2783"/>
      <c r="L192" s="2783"/>
      <c r="M192" s="2793"/>
      <c r="N192" s="2793"/>
      <c r="O192" s="2793"/>
      <c r="P192" s="2793"/>
      <c r="Q192" s="2793"/>
      <c r="R192" s="2793"/>
      <c r="S192" s="2793"/>
      <c r="T192" s="2793"/>
      <c r="U192" s="2793"/>
      <c r="V192" s="2793"/>
      <c r="W192" s="2793"/>
      <c r="X192" s="2793"/>
      <c r="Y192" s="2793"/>
      <c r="Z192" s="2793"/>
      <c r="AA192" s="2793"/>
      <c r="AB192" s="2793"/>
      <c r="AC192" s="2793"/>
      <c r="AD192" s="2793"/>
      <c r="AE192" s="2793"/>
      <c r="AF192" s="2793"/>
      <c r="AG192" s="2793"/>
      <c r="AH192" s="2794"/>
      <c r="AI192" s="2793"/>
      <c r="AJ192" s="2793"/>
      <c r="AK192" s="2793"/>
      <c r="AL192" s="2793"/>
      <c r="AM192" s="2793"/>
      <c r="AN192" s="2793"/>
      <c r="AO192" s="2793"/>
      <c r="AP192" s="2793"/>
      <c r="AQ192" s="2793"/>
      <c r="AR192" s="2783"/>
      <c r="AS192" s="2783"/>
      <c r="AT192" s="2783"/>
      <c r="AU192" s="2783"/>
      <c r="AV192" s="2730"/>
      <c r="AY192" s="2730"/>
    </row>
    <row r="193" spans="1:51">
      <c r="A193" s="2795"/>
      <c r="K193" s="2783"/>
      <c r="L193" s="2783"/>
      <c r="M193" s="2793"/>
      <c r="N193" s="2793"/>
      <c r="O193" s="2793"/>
      <c r="P193" s="2793"/>
      <c r="Q193" s="2793"/>
      <c r="R193" s="2793"/>
      <c r="S193" s="2793"/>
      <c r="T193" s="2793"/>
      <c r="U193" s="2793"/>
      <c r="V193" s="2793"/>
      <c r="W193" s="2793"/>
      <c r="X193" s="2793"/>
      <c r="Y193" s="2793"/>
      <c r="Z193" s="2793"/>
      <c r="AA193" s="2793"/>
      <c r="AB193" s="2793"/>
      <c r="AC193" s="2793"/>
      <c r="AD193" s="2793"/>
      <c r="AE193" s="2793"/>
      <c r="AF193" s="2793"/>
      <c r="AG193" s="2793"/>
      <c r="AH193" s="2794"/>
      <c r="AI193" s="2793"/>
      <c r="AJ193" s="2793"/>
      <c r="AK193" s="2793"/>
      <c r="AL193" s="2793"/>
      <c r="AM193" s="2793"/>
      <c r="AN193" s="2793"/>
      <c r="AO193" s="2793"/>
      <c r="AP193" s="2793"/>
      <c r="AQ193" s="2793"/>
      <c r="AR193" s="2783"/>
      <c r="AS193" s="2783"/>
      <c r="AT193" s="2783"/>
      <c r="AU193" s="2783"/>
      <c r="AV193" s="2730"/>
      <c r="AY193" s="2730"/>
    </row>
    <row r="194" spans="1:51">
      <c r="A194" s="2795"/>
      <c r="K194" s="2783"/>
      <c r="L194" s="2783"/>
      <c r="M194" s="2793"/>
      <c r="N194" s="2793"/>
      <c r="O194" s="2793"/>
      <c r="P194" s="2793"/>
      <c r="Q194" s="2793"/>
      <c r="R194" s="2793"/>
      <c r="S194" s="2793"/>
      <c r="T194" s="2793"/>
      <c r="U194" s="2793"/>
      <c r="V194" s="2793"/>
      <c r="W194" s="2793"/>
      <c r="X194" s="2793"/>
      <c r="Y194" s="2793"/>
      <c r="Z194" s="2793"/>
      <c r="AA194" s="2793"/>
      <c r="AB194" s="2793"/>
      <c r="AC194" s="2793"/>
      <c r="AD194" s="2793"/>
      <c r="AE194" s="2793"/>
      <c r="AF194" s="2793"/>
      <c r="AG194" s="2793"/>
      <c r="AH194" s="2794"/>
      <c r="AI194" s="2793"/>
      <c r="AJ194" s="2793"/>
      <c r="AK194" s="2793"/>
      <c r="AL194" s="2793"/>
      <c r="AM194" s="2793"/>
      <c r="AN194" s="2793"/>
      <c r="AO194" s="2793"/>
      <c r="AP194" s="2793"/>
      <c r="AQ194" s="2793"/>
      <c r="AR194" s="2783"/>
      <c r="AS194" s="2783"/>
      <c r="AT194" s="2783"/>
      <c r="AU194" s="2783"/>
      <c r="AV194" s="2730"/>
      <c r="AY194" s="2730"/>
    </row>
    <row r="195" spans="1:51">
      <c r="A195" s="2795"/>
      <c r="K195" s="2783"/>
      <c r="L195" s="2783"/>
      <c r="M195" s="2793"/>
      <c r="N195" s="2793"/>
      <c r="O195" s="2793"/>
      <c r="P195" s="2793"/>
      <c r="Q195" s="2793"/>
      <c r="R195" s="2793"/>
      <c r="S195" s="2793"/>
      <c r="T195" s="2793"/>
      <c r="U195" s="2793"/>
      <c r="V195" s="2793"/>
      <c r="W195" s="2793"/>
      <c r="X195" s="2793"/>
      <c r="Y195" s="2793"/>
      <c r="Z195" s="2793"/>
      <c r="AA195" s="2793"/>
      <c r="AB195" s="2793"/>
      <c r="AC195" s="2793"/>
      <c r="AD195" s="2793"/>
      <c r="AE195" s="2793"/>
      <c r="AF195" s="2793"/>
      <c r="AG195" s="2793"/>
      <c r="AH195" s="2794"/>
      <c r="AI195" s="2793"/>
      <c r="AJ195" s="2793"/>
      <c r="AK195" s="2793"/>
      <c r="AL195" s="2793"/>
      <c r="AM195" s="2793"/>
      <c r="AN195" s="2793"/>
      <c r="AO195" s="2793"/>
      <c r="AP195" s="2793"/>
      <c r="AQ195" s="2793"/>
      <c r="AR195" s="2783"/>
      <c r="AS195" s="2783"/>
      <c r="AT195" s="2783"/>
      <c r="AU195" s="2783"/>
      <c r="AV195" s="2730"/>
      <c r="AY195" s="2730"/>
    </row>
    <row r="196" spans="1:51">
      <c r="A196" s="2795"/>
      <c r="K196" s="2783"/>
      <c r="L196" s="2783"/>
      <c r="M196" s="2793"/>
      <c r="N196" s="2793"/>
      <c r="O196" s="2793"/>
      <c r="P196" s="2793"/>
      <c r="Q196" s="2793"/>
      <c r="R196" s="2793"/>
      <c r="S196" s="2793"/>
      <c r="T196" s="2793"/>
      <c r="U196" s="2793"/>
      <c r="V196" s="2793"/>
      <c r="W196" s="2793"/>
      <c r="X196" s="2793"/>
      <c r="Y196" s="2793"/>
      <c r="Z196" s="2793"/>
      <c r="AA196" s="2793"/>
      <c r="AB196" s="2793"/>
      <c r="AC196" s="2793"/>
      <c r="AD196" s="2793"/>
      <c r="AE196" s="2793"/>
      <c r="AF196" s="2793"/>
      <c r="AG196" s="2793"/>
      <c r="AH196" s="2794"/>
      <c r="AI196" s="2793"/>
      <c r="AJ196" s="2793"/>
      <c r="AK196" s="2793"/>
      <c r="AL196" s="2793"/>
      <c r="AM196" s="2793"/>
      <c r="AN196" s="2793"/>
      <c r="AO196" s="2793"/>
      <c r="AP196" s="2793"/>
      <c r="AQ196" s="2793"/>
      <c r="AR196" s="2783"/>
      <c r="AS196" s="2783"/>
      <c r="AT196" s="2783"/>
      <c r="AU196" s="2783"/>
      <c r="AV196" s="2730"/>
      <c r="AY196" s="2730"/>
    </row>
    <row r="197" spans="1:51">
      <c r="A197" s="2795"/>
      <c r="K197" s="2783"/>
      <c r="L197" s="2783"/>
      <c r="M197" s="2793"/>
      <c r="N197" s="2793"/>
      <c r="O197" s="2793"/>
      <c r="P197" s="2793"/>
      <c r="Q197" s="2793"/>
      <c r="R197" s="2793"/>
      <c r="S197" s="2793"/>
      <c r="T197" s="2793"/>
      <c r="U197" s="2793"/>
      <c r="V197" s="2793"/>
      <c r="W197" s="2793"/>
      <c r="X197" s="2793"/>
      <c r="Y197" s="2793"/>
      <c r="Z197" s="2793"/>
      <c r="AA197" s="2793"/>
      <c r="AB197" s="2793"/>
      <c r="AC197" s="2793"/>
      <c r="AD197" s="2793"/>
      <c r="AE197" s="2793"/>
      <c r="AF197" s="2793"/>
      <c r="AG197" s="2793"/>
      <c r="AH197" s="2794"/>
      <c r="AI197" s="2793"/>
      <c r="AJ197" s="2793"/>
      <c r="AK197" s="2793"/>
      <c r="AL197" s="2793"/>
      <c r="AM197" s="2793"/>
      <c r="AN197" s="2793"/>
      <c r="AO197" s="2793"/>
      <c r="AP197" s="2793"/>
      <c r="AQ197" s="2793"/>
      <c r="AR197" s="2783"/>
      <c r="AS197" s="2783"/>
      <c r="AT197" s="2783"/>
      <c r="AU197" s="2783"/>
      <c r="AV197" s="2730"/>
      <c r="AY197" s="2730"/>
    </row>
    <row r="198" spans="1:51">
      <c r="A198" s="2795"/>
      <c r="K198" s="2783"/>
      <c r="L198" s="2783"/>
      <c r="M198" s="2793"/>
      <c r="N198" s="2793"/>
      <c r="O198" s="2793"/>
      <c r="P198" s="2793"/>
      <c r="Q198" s="2793"/>
      <c r="R198" s="2793"/>
      <c r="S198" s="2793"/>
      <c r="T198" s="2793"/>
      <c r="U198" s="2793"/>
      <c r="V198" s="2793"/>
      <c r="W198" s="2793"/>
      <c r="X198" s="2793"/>
      <c r="Y198" s="2793"/>
      <c r="Z198" s="2793"/>
      <c r="AA198" s="2793"/>
      <c r="AB198" s="2793"/>
      <c r="AC198" s="2793"/>
      <c r="AD198" s="2793"/>
      <c r="AE198" s="2793"/>
      <c r="AF198" s="2793"/>
      <c r="AG198" s="2793"/>
      <c r="AH198" s="2794"/>
      <c r="AI198" s="2793"/>
      <c r="AJ198" s="2793"/>
      <c r="AK198" s="2793"/>
      <c r="AL198" s="2793"/>
      <c r="AM198" s="2793"/>
      <c r="AN198" s="2793"/>
      <c r="AO198" s="2793"/>
      <c r="AP198" s="2793"/>
      <c r="AQ198" s="2793"/>
      <c r="AR198" s="2783"/>
      <c r="AS198" s="2783"/>
      <c r="AT198" s="2783"/>
      <c r="AU198" s="2783"/>
      <c r="AV198" s="2730"/>
      <c r="AY198" s="2730"/>
    </row>
    <row r="199" spans="1:51">
      <c r="A199" s="2795"/>
      <c r="K199" s="2783"/>
      <c r="L199" s="2783"/>
      <c r="M199" s="2793"/>
      <c r="N199" s="2793"/>
      <c r="O199" s="2793"/>
      <c r="P199" s="2793"/>
      <c r="Q199" s="2793"/>
      <c r="R199" s="2793"/>
      <c r="S199" s="2793"/>
      <c r="T199" s="2793"/>
      <c r="U199" s="2793"/>
      <c r="V199" s="2793"/>
      <c r="W199" s="2793"/>
      <c r="X199" s="2793"/>
      <c r="Y199" s="2793"/>
      <c r="Z199" s="2793"/>
      <c r="AA199" s="2793"/>
      <c r="AB199" s="2793"/>
      <c r="AC199" s="2793"/>
      <c r="AD199" s="2793"/>
      <c r="AE199" s="2793"/>
      <c r="AF199" s="2793"/>
      <c r="AG199" s="2793"/>
      <c r="AH199" s="2794"/>
      <c r="AI199" s="2793"/>
      <c r="AJ199" s="2793"/>
      <c r="AK199" s="2793"/>
      <c r="AL199" s="2793"/>
      <c r="AM199" s="2793"/>
      <c r="AN199" s="2793"/>
      <c r="AO199" s="2793"/>
      <c r="AP199" s="2793"/>
      <c r="AQ199" s="2793"/>
      <c r="AR199" s="2783"/>
      <c r="AS199" s="2783"/>
      <c r="AT199" s="2783"/>
      <c r="AU199" s="2783"/>
      <c r="AV199" s="2730"/>
      <c r="AY199" s="2730"/>
    </row>
    <row r="200" spans="1:51">
      <c r="A200" s="2795"/>
      <c r="K200" s="2783"/>
      <c r="L200" s="2783"/>
      <c r="M200" s="2793"/>
      <c r="N200" s="2793"/>
      <c r="O200" s="2793"/>
      <c r="P200" s="2793"/>
      <c r="Q200" s="2793"/>
      <c r="R200" s="2793"/>
      <c r="S200" s="2793"/>
      <c r="T200" s="2793"/>
      <c r="U200" s="2793"/>
      <c r="V200" s="2793"/>
      <c r="W200" s="2793"/>
      <c r="X200" s="2793"/>
      <c r="Y200" s="2793"/>
      <c r="Z200" s="2793"/>
      <c r="AA200" s="2793"/>
      <c r="AB200" s="2793"/>
      <c r="AC200" s="2793"/>
      <c r="AD200" s="2793"/>
      <c r="AE200" s="2793"/>
      <c r="AF200" s="2793"/>
      <c r="AG200" s="2793"/>
      <c r="AH200" s="2794"/>
      <c r="AI200" s="2793"/>
      <c r="AJ200" s="2793"/>
      <c r="AK200" s="2793"/>
      <c r="AL200" s="2793"/>
      <c r="AM200" s="2793"/>
      <c r="AN200" s="2793"/>
      <c r="AO200" s="2793"/>
      <c r="AP200" s="2793"/>
      <c r="AQ200" s="2793"/>
      <c r="AR200" s="2783"/>
      <c r="AS200" s="2783"/>
      <c r="AT200" s="2783"/>
      <c r="AU200" s="2783"/>
      <c r="AV200" s="2730"/>
      <c r="AY200" s="2730"/>
    </row>
    <row r="201" spans="1:51">
      <c r="A201" s="2795"/>
      <c r="K201" s="2783"/>
      <c r="L201" s="2783"/>
      <c r="M201" s="2793"/>
      <c r="N201" s="2793"/>
      <c r="O201" s="2793"/>
      <c r="P201" s="2793"/>
      <c r="Q201" s="2793"/>
      <c r="R201" s="2793"/>
      <c r="S201" s="2793"/>
      <c r="T201" s="2793"/>
      <c r="U201" s="2793"/>
      <c r="V201" s="2793"/>
      <c r="W201" s="2793"/>
      <c r="X201" s="2793"/>
      <c r="Y201" s="2793"/>
      <c r="Z201" s="2793"/>
      <c r="AA201" s="2793"/>
      <c r="AB201" s="2793"/>
      <c r="AC201" s="2793"/>
      <c r="AD201" s="2793"/>
      <c r="AE201" s="2793"/>
      <c r="AF201" s="2793"/>
      <c r="AG201" s="2793"/>
      <c r="AH201" s="2794"/>
      <c r="AI201" s="2793"/>
      <c r="AJ201" s="2793"/>
      <c r="AK201" s="2793"/>
      <c r="AL201" s="2793"/>
      <c r="AM201" s="2793"/>
      <c r="AN201" s="2793"/>
      <c r="AO201" s="2793"/>
      <c r="AP201" s="2793"/>
      <c r="AQ201" s="2793"/>
      <c r="AR201" s="2783"/>
      <c r="AS201" s="2783"/>
      <c r="AT201" s="2783"/>
      <c r="AU201" s="2783"/>
      <c r="AV201" s="2730"/>
      <c r="AY201" s="2730"/>
    </row>
    <row r="202" spans="1:51">
      <c r="A202" s="2795"/>
      <c r="K202" s="2783"/>
      <c r="L202" s="2783"/>
      <c r="M202" s="2793"/>
      <c r="N202" s="2793"/>
      <c r="O202" s="2793"/>
      <c r="P202" s="2793"/>
      <c r="Q202" s="2793"/>
      <c r="R202" s="2793"/>
      <c r="S202" s="2793"/>
      <c r="T202" s="2793"/>
      <c r="U202" s="2793"/>
      <c r="V202" s="2793"/>
      <c r="W202" s="2793"/>
      <c r="X202" s="2793"/>
      <c r="Y202" s="2793"/>
      <c r="Z202" s="2793"/>
      <c r="AA202" s="2793"/>
      <c r="AB202" s="2793"/>
      <c r="AC202" s="2793"/>
      <c r="AD202" s="2793"/>
      <c r="AE202" s="2793"/>
      <c r="AF202" s="2793"/>
      <c r="AG202" s="2793"/>
      <c r="AH202" s="2794"/>
      <c r="AI202" s="2793"/>
      <c r="AJ202" s="2793"/>
      <c r="AK202" s="2793"/>
      <c r="AL202" s="2793"/>
      <c r="AM202" s="2793"/>
      <c r="AN202" s="2793"/>
      <c r="AO202" s="2793"/>
      <c r="AP202" s="2793"/>
      <c r="AQ202" s="2793"/>
      <c r="AR202" s="2783"/>
      <c r="AS202" s="2783"/>
      <c r="AT202" s="2783"/>
      <c r="AU202" s="2783"/>
      <c r="AV202" s="2730"/>
      <c r="AY202" s="2730"/>
    </row>
    <row r="203" spans="1:51">
      <c r="A203" s="2795"/>
      <c r="K203" s="2783"/>
      <c r="L203" s="2783"/>
      <c r="M203" s="2793"/>
      <c r="N203" s="2793"/>
      <c r="O203" s="2793"/>
      <c r="P203" s="2793"/>
      <c r="Q203" s="2793"/>
      <c r="R203" s="2793"/>
      <c r="S203" s="2793"/>
      <c r="T203" s="2793"/>
      <c r="U203" s="2793"/>
      <c r="V203" s="2793"/>
      <c r="W203" s="2793"/>
      <c r="X203" s="2793"/>
      <c r="Y203" s="2793"/>
      <c r="Z203" s="2793"/>
      <c r="AA203" s="2793"/>
      <c r="AB203" s="2793"/>
      <c r="AC203" s="2793"/>
      <c r="AD203" s="2793"/>
      <c r="AE203" s="2793"/>
      <c r="AF203" s="2793"/>
      <c r="AG203" s="2793"/>
      <c r="AH203" s="2794"/>
      <c r="AI203" s="2793"/>
      <c r="AJ203" s="2793"/>
      <c r="AK203" s="2793"/>
      <c r="AL203" s="2793"/>
      <c r="AM203" s="2793"/>
      <c r="AN203" s="2793"/>
      <c r="AO203" s="2793"/>
      <c r="AP203" s="2793"/>
      <c r="AQ203" s="2793"/>
      <c r="AR203" s="2783"/>
      <c r="AS203" s="2783"/>
      <c r="AT203" s="2783"/>
      <c r="AU203" s="2783"/>
      <c r="AV203" s="2730"/>
      <c r="AY203" s="2730"/>
    </row>
    <row r="204" spans="1:51">
      <c r="A204" s="2795"/>
      <c r="K204" s="2783"/>
      <c r="L204" s="2783"/>
      <c r="M204" s="2793"/>
      <c r="N204" s="2793"/>
      <c r="O204" s="2793"/>
      <c r="P204" s="2793"/>
      <c r="Q204" s="2793"/>
      <c r="R204" s="2793"/>
      <c r="S204" s="2793"/>
      <c r="T204" s="2793"/>
      <c r="U204" s="2793"/>
      <c r="V204" s="2793"/>
      <c r="W204" s="2793"/>
      <c r="X204" s="2793"/>
      <c r="Y204" s="2793"/>
      <c r="Z204" s="2793"/>
      <c r="AA204" s="2793"/>
      <c r="AB204" s="2793"/>
      <c r="AC204" s="2793"/>
      <c r="AD204" s="2793"/>
      <c r="AE204" s="2793"/>
      <c r="AF204" s="2793"/>
      <c r="AG204" s="2793"/>
      <c r="AH204" s="2794"/>
      <c r="AI204" s="2793"/>
      <c r="AJ204" s="2793"/>
      <c r="AK204" s="2793"/>
      <c r="AL204" s="2793"/>
      <c r="AM204" s="2793"/>
      <c r="AN204" s="2793"/>
      <c r="AO204" s="2793"/>
      <c r="AP204" s="2793"/>
      <c r="AQ204" s="2793"/>
      <c r="AR204" s="2783"/>
      <c r="AS204" s="2783"/>
      <c r="AT204" s="2783"/>
      <c r="AU204" s="2783"/>
      <c r="AV204" s="2730"/>
      <c r="AY204" s="2730"/>
    </row>
    <row r="205" spans="1:51">
      <c r="A205" s="2795"/>
      <c r="K205" s="2783"/>
      <c r="L205" s="2783"/>
      <c r="M205" s="2793"/>
      <c r="N205" s="2793"/>
      <c r="O205" s="2793"/>
      <c r="P205" s="2793"/>
      <c r="Q205" s="2793"/>
      <c r="R205" s="2793"/>
      <c r="S205" s="2793"/>
      <c r="T205" s="2793"/>
      <c r="U205" s="2793"/>
      <c r="V205" s="2793"/>
      <c r="W205" s="2793"/>
      <c r="X205" s="2793"/>
      <c r="Y205" s="2793"/>
      <c r="Z205" s="2793"/>
      <c r="AA205" s="2793"/>
      <c r="AB205" s="2793"/>
      <c r="AC205" s="2793"/>
      <c r="AD205" s="2793"/>
      <c r="AE205" s="2793"/>
      <c r="AF205" s="2793"/>
      <c r="AG205" s="2793"/>
      <c r="AH205" s="2794"/>
      <c r="AI205" s="2793"/>
      <c r="AJ205" s="2793"/>
      <c r="AK205" s="2793"/>
      <c r="AL205" s="2793"/>
      <c r="AM205" s="2793"/>
      <c r="AN205" s="2793"/>
      <c r="AO205" s="2793"/>
      <c r="AP205" s="2793"/>
      <c r="AQ205" s="2793"/>
      <c r="AR205" s="2783"/>
      <c r="AS205" s="2783"/>
      <c r="AT205" s="2783"/>
      <c r="AU205" s="2783"/>
      <c r="AV205" s="2730"/>
      <c r="AY205" s="2730"/>
    </row>
    <row r="206" spans="1:51">
      <c r="A206" s="2795"/>
      <c r="K206" s="2783"/>
      <c r="L206" s="2783"/>
      <c r="M206" s="2793"/>
      <c r="N206" s="2793"/>
      <c r="O206" s="2793"/>
      <c r="P206" s="2793"/>
      <c r="Q206" s="2793"/>
      <c r="R206" s="2793"/>
      <c r="S206" s="2793"/>
      <c r="T206" s="2793"/>
      <c r="U206" s="2793"/>
      <c r="V206" s="2793"/>
      <c r="W206" s="2793"/>
      <c r="X206" s="2793"/>
      <c r="Y206" s="2793"/>
      <c r="Z206" s="2793"/>
      <c r="AA206" s="2793"/>
      <c r="AB206" s="2793"/>
      <c r="AC206" s="2793"/>
      <c r="AD206" s="2793"/>
      <c r="AE206" s="2793"/>
      <c r="AF206" s="2793"/>
      <c r="AG206" s="2793"/>
      <c r="AH206" s="2794"/>
      <c r="AI206" s="2793"/>
      <c r="AJ206" s="2793"/>
      <c r="AK206" s="2793"/>
      <c r="AL206" s="2793"/>
      <c r="AM206" s="2793"/>
      <c r="AN206" s="2793"/>
      <c r="AO206" s="2793"/>
      <c r="AP206" s="2793"/>
      <c r="AQ206" s="2793"/>
      <c r="AR206" s="2783"/>
      <c r="AS206" s="2783"/>
      <c r="AT206" s="2783"/>
      <c r="AU206" s="2783"/>
      <c r="AV206" s="2730"/>
      <c r="AY206" s="2730"/>
    </row>
    <row r="207" spans="1:51">
      <c r="A207" s="2795"/>
      <c r="K207" s="2783"/>
      <c r="L207" s="2783"/>
      <c r="M207" s="2793"/>
      <c r="N207" s="2793"/>
      <c r="O207" s="2793"/>
      <c r="P207" s="2793"/>
      <c r="Q207" s="2793"/>
      <c r="R207" s="2793"/>
      <c r="S207" s="2793"/>
      <c r="T207" s="2793"/>
      <c r="U207" s="2793"/>
      <c r="V207" s="2793"/>
      <c r="W207" s="2793"/>
      <c r="X207" s="2793"/>
      <c r="Y207" s="2793"/>
      <c r="Z207" s="2793"/>
      <c r="AA207" s="2793"/>
      <c r="AB207" s="2793"/>
      <c r="AC207" s="2793"/>
      <c r="AD207" s="2793"/>
      <c r="AE207" s="2793"/>
      <c r="AF207" s="2793"/>
      <c r="AG207" s="2793"/>
      <c r="AH207" s="2794"/>
      <c r="AI207" s="2793"/>
      <c r="AJ207" s="2793"/>
      <c r="AK207" s="2793"/>
      <c r="AL207" s="2793"/>
      <c r="AM207" s="2793"/>
      <c r="AN207" s="2793"/>
      <c r="AO207" s="2793"/>
      <c r="AP207" s="2793"/>
      <c r="AQ207" s="2793"/>
      <c r="AR207" s="2783"/>
      <c r="AS207" s="2783"/>
      <c r="AT207" s="2783"/>
      <c r="AU207" s="2783"/>
      <c r="AV207" s="2730"/>
      <c r="AY207" s="2730"/>
    </row>
    <row r="208" spans="1:51">
      <c r="A208" s="2795"/>
      <c r="K208" s="2783"/>
      <c r="L208" s="2783"/>
      <c r="M208" s="2793"/>
      <c r="N208" s="2793"/>
      <c r="O208" s="2793"/>
      <c r="P208" s="2793"/>
      <c r="Q208" s="2793"/>
      <c r="R208" s="2793"/>
      <c r="S208" s="2793"/>
      <c r="T208" s="2793"/>
      <c r="U208" s="2793"/>
      <c r="V208" s="2793"/>
      <c r="W208" s="2793"/>
      <c r="X208" s="2793"/>
      <c r="Y208" s="2793"/>
      <c r="Z208" s="2793"/>
      <c r="AA208" s="2793"/>
      <c r="AB208" s="2793"/>
      <c r="AC208" s="2793"/>
      <c r="AD208" s="2793"/>
      <c r="AE208" s="2793"/>
      <c r="AF208" s="2793"/>
      <c r="AG208" s="2793"/>
      <c r="AH208" s="2794"/>
      <c r="AI208" s="2793"/>
      <c r="AJ208" s="2793"/>
      <c r="AK208" s="2793"/>
      <c r="AL208" s="2793"/>
      <c r="AM208" s="2793"/>
      <c r="AN208" s="2793"/>
      <c r="AO208" s="2793"/>
      <c r="AP208" s="2793"/>
      <c r="AQ208" s="2793"/>
      <c r="AR208" s="2783"/>
      <c r="AS208" s="2783"/>
      <c r="AT208" s="2783"/>
      <c r="AU208" s="2783"/>
      <c r="AV208" s="2730"/>
      <c r="AY208" s="2730"/>
    </row>
    <row r="209" spans="1:51">
      <c r="A209" s="2795"/>
      <c r="K209" s="2783"/>
      <c r="L209" s="2783"/>
      <c r="M209" s="2793"/>
      <c r="N209" s="2793"/>
      <c r="O209" s="2793"/>
      <c r="P209" s="2793"/>
      <c r="Q209" s="2793"/>
      <c r="R209" s="2793"/>
      <c r="S209" s="2793"/>
      <c r="T209" s="2793"/>
      <c r="U209" s="2793"/>
      <c r="V209" s="2793"/>
      <c r="W209" s="2793"/>
      <c r="X209" s="2793"/>
      <c r="Y209" s="2793"/>
      <c r="Z209" s="2793"/>
      <c r="AA209" s="2793"/>
      <c r="AB209" s="2793"/>
      <c r="AC209" s="2793"/>
      <c r="AD209" s="2793"/>
      <c r="AE209" s="2793"/>
      <c r="AF209" s="2793"/>
      <c r="AG209" s="2793"/>
      <c r="AH209" s="2794"/>
      <c r="AI209" s="2793"/>
      <c r="AJ209" s="2793"/>
      <c r="AK209" s="2793"/>
      <c r="AL209" s="2793"/>
      <c r="AM209" s="2793"/>
      <c r="AN209" s="2793"/>
      <c r="AO209" s="2793"/>
      <c r="AP209" s="2793"/>
      <c r="AQ209" s="2793"/>
      <c r="AR209" s="2783"/>
      <c r="AS209" s="2783"/>
      <c r="AT209" s="2783"/>
      <c r="AU209" s="2783"/>
      <c r="AV209" s="2730"/>
      <c r="AY209" s="2730"/>
    </row>
    <row r="210" spans="1:51">
      <c r="A210" s="2795"/>
      <c r="K210" s="2783"/>
      <c r="L210" s="2783"/>
      <c r="M210" s="2793"/>
      <c r="N210" s="2793"/>
      <c r="O210" s="2793"/>
      <c r="P210" s="2793"/>
      <c r="Q210" s="2793"/>
      <c r="R210" s="2793"/>
      <c r="S210" s="2793"/>
      <c r="T210" s="2793"/>
      <c r="U210" s="2793"/>
      <c r="V210" s="2793"/>
      <c r="W210" s="2793"/>
      <c r="X210" s="2793"/>
      <c r="Y210" s="2793"/>
      <c r="Z210" s="2793"/>
      <c r="AA210" s="2793"/>
      <c r="AB210" s="2793"/>
      <c r="AC210" s="2793"/>
      <c r="AD210" s="2793"/>
      <c r="AE210" s="2793"/>
      <c r="AF210" s="2793"/>
      <c r="AG210" s="2793"/>
      <c r="AH210" s="2794"/>
      <c r="AI210" s="2793"/>
      <c r="AJ210" s="2793"/>
      <c r="AK210" s="2793"/>
      <c r="AL210" s="2793"/>
      <c r="AM210" s="2793"/>
      <c r="AN210" s="2793"/>
      <c r="AO210" s="2793"/>
      <c r="AP210" s="2793"/>
      <c r="AQ210" s="2793"/>
      <c r="AR210" s="2783"/>
      <c r="AS210" s="2783"/>
      <c r="AT210" s="2783"/>
      <c r="AU210" s="2783"/>
      <c r="AV210" s="2730"/>
      <c r="AY210" s="2730"/>
    </row>
    <row r="211" spans="1:51">
      <c r="A211" s="2795"/>
      <c r="K211" s="2783"/>
      <c r="L211" s="2783"/>
      <c r="M211" s="2793"/>
      <c r="N211" s="2793"/>
      <c r="O211" s="2793"/>
      <c r="P211" s="2793"/>
      <c r="Q211" s="2793"/>
      <c r="R211" s="2793"/>
      <c r="S211" s="2793"/>
      <c r="T211" s="2793"/>
      <c r="U211" s="2793"/>
      <c r="V211" s="2793"/>
      <c r="W211" s="2793"/>
      <c r="X211" s="2793"/>
      <c r="Y211" s="2793"/>
      <c r="Z211" s="2793"/>
      <c r="AA211" s="2793"/>
      <c r="AB211" s="2793"/>
      <c r="AC211" s="2793"/>
      <c r="AD211" s="2793"/>
      <c r="AE211" s="2793"/>
      <c r="AF211" s="2793"/>
      <c r="AG211" s="2793"/>
      <c r="AH211" s="2794"/>
      <c r="AI211" s="2793"/>
      <c r="AJ211" s="2793"/>
      <c r="AK211" s="2793"/>
      <c r="AL211" s="2793"/>
      <c r="AM211" s="2793"/>
      <c r="AN211" s="2793"/>
      <c r="AO211" s="2793"/>
      <c r="AP211" s="2793"/>
      <c r="AQ211" s="2793"/>
      <c r="AR211" s="2783"/>
      <c r="AS211" s="2783"/>
      <c r="AT211" s="2783"/>
      <c r="AU211" s="2783"/>
      <c r="AV211" s="2730"/>
      <c r="AY211" s="2730"/>
    </row>
    <row r="212" spans="1:51">
      <c r="A212" s="2795"/>
      <c r="K212" s="2783"/>
      <c r="L212" s="2783"/>
      <c r="M212" s="2793"/>
      <c r="N212" s="2793"/>
      <c r="O212" s="2793"/>
      <c r="P212" s="2793"/>
      <c r="Q212" s="2793"/>
      <c r="R212" s="2793"/>
      <c r="S212" s="2793"/>
      <c r="T212" s="2793"/>
      <c r="U212" s="2793"/>
      <c r="V212" s="2793"/>
      <c r="W212" s="2793"/>
      <c r="X212" s="2793"/>
      <c r="Y212" s="2793"/>
      <c r="Z212" s="2793"/>
      <c r="AA212" s="2793"/>
      <c r="AB212" s="2793"/>
      <c r="AC212" s="2793"/>
      <c r="AD212" s="2793"/>
      <c r="AE212" s="2793"/>
      <c r="AF212" s="2793"/>
      <c r="AG212" s="2793"/>
      <c r="AH212" s="2794"/>
      <c r="AI212" s="2793"/>
      <c r="AJ212" s="2793"/>
      <c r="AK212" s="2793"/>
      <c r="AL212" s="2793"/>
      <c r="AM212" s="2793"/>
      <c r="AN212" s="2793"/>
      <c r="AO212" s="2793"/>
      <c r="AP212" s="2793"/>
      <c r="AQ212" s="2793"/>
      <c r="AR212" s="2783"/>
      <c r="AS212" s="2783"/>
      <c r="AT212" s="2783"/>
      <c r="AU212" s="2783"/>
      <c r="AV212" s="2730"/>
      <c r="AY212" s="2730"/>
    </row>
    <row r="213" spans="1:51">
      <c r="A213" s="2795"/>
      <c r="K213" s="2783"/>
      <c r="L213" s="2783"/>
      <c r="M213" s="2793"/>
      <c r="N213" s="2793"/>
      <c r="O213" s="2793"/>
      <c r="P213" s="2793"/>
      <c r="Q213" s="2793"/>
      <c r="R213" s="2793"/>
      <c r="S213" s="2793"/>
      <c r="T213" s="2793"/>
      <c r="U213" s="2793"/>
      <c r="V213" s="2793"/>
      <c r="W213" s="2793"/>
      <c r="X213" s="2793"/>
      <c r="Y213" s="2793"/>
      <c r="Z213" s="2793"/>
      <c r="AA213" s="2793"/>
      <c r="AB213" s="2793"/>
      <c r="AC213" s="2793"/>
      <c r="AD213" s="2793"/>
      <c r="AE213" s="2793"/>
      <c r="AF213" s="2793"/>
      <c r="AG213" s="2793"/>
      <c r="AH213" s="2794"/>
      <c r="AI213" s="2793"/>
      <c r="AJ213" s="2793"/>
      <c r="AK213" s="2793"/>
      <c r="AL213" s="2793"/>
      <c r="AM213" s="2793"/>
      <c r="AN213" s="2793"/>
      <c r="AO213" s="2793"/>
      <c r="AP213" s="2793"/>
      <c r="AQ213" s="2793"/>
      <c r="AR213" s="2783"/>
      <c r="AS213" s="2783"/>
      <c r="AT213" s="2783"/>
      <c r="AU213" s="2783"/>
      <c r="AV213" s="2730"/>
      <c r="AY213" s="2730"/>
    </row>
    <row r="214" spans="1:51">
      <c r="A214" s="2795"/>
      <c r="K214" s="2783"/>
      <c r="L214" s="2783"/>
      <c r="M214" s="2793"/>
      <c r="N214" s="2793"/>
      <c r="O214" s="2793"/>
      <c r="P214" s="2793"/>
      <c r="Q214" s="2793"/>
      <c r="R214" s="2793"/>
      <c r="S214" s="2793"/>
      <c r="T214" s="2793"/>
      <c r="U214" s="2793"/>
      <c r="V214" s="2793"/>
      <c r="W214" s="2793"/>
      <c r="X214" s="2793"/>
      <c r="Y214" s="2793"/>
      <c r="Z214" s="2793"/>
      <c r="AA214" s="2793"/>
      <c r="AB214" s="2793"/>
      <c r="AC214" s="2793"/>
      <c r="AD214" s="2793"/>
      <c r="AE214" s="2793"/>
      <c r="AF214" s="2793"/>
      <c r="AG214" s="2793"/>
      <c r="AH214" s="2794"/>
      <c r="AI214" s="2793"/>
      <c r="AJ214" s="2793"/>
      <c r="AK214" s="2793"/>
      <c r="AL214" s="2793"/>
      <c r="AM214" s="2793"/>
      <c r="AN214" s="2793"/>
      <c r="AO214" s="2793"/>
      <c r="AP214" s="2793"/>
      <c r="AQ214" s="2793"/>
      <c r="AR214" s="2783"/>
      <c r="AS214" s="2783"/>
      <c r="AT214" s="2783"/>
      <c r="AU214" s="2783"/>
      <c r="AV214" s="2730"/>
      <c r="AY214" s="2730"/>
    </row>
    <row r="215" spans="1:51">
      <c r="A215" s="2795"/>
      <c r="K215" s="2783"/>
      <c r="L215" s="2783"/>
      <c r="M215" s="2793"/>
      <c r="N215" s="2793"/>
      <c r="O215" s="2793"/>
      <c r="P215" s="2793"/>
      <c r="Q215" s="2793"/>
      <c r="R215" s="2793"/>
      <c r="S215" s="2793"/>
      <c r="T215" s="2793"/>
      <c r="U215" s="2793"/>
      <c r="V215" s="2793"/>
      <c r="W215" s="2793"/>
      <c r="X215" s="2793"/>
      <c r="Y215" s="2793"/>
      <c r="Z215" s="2793"/>
      <c r="AA215" s="2793"/>
      <c r="AB215" s="2793"/>
      <c r="AC215" s="2793"/>
      <c r="AD215" s="2793"/>
      <c r="AE215" s="2793"/>
      <c r="AF215" s="2793"/>
      <c r="AG215" s="2793"/>
      <c r="AH215" s="2794"/>
      <c r="AI215" s="2793"/>
      <c r="AJ215" s="2793"/>
      <c r="AK215" s="2793"/>
      <c r="AL215" s="2793"/>
      <c r="AM215" s="2793"/>
      <c r="AN215" s="2793"/>
      <c r="AO215" s="2793"/>
      <c r="AP215" s="2793"/>
      <c r="AQ215" s="2793"/>
      <c r="AR215" s="2783"/>
      <c r="AS215" s="2783"/>
      <c r="AT215" s="2783"/>
      <c r="AU215" s="2783"/>
      <c r="AV215" s="2730"/>
      <c r="AY215" s="2730"/>
    </row>
    <row r="216" spans="1:51">
      <c r="A216" s="2795"/>
      <c r="K216" s="2783"/>
      <c r="L216" s="2783"/>
      <c r="M216" s="2793"/>
      <c r="N216" s="2793"/>
      <c r="O216" s="2793"/>
      <c r="P216" s="2793"/>
      <c r="Q216" s="2793"/>
      <c r="R216" s="2793"/>
      <c r="S216" s="2793"/>
      <c r="T216" s="2793"/>
      <c r="U216" s="2793"/>
      <c r="V216" s="2793"/>
      <c r="W216" s="2793"/>
      <c r="X216" s="2793"/>
      <c r="Y216" s="2793"/>
      <c r="Z216" s="2793"/>
      <c r="AA216" s="2793"/>
      <c r="AB216" s="2793"/>
      <c r="AC216" s="2793"/>
      <c r="AD216" s="2793"/>
      <c r="AE216" s="2793"/>
      <c r="AF216" s="2793"/>
      <c r="AG216" s="2793"/>
      <c r="AH216" s="2794"/>
      <c r="AI216" s="2793"/>
      <c r="AJ216" s="2793"/>
      <c r="AK216" s="2793"/>
      <c r="AL216" s="2793"/>
      <c r="AM216" s="2793"/>
      <c r="AN216" s="2793"/>
      <c r="AO216" s="2793"/>
      <c r="AP216" s="2793"/>
      <c r="AQ216" s="2793"/>
      <c r="AR216" s="2783"/>
      <c r="AS216" s="2783"/>
      <c r="AT216" s="2783"/>
      <c r="AU216" s="2783"/>
      <c r="AV216" s="2730"/>
      <c r="AY216" s="2730"/>
    </row>
    <row r="217" spans="1:51">
      <c r="A217" s="2795"/>
      <c r="K217" s="2783"/>
      <c r="L217" s="2783"/>
      <c r="M217" s="2793"/>
      <c r="N217" s="2793"/>
      <c r="O217" s="2793"/>
      <c r="P217" s="2793"/>
      <c r="Q217" s="2793"/>
      <c r="R217" s="2793"/>
      <c r="S217" s="2793"/>
      <c r="T217" s="2793"/>
      <c r="U217" s="2793"/>
      <c r="V217" s="2793"/>
      <c r="W217" s="2793"/>
      <c r="X217" s="2793"/>
      <c r="Y217" s="2793"/>
      <c r="Z217" s="2793"/>
      <c r="AA217" s="2793"/>
      <c r="AB217" s="2793"/>
      <c r="AC217" s="2793"/>
      <c r="AD217" s="2793"/>
      <c r="AE217" s="2793"/>
      <c r="AF217" s="2793"/>
      <c r="AG217" s="2793"/>
      <c r="AH217" s="2794"/>
      <c r="AI217" s="2793"/>
      <c r="AJ217" s="2793"/>
      <c r="AK217" s="2793"/>
      <c r="AL217" s="2793"/>
      <c r="AM217" s="2793"/>
      <c r="AN217" s="2793"/>
      <c r="AO217" s="2793"/>
      <c r="AP217" s="2793"/>
      <c r="AQ217" s="2793"/>
      <c r="AR217" s="2783"/>
      <c r="AS217" s="2783"/>
      <c r="AT217" s="2783"/>
      <c r="AU217" s="2783"/>
      <c r="AV217" s="2730"/>
      <c r="AY217" s="2730"/>
    </row>
    <row r="218" spans="1:51">
      <c r="A218" s="2795"/>
      <c r="K218" s="2783"/>
      <c r="L218" s="2783"/>
      <c r="M218" s="2793"/>
      <c r="N218" s="2793"/>
      <c r="O218" s="2793"/>
      <c r="P218" s="2793"/>
      <c r="Q218" s="2793"/>
      <c r="R218" s="2793"/>
      <c r="S218" s="2793"/>
      <c r="T218" s="2793"/>
      <c r="U218" s="2793"/>
      <c r="V218" s="2793"/>
      <c r="W218" s="2793"/>
      <c r="X218" s="2793"/>
      <c r="Y218" s="2793"/>
      <c r="Z218" s="2793"/>
      <c r="AA218" s="2793"/>
      <c r="AB218" s="2793"/>
      <c r="AC218" s="2793"/>
      <c r="AD218" s="2793"/>
      <c r="AE218" s="2793"/>
      <c r="AF218" s="2793"/>
      <c r="AG218" s="2793"/>
      <c r="AH218" s="2794"/>
      <c r="AI218" s="2793"/>
      <c r="AJ218" s="2793"/>
      <c r="AK218" s="2793"/>
      <c r="AL218" s="2793"/>
      <c r="AM218" s="2793"/>
      <c r="AN218" s="2793"/>
      <c r="AO218" s="2793"/>
      <c r="AP218" s="2793"/>
      <c r="AQ218" s="2793"/>
      <c r="AR218" s="2783"/>
      <c r="AS218" s="2783"/>
      <c r="AT218" s="2783"/>
      <c r="AU218" s="2783"/>
      <c r="AV218" s="2730"/>
      <c r="AY218" s="2730"/>
    </row>
    <row r="219" spans="1:51">
      <c r="A219" s="2795"/>
      <c r="K219" s="2783"/>
      <c r="L219" s="2783"/>
      <c r="M219" s="2793"/>
      <c r="N219" s="2793"/>
      <c r="O219" s="2793"/>
      <c r="P219" s="2793"/>
      <c r="Q219" s="2793"/>
      <c r="R219" s="2793"/>
      <c r="S219" s="2793"/>
      <c r="T219" s="2793"/>
      <c r="U219" s="2793"/>
      <c r="V219" s="2793"/>
      <c r="W219" s="2793"/>
      <c r="X219" s="2793"/>
      <c r="Y219" s="2793"/>
      <c r="Z219" s="2793"/>
      <c r="AA219" s="2793"/>
      <c r="AB219" s="2793"/>
      <c r="AC219" s="2793"/>
      <c r="AD219" s="2793"/>
      <c r="AE219" s="2793"/>
      <c r="AF219" s="2793"/>
      <c r="AG219" s="2793"/>
      <c r="AH219" s="2794"/>
      <c r="AI219" s="2793"/>
      <c r="AJ219" s="2793"/>
      <c r="AK219" s="2793"/>
      <c r="AL219" s="2793"/>
      <c r="AM219" s="2793"/>
      <c r="AN219" s="2793"/>
      <c r="AO219" s="2793"/>
      <c r="AP219" s="2793"/>
      <c r="AQ219" s="2793"/>
      <c r="AR219" s="2783"/>
      <c r="AS219" s="2783"/>
      <c r="AT219" s="2783"/>
      <c r="AU219" s="2783"/>
      <c r="AV219" s="2730"/>
      <c r="AY219" s="2730"/>
    </row>
    <row r="220" spans="1:51">
      <c r="K220" s="2783"/>
      <c r="L220" s="2783"/>
      <c r="M220" s="2793"/>
      <c r="N220" s="2793"/>
      <c r="O220" s="2793"/>
      <c r="P220" s="2793"/>
      <c r="Q220" s="2793"/>
      <c r="R220" s="2793"/>
      <c r="S220" s="2793"/>
      <c r="T220" s="2793"/>
      <c r="U220" s="2793"/>
      <c r="V220" s="2793"/>
      <c r="W220" s="2793"/>
      <c r="X220" s="2793"/>
      <c r="Y220" s="2793"/>
      <c r="Z220" s="2793"/>
      <c r="AA220" s="2793"/>
      <c r="AB220" s="2793"/>
      <c r="AC220" s="2793"/>
      <c r="AD220" s="2793"/>
      <c r="AE220" s="2793"/>
      <c r="AF220" s="2793"/>
      <c r="AG220" s="2793"/>
      <c r="AH220" s="2794"/>
      <c r="AI220" s="2793"/>
      <c r="AJ220" s="2793"/>
      <c r="AK220" s="2793"/>
      <c r="AL220" s="2793"/>
      <c r="AM220" s="2793"/>
      <c r="AN220" s="2793"/>
      <c r="AO220" s="2793"/>
      <c r="AP220" s="2793"/>
      <c r="AQ220" s="2793"/>
      <c r="AR220" s="2783"/>
      <c r="AS220" s="2783"/>
      <c r="AT220" s="2783"/>
      <c r="AU220" s="2783"/>
      <c r="AV220" s="2730"/>
      <c r="AY220" s="2730"/>
    </row>
    <row r="221" spans="1:51">
      <c r="K221" s="2783"/>
      <c r="L221" s="2783"/>
      <c r="M221" s="2793"/>
      <c r="N221" s="2793"/>
      <c r="O221" s="2793"/>
      <c r="P221" s="2793"/>
      <c r="Q221" s="2793"/>
      <c r="R221" s="2793"/>
      <c r="S221" s="2793"/>
      <c r="T221" s="2793"/>
      <c r="U221" s="2793"/>
      <c r="V221" s="2793"/>
      <c r="W221" s="2793"/>
      <c r="X221" s="2793"/>
      <c r="Y221" s="2793"/>
      <c r="Z221" s="2793"/>
      <c r="AA221" s="2793"/>
      <c r="AB221" s="2793"/>
      <c r="AC221" s="2793"/>
      <c r="AD221" s="2793"/>
      <c r="AE221" s="2793"/>
      <c r="AF221" s="2793"/>
      <c r="AG221" s="2793"/>
      <c r="AH221" s="2794"/>
      <c r="AI221" s="2793"/>
      <c r="AJ221" s="2793"/>
      <c r="AK221" s="2793"/>
      <c r="AL221" s="2793"/>
      <c r="AM221" s="2793"/>
      <c r="AN221" s="2793"/>
      <c r="AO221" s="2793"/>
      <c r="AP221" s="2793"/>
      <c r="AQ221" s="2793"/>
      <c r="AR221" s="2783"/>
      <c r="AS221" s="2783"/>
      <c r="AT221" s="2783"/>
      <c r="AU221" s="2783"/>
      <c r="AV221" s="2730"/>
      <c r="AY221" s="2730"/>
    </row>
    <row r="222" spans="1:51">
      <c r="K222" s="2783"/>
      <c r="L222" s="2783"/>
      <c r="M222" s="2793"/>
      <c r="N222" s="2793"/>
      <c r="O222" s="2793"/>
      <c r="P222" s="2793"/>
      <c r="Q222" s="2793"/>
      <c r="R222" s="2793"/>
      <c r="S222" s="2793"/>
      <c r="T222" s="2793"/>
      <c r="U222" s="2793"/>
      <c r="V222" s="2793"/>
      <c r="W222" s="2793"/>
      <c r="X222" s="2793"/>
      <c r="Y222" s="2793"/>
      <c r="Z222" s="2793"/>
      <c r="AA222" s="2793"/>
      <c r="AB222" s="2793"/>
      <c r="AC222" s="2793"/>
      <c r="AD222" s="2793"/>
      <c r="AE222" s="2793"/>
      <c r="AF222" s="2793"/>
      <c r="AG222" s="2793"/>
      <c r="AH222" s="2794"/>
      <c r="AI222" s="2793"/>
      <c r="AJ222" s="2793"/>
      <c r="AK222" s="2793"/>
      <c r="AL222" s="2793"/>
      <c r="AM222" s="2793"/>
      <c r="AN222" s="2793"/>
      <c r="AO222" s="2793"/>
      <c r="AP222" s="2793"/>
      <c r="AQ222" s="2793"/>
      <c r="AR222" s="2783"/>
      <c r="AS222" s="2783"/>
      <c r="AT222" s="2783"/>
      <c r="AU222" s="2783"/>
      <c r="AV222" s="2730"/>
      <c r="AY222" s="2730"/>
    </row>
    <row r="223" spans="1:51">
      <c r="K223" s="2783"/>
      <c r="L223" s="2783"/>
      <c r="M223" s="2793"/>
      <c r="N223" s="2793"/>
      <c r="O223" s="2793"/>
      <c r="P223" s="2793"/>
      <c r="Q223" s="2793"/>
      <c r="R223" s="2793"/>
      <c r="S223" s="2793"/>
      <c r="T223" s="2793"/>
      <c r="U223" s="2793"/>
      <c r="V223" s="2793"/>
      <c r="W223" s="2793"/>
      <c r="X223" s="2793"/>
      <c r="Y223" s="2793"/>
      <c r="Z223" s="2793"/>
      <c r="AA223" s="2793"/>
      <c r="AB223" s="2793"/>
      <c r="AC223" s="2793"/>
      <c r="AD223" s="2793"/>
      <c r="AE223" s="2793"/>
      <c r="AF223" s="2793"/>
      <c r="AG223" s="2793"/>
      <c r="AH223" s="2794"/>
      <c r="AI223" s="2793"/>
      <c r="AJ223" s="2793"/>
      <c r="AK223" s="2793"/>
      <c r="AL223" s="2793"/>
      <c r="AM223" s="2793"/>
      <c r="AN223" s="2793"/>
      <c r="AO223" s="2793"/>
      <c r="AP223" s="2793"/>
      <c r="AQ223" s="2793"/>
      <c r="AR223" s="2783"/>
      <c r="AS223" s="2783"/>
      <c r="AT223" s="2783"/>
      <c r="AU223" s="2783"/>
      <c r="AV223" s="2730"/>
      <c r="AY223" s="2730"/>
    </row>
    <row r="224" spans="1:51">
      <c r="K224" s="2783"/>
      <c r="L224" s="2783"/>
      <c r="M224" s="2793"/>
      <c r="N224" s="2793"/>
      <c r="O224" s="2793"/>
      <c r="P224" s="2793"/>
      <c r="Q224" s="2793"/>
      <c r="R224" s="2793"/>
      <c r="S224" s="2793"/>
      <c r="T224" s="2793"/>
      <c r="U224" s="2793"/>
      <c r="V224" s="2793"/>
      <c r="W224" s="2793"/>
      <c r="X224" s="2793"/>
      <c r="Y224" s="2793"/>
      <c r="Z224" s="2793"/>
      <c r="AA224" s="2793"/>
      <c r="AB224" s="2793"/>
      <c r="AC224" s="2793"/>
      <c r="AD224" s="2793"/>
      <c r="AE224" s="2793"/>
      <c r="AF224" s="2793"/>
      <c r="AG224" s="2793"/>
      <c r="AH224" s="2794"/>
      <c r="AI224" s="2793"/>
      <c r="AJ224" s="2793"/>
      <c r="AK224" s="2793"/>
      <c r="AL224" s="2793"/>
      <c r="AM224" s="2793"/>
      <c r="AN224" s="2793"/>
      <c r="AO224" s="2793"/>
      <c r="AP224" s="2793"/>
      <c r="AQ224" s="2793"/>
      <c r="AR224" s="2783"/>
      <c r="AS224" s="2783"/>
      <c r="AT224" s="2783"/>
      <c r="AU224" s="2783"/>
      <c r="AV224" s="2730"/>
      <c r="AY224" s="2730"/>
    </row>
    <row r="225" spans="1:51">
      <c r="K225" s="2783"/>
      <c r="L225" s="2783"/>
      <c r="M225" s="2793"/>
      <c r="N225" s="2793"/>
      <c r="O225" s="2793"/>
      <c r="P225" s="2793"/>
      <c r="Q225" s="2793"/>
      <c r="R225" s="2793"/>
      <c r="S225" s="2793"/>
      <c r="T225" s="2793"/>
      <c r="U225" s="2793"/>
      <c r="V225" s="2793"/>
      <c r="W225" s="2793"/>
      <c r="X225" s="2793"/>
      <c r="Y225" s="2793"/>
      <c r="Z225" s="2793"/>
      <c r="AA225" s="2793"/>
      <c r="AB225" s="2793"/>
      <c r="AC225" s="2793"/>
      <c r="AD225" s="2793"/>
      <c r="AE225" s="2793"/>
      <c r="AF225" s="2793"/>
      <c r="AG225" s="2793"/>
      <c r="AH225" s="2794"/>
      <c r="AI225" s="2793"/>
      <c r="AJ225" s="2793"/>
      <c r="AK225" s="2793"/>
      <c r="AL225" s="2793"/>
      <c r="AM225" s="2793"/>
      <c r="AN225" s="2793"/>
      <c r="AO225" s="2793"/>
      <c r="AP225" s="2793"/>
      <c r="AQ225" s="2793"/>
      <c r="AR225" s="2783"/>
      <c r="AS225" s="2783"/>
      <c r="AT225" s="2783"/>
      <c r="AU225" s="2783"/>
      <c r="AV225" s="2730"/>
      <c r="AY225" s="2730"/>
    </row>
    <row r="226" spans="1:51">
      <c r="K226" s="2783"/>
      <c r="L226" s="2783"/>
      <c r="M226" s="2793"/>
      <c r="N226" s="2793"/>
      <c r="O226" s="2793"/>
      <c r="P226" s="2793"/>
      <c r="Q226" s="2793"/>
      <c r="R226" s="2793"/>
      <c r="S226" s="2793"/>
      <c r="T226" s="2793"/>
      <c r="U226" s="2793"/>
      <c r="V226" s="2793"/>
      <c r="W226" s="2793"/>
      <c r="X226" s="2793"/>
      <c r="Y226" s="2793"/>
      <c r="Z226" s="2793"/>
      <c r="AA226" s="2793"/>
      <c r="AB226" s="2793"/>
      <c r="AC226" s="2793"/>
      <c r="AD226" s="2793"/>
      <c r="AE226" s="2793"/>
      <c r="AF226" s="2793"/>
      <c r="AG226" s="2793"/>
      <c r="AH226" s="2794"/>
      <c r="AI226" s="2793"/>
      <c r="AJ226" s="2793"/>
      <c r="AK226" s="2793"/>
      <c r="AL226" s="2793"/>
      <c r="AM226" s="2793"/>
      <c r="AN226" s="2793"/>
      <c r="AO226" s="2793"/>
      <c r="AP226" s="2793"/>
      <c r="AQ226" s="2793"/>
      <c r="AR226" s="2783"/>
      <c r="AS226" s="2783"/>
      <c r="AT226" s="2783"/>
      <c r="AU226" s="2783"/>
      <c r="AV226" s="2730"/>
      <c r="AY226" s="2730"/>
    </row>
    <row r="227" spans="1:51">
      <c r="K227" s="2783"/>
      <c r="L227" s="2783"/>
      <c r="M227" s="2793"/>
      <c r="N227" s="2793"/>
      <c r="O227" s="2793"/>
      <c r="P227" s="2793"/>
      <c r="Q227" s="2793"/>
      <c r="R227" s="2793"/>
      <c r="S227" s="2793"/>
      <c r="T227" s="2793"/>
      <c r="U227" s="2793"/>
      <c r="V227" s="2793"/>
      <c r="W227" s="2793"/>
      <c r="X227" s="2793"/>
      <c r="Y227" s="2793"/>
      <c r="Z227" s="2793"/>
      <c r="AA227" s="2793"/>
      <c r="AB227" s="2793"/>
      <c r="AC227" s="2793"/>
      <c r="AD227" s="2793"/>
      <c r="AE227" s="2793"/>
      <c r="AF227" s="2793"/>
      <c r="AG227" s="2793"/>
      <c r="AH227" s="2794"/>
      <c r="AI227" s="2793"/>
      <c r="AJ227" s="2793"/>
      <c r="AK227" s="2793"/>
      <c r="AL227" s="2793"/>
      <c r="AM227" s="2793"/>
      <c r="AN227" s="2793"/>
      <c r="AO227" s="2793"/>
      <c r="AP227" s="2793"/>
      <c r="AQ227" s="2793"/>
      <c r="AR227" s="2783"/>
      <c r="AS227" s="2783"/>
      <c r="AT227" s="2783"/>
      <c r="AU227" s="2783"/>
      <c r="AV227" s="2730"/>
      <c r="AY227" s="2730"/>
    </row>
    <row r="228" spans="1:51">
      <c r="K228" s="2783"/>
      <c r="L228" s="2783"/>
      <c r="M228" s="2793"/>
      <c r="N228" s="2793"/>
      <c r="O228" s="2793"/>
      <c r="P228" s="2793"/>
      <c r="Q228" s="2793"/>
      <c r="R228" s="2793"/>
      <c r="S228" s="2793"/>
      <c r="T228" s="2793"/>
      <c r="U228" s="2793"/>
      <c r="V228" s="2793"/>
      <c r="W228" s="2793"/>
      <c r="X228" s="2793"/>
      <c r="Y228" s="2793"/>
      <c r="Z228" s="2793"/>
      <c r="AA228" s="2793"/>
      <c r="AB228" s="2793"/>
      <c r="AC228" s="2793"/>
      <c r="AD228" s="2793"/>
      <c r="AE228" s="2793"/>
      <c r="AF228" s="2793"/>
      <c r="AG228" s="2793"/>
      <c r="AH228" s="2794"/>
      <c r="AI228" s="2793"/>
      <c r="AJ228" s="2793"/>
      <c r="AK228" s="2793"/>
      <c r="AL228" s="2793"/>
      <c r="AM228" s="2793"/>
      <c r="AN228" s="2793"/>
      <c r="AO228" s="2793"/>
      <c r="AP228" s="2793"/>
      <c r="AQ228" s="2793"/>
      <c r="AR228" s="2783"/>
      <c r="AS228" s="2783"/>
      <c r="AT228" s="2783"/>
      <c r="AU228" s="2783"/>
      <c r="AV228" s="2730"/>
      <c r="AY228" s="2730"/>
    </row>
    <row r="229" spans="1:51">
      <c r="A229" s="2730"/>
      <c r="E229" s="2730"/>
      <c r="F229" s="2730"/>
      <c r="G229" s="2730"/>
      <c r="H229" s="2730"/>
      <c r="I229" s="2730"/>
      <c r="J229" s="2730"/>
      <c r="K229" s="2783"/>
      <c r="L229" s="2783"/>
      <c r="M229" s="2793"/>
      <c r="N229" s="2793"/>
      <c r="O229" s="2793"/>
      <c r="P229" s="2793"/>
      <c r="Q229" s="2793"/>
      <c r="R229" s="2793"/>
      <c r="S229" s="2793"/>
      <c r="T229" s="2793"/>
      <c r="U229" s="2793"/>
      <c r="V229" s="2793"/>
      <c r="W229" s="2793"/>
      <c r="X229" s="2793"/>
      <c r="Y229" s="2793"/>
      <c r="Z229" s="2793"/>
      <c r="AA229" s="2793"/>
      <c r="AB229" s="2793"/>
      <c r="AC229" s="2793"/>
      <c r="AD229" s="2793"/>
      <c r="AE229" s="2793"/>
      <c r="AF229" s="2793"/>
      <c r="AG229" s="2793"/>
      <c r="AH229" s="2794"/>
      <c r="AI229" s="2793"/>
      <c r="AJ229" s="2793"/>
      <c r="AK229" s="2793"/>
      <c r="AL229" s="2793"/>
      <c r="AM229" s="2793"/>
      <c r="AN229" s="2793"/>
      <c r="AO229" s="2793"/>
      <c r="AP229" s="2793"/>
      <c r="AQ229" s="2793"/>
      <c r="AR229" s="2783"/>
      <c r="AS229" s="2783"/>
      <c r="AT229" s="2783"/>
      <c r="AU229" s="2783"/>
      <c r="AV229" s="2730"/>
      <c r="AY229" s="2730"/>
    </row>
    <row r="230" spans="1:51">
      <c r="A230" s="2730"/>
      <c r="E230" s="2730"/>
      <c r="F230" s="2730"/>
      <c r="G230" s="2730"/>
      <c r="H230" s="2730"/>
      <c r="I230" s="2730"/>
      <c r="J230" s="2730"/>
      <c r="K230" s="2783"/>
      <c r="L230" s="2783"/>
      <c r="M230" s="2793"/>
      <c r="N230" s="2793"/>
      <c r="O230" s="2793"/>
      <c r="P230" s="2793"/>
      <c r="Q230" s="2793"/>
      <c r="R230" s="2793"/>
      <c r="S230" s="2793"/>
      <c r="T230" s="2793"/>
      <c r="U230" s="2793"/>
      <c r="V230" s="2793"/>
      <c r="W230" s="2793"/>
      <c r="X230" s="2793"/>
      <c r="Y230" s="2793"/>
      <c r="Z230" s="2793"/>
      <c r="AA230" s="2793"/>
      <c r="AB230" s="2793"/>
      <c r="AC230" s="2793"/>
      <c r="AD230" s="2793"/>
      <c r="AE230" s="2793"/>
      <c r="AF230" s="2793"/>
      <c r="AG230" s="2793"/>
      <c r="AH230" s="2794"/>
      <c r="AI230" s="2793"/>
      <c r="AJ230" s="2793"/>
      <c r="AK230" s="2793"/>
      <c r="AL230" s="2793"/>
      <c r="AM230" s="2793"/>
      <c r="AN230" s="2793"/>
      <c r="AO230" s="2793"/>
      <c r="AP230" s="2793"/>
      <c r="AQ230" s="2793"/>
      <c r="AR230" s="2783"/>
      <c r="AS230" s="2783"/>
      <c r="AT230" s="2783"/>
      <c r="AU230" s="2783"/>
      <c r="AV230" s="2730"/>
      <c r="AY230" s="2730"/>
    </row>
    <row r="231" spans="1:51">
      <c r="A231" s="2730"/>
      <c r="E231" s="2730"/>
      <c r="F231" s="2730"/>
      <c r="G231" s="2730"/>
      <c r="H231" s="2730"/>
      <c r="I231" s="2730"/>
      <c r="J231" s="2730"/>
      <c r="K231" s="2783"/>
      <c r="L231" s="2783"/>
      <c r="M231" s="2793"/>
      <c r="N231" s="2793"/>
      <c r="O231" s="2793"/>
      <c r="P231" s="2793"/>
      <c r="Q231" s="2793"/>
      <c r="R231" s="2793"/>
      <c r="S231" s="2793"/>
      <c r="T231" s="2793"/>
      <c r="U231" s="2793"/>
      <c r="V231" s="2793"/>
      <c r="W231" s="2793"/>
      <c r="X231" s="2793"/>
      <c r="Y231" s="2793"/>
      <c r="Z231" s="2793"/>
      <c r="AA231" s="2793"/>
      <c r="AB231" s="2793"/>
      <c r="AC231" s="2793"/>
      <c r="AD231" s="2793"/>
      <c r="AE231" s="2793"/>
      <c r="AF231" s="2793"/>
      <c r="AG231" s="2793"/>
      <c r="AH231" s="2794"/>
      <c r="AI231" s="2793"/>
      <c r="AJ231" s="2793"/>
      <c r="AK231" s="2793"/>
      <c r="AL231" s="2793"/>
      <c r="AM231" s="2793"/>
      <c r="AN231" s="2793"/>
      <c r="AO231" s="2793"/>
      <c r="AP231" s="2793"/>
      <c r="AQ231" s="2793"/>
      <c r="AR231" s="2783"/>
      <c r="AS231" s="2783"/>
      <c r="AT231" s="2783"/>
      <c r="AU231" s="2783"/>
      <c r="AV231" s="2730"/>
      <c r="AY231" s="2730"/>
    </row>
    <row r="232" spans="1:51">
      <c r="A232" s="2730"/>
      <c r="E232" s="2730"/>
      <c r="F232" s="2730"/>
      <c r="G232" s="2730"/>
      <c r="H232" s="2730"/>
      <c r="I232" s="2730"/>
      <c r="J232" s="2730"/>
      <c r="K232" s="2783"/>
      <c r="L232" s="2783"/>
      <c r="M232" s="2793"/>
      <c r="N232" s="2793"/>
      <c r="O232" s="2793"/>
      <c r="P232" s="2793"/>
      <c r="Q232" s="2793"/>
      <c r="R232" s="2793"/>
      <c r="S232" s="2793"/>
      <c r="T232" s="2793"/>
      <c r="U232" s="2793"/>
      <c r="V232" s="2793"/>
      <c r="W232" s="2793"/>
      <c r="X232" s="2793"/>
      <c r="Y232" s="2793"/>
      <c r="Z232" s="2793"/>
      <c r="AA232" s="2793"/>
      <c r="AB232" s="2793"/>
      <c r="AC232" s="2793"/>
      <c r="AD232" s="2793"/>
      <c r="AE232" s="2793"/>
      <c r="AF232" s="2793"/>
      <c r="AG232" s="2793"/>
      <c r="AH232" s="2794"/>
      <c r="AI232" s="2793"/>
      <c r="AJ232" s="2793"/>
      <c r="AK232" s="2793"/>
      <c r="AL232" s="2793"/>
      <c r="AM232" s="2793"/>
      <c r="AN232" s="2793"/>
      <c r="AO232" s="2793"/>
      <c r="AP232" s="2793"/>
      <c r="AQ232" s="2793"/>
      <c r="AR232" s="2783"/>
      <c r="AS232" s="2783"/>
      <c r="AT232" s="2783"/>
      <c r="AU232" s="2783"/>
      <c r="AV232" s="2730"/>
      <c r="AY232" s="2730"/>
    </row>
    <row r="233" spans="1:51">
      <c r="A233" s="2730"/>
      <c r="E233" s="2730"/>
      <c r="F233" s="2730"/>
      <c r="G233" s="2730"/>
      <c r="H233" s="2730"/>
      <c r="I233" s="2730"/>
      <c r="J233" s="2730"/>
      <c r="K233" s="2783"/>
      <c r="L233" s="2783"/>
      <c r="M233" s="2793"/>
      <c r="N233" s="2793"/>
      <c r="O233" s="2793"/>
      <c r="P233" s="2793"/>
      <c r="Q233" s="2793"/>
      <c r="R233" s="2793"/>
      <c r="S233" s="2793"/>
      <c r="T233" s="2793"/>
      <c r="U233" s="2793"/>
      <c r="V233" s="2793"/>
      <c r="W233" s="2793"/>
      <c r="X233" s="2793"/>
      <c r="Y233" s="2793"/>
      <c r="Z233" s="2793"/>
      <c r="AA233" s="2793"/>
      <c r="AB233" s="2793"/>
      <c r="AC233" s="2793"/>
      <c r="AD233" s="2793"/>
      <c r="AE233" s="2793"/>
      <c r="AF233" s="2793"/>
      <c r="AG233" s="2793"/>
      <c r="AH233" s="2794"/>
      <c r="AI233" s="2793"/>
      <c r="AJ233" s="2793"/>
      <c r="AK233" s="2793"/>
      <c r="AL233" s="2793"/>
      <c r="AM233" s="2793"/>
      <c r="AN233" s="2793"/>
      <c r="AO233" s="2793"/>
      <c r="AP233" s="2793"/>
      <c r="AQ233" s="2793"/>
      <c r="AR233" s="2783"/>
      <c r="AS233" s="2783"/>
      <c r="AT233" s="2783"/>
      <c r="AU233" s="2783"/>
      <c r="AV233" s="2730"/>
      <c r="AY233" s="2730"/>
    </row>
    <row r="234" spans="1:51">
      <c r="A234" s="2730"/>
      <c r="E234" s="2730"/>
      <c r="F234" s="2730"/>
      <c r="G234" s="2730"/>
      <c r="H234" s="2730"/>
      <c r="I234" s="2730"/>
      <c r="J234" s="2730"/>
      <c r="K234" s="2783"/>
      <c r="L234" s="2783"/>
      <c r="M234" s="2793"/>
      <c r="N234" s="2793"/>
      <c r="O234" s="2793"/>
      <c r="P234" s="2793"/>
      <c r="Q234" s="2793"/>
      <c r="R234" s="2793"/>
      <c r="S234" s="2793"/>
      <c r="T234" s="2793"/>
      <c r="U234" s="2793"/>
      <c r="V234" s="2793"/>
      <c r="W234" s="2793"/>
      <c r="X234" s="2793"/>
      <c r="Y234" s="2793"/>
      <c r="Z234" s="2793"/>
      <c r="AA234" s="2793"/>
      <c r="AB234" s="2793"/>
      <c r="AC234" s="2793"/>
      <c r="AD234" s="2793"/>
      <c r="AE234" s="2793"/>
      <c r="AF234" s="2793"/>
      <c r="AG234" s="2793"/>
      <c r="AH234" s="2794"/>
      <c r="AI234" s="2793"/>
      <c r="AJ234" s="2793"/>
      <c r="AK234" s="2793"/>
      <c r="AL234" s="2793"/>
      <c r="AM234" s="2793"/>
      <c r="AN234" s="2793"/>
      <c r="AO234" s="2793"/>
      <c r="AP234" s="2793"/>
      <c r="AQ234" s="2793"/>
      <c r="AR234" s="2783"/>
      <c r="AS234" s="2783"/>
      <c r="AT234" s="2783"/>
      <c r="AU234" s="2783"/>
      <c r="AV234" s="2730"/>
      <c r="AY234" s="2730"/>
    </row>
    <row r="235" spans="1:51">
      <c r="A235" s="2730"/>
      <c r="E235" s="2730"/>
      <c r="F235" s="2730"/>
      <c r="G235" s="2730"/>
      <c r="H235" s="2730"/>
      <c r="I235" s="2730"/>
      <c r="J235" s="2730"/>
      <c r="K235" s="2783"/>
      <c r="L235" s="2783"/>
      <c r="M235" s="2793"/>
      <c r="N235" s="2793"/>
      <c r="O235" s="2793"/>
      <c r="P235" s="2793"/>
      <c r="Q235" s="2793"/>
      <c r="R235" s="2793"/>
      <c r="S235" s="2793"/>
      <c r="T235" s="2793"/>
      <c r="U235" s="2793"/>
      <c r="V235" s="2793"/>
      <c r="W235" s="2793"/>
      <c r="X235" s="2793"/>
      <c r="Y235" s="2793"/>
      <c r="Z235" s="2793"/>
      <c r="AA235" s="2793"/>
      <c r="AB235" s="2793"/>
      <c r="AC235" s="2793"/>
      <c r="AD235" s="2793"/>
      <c r="AE235" s="2793"/>
      <c r="AF235" s="2793"/>
      <c r="AG235" s="2793"/>
      <c r="AH235" s="2794"/>
      <c r="AI235" s="2793"/>
      <c r="AJ235" s="2793"/>
      <c r="AK235" s="2793"/>
      <c r="AL235" s="2793"/>
      <c r="AM235" s="2793"/>
      <c r="AN235" s="2793"/>
      <c r="AO235" s="2793"/>
      <c r="AP235" s="2793"/>
      <c r="AQ235" s="2793"/>
      <c r="AR235" s="2783"/>
      <c r="AS235" s="2783"/>
      <c r="AT235" s="2783"/>
      <c r="AU235" s="2783"/>
      <c r="AV235" s="2730"/>
      <c r="AY235" s="2730"/>
    </row>
    <row r="236" spans="1:51">
      <c r="A236" s="2730"/>
      <c r="E236" s="2730"/>
      <c r="F236" s="2730"/>
      <c r="G236" s="2730"/>
      <c r="H236" s="2730"/>
      <c r="I236" s="2730"/>
      <c r="J236" s="2730"/>
      <c r="K236" s="2783"/>
      <c r="L236" s="2783"/>
      <c r="M236" s="2793"/>
      <c r="N236" s="2793"/>
      <c r="O236" s="2793"/>
      <c r="P236" s="2793"/>
      <c r="Q236" s="2793"/>
      <c r="R236" s="2793"/>
      <c r="S236" s="2793"/>
      <c r="T236" s="2793"/>
      <c r="U236" s="2793"/>
      <c r="V236" s="2793"/>
      <c r="W236" s="2793"/>
      <c r="X236" s="2793"/>
      <c r="Y236" s="2793"/>
      <c r="Z236" s="2793"/>
      <c r="AA236" s="2793"/>
      <c r="AB236" s="2793"/>
      <c r="AC236" s="2793"/>
      <c r="AD236" s="2793"/>
      <c r="AE236" s="2793"/>
      <c r="AF236" s="2793"/>
      <c r="AG236" s="2793"/>
      <c r="AH236" s="2794"/>
      <c r="AI236" s="2793"/>
      <c r="AJ236" s="2793"/>
      <c r="AK236" s="2793"/>
      <c r="AL236" s="2793"/>
      <c r="AM236" s="2793"/>
      <c r="AN236" s="2793"/>
      <c r="AO236" s="2793"/>
      <c r="AP236" s="2793"/>
      <c r="AQ236" s="2793"/>
      <c r="AR236" s="2783"/>
      <c r="AS236" s="2783"/>
      <c r="AT236" s="2783"/>
      <c r="AU236" s="2783"/>
      <c r="AV236" s="2730"/>
      <c r="AY236" s="2730"/>
    </row>
    <row r="237" spans="1:51">
      <c r="A237" s="2730"/>
      <c r="E237" s="2730"/>
      <c r="F237" s="2730"/>
      <c r="G237" s="2730"/>
      <c r="H237" s="2730"/>
      <c r="I237" s="2730"/>
      <c r="J237" s="2730"/>
      <c r="K237" s="2783"/>
      <c r="L237" s="2783"/>
      <c r="M237" s="2793"/>
      <c r="N237" s="2793"/>
      <c r="O237" s="2793"/>
      <c r="P237" s="2793"/>
      <c r="Q237" s="2793"/>
      <c r="R237" s="2793"/>
      <c r="S237" s="2793"/>
      <c r="T237" s="2793"/>
      <c r="U237" s="2793"/>
      <c r="V237" s="2793"/>
      <c r="W237" s="2793"/>
      <c r="X237" s="2793"/>
      <c r="Y237" s="2793"/>
      <c r="Z237" s="2793"/>
      <c r="AA237" s="2793"/>
      <c r="AB237" s="2793"/>
      <c r="AC237" s="2793"/>
      <c r="AD237" s="2793"/>
      <c r="AE237" s="2793"/>
      <c r="AF237" s="2793"/>
      <c r="AG237" s="2793"/>
      <c r="AH237" s="2794"/>
      <c r="AI237" s="2793"/>
      <c r="AJ237" s="2793"/>
      <c r="AK237" s="2793"/>
      <c r="AL237" s="2793"/>
      <c r="AM237" s="2793"/>
      <c r="AN237" s="2793"/>
      <c r="AO237" s="2793"/>
      <c r="AP237" s="2793"/>
      <c r="AQ237" s="2793"/>
      <c r="AR237" s="2783"/>
      <c r="AS237" s="2783"/>
      <c r="AT237" s="2783"/>
      <c r="AU237" s="2783"/>
      <c r="AV237" s="2730"/>
      <c r="AY237" s="2730"/>
    </row>
    <row r="238" spans="1:51">
      <c r="A238" s="2730"/>
      <c r="E238" s="2730"/>
      <c r="F238" s="2730"/>
      <c r="G238" s="2730"/>
      <c r="H238" s="2730"/>
      <c r="I238" s="2730"/>
      <c r="J238" s="2730"/>
      <c r="K238" s="2783"/>
      <c r="L238" s="2783"/>
      <c r="M238" s="2793"/>
      <c r="N238" s="2793"/>
      <c r="O238" s="2793"/>
      <c r="P238" s="2793"/>
      <c r="Q238" s="2793"/>
      <c r="R238" s="2793"/>
      <c r="S238" s="2793"/>
      <c r="T238" s="2793"/>
      <c r="U238" s="2793"/>
      <c r="V238" s="2793"/>
      <c r="W238" s="2793"/>
      <c r="X238" s="2793"/>
      <c r="Y238" s="2793"/>
      <c r="Z238" s="2793"/>
      <c r="AA238" s="2793"/>
      <c r="AB238" s="2793"/>
      <c r="AC238" s="2793"/>
      <c r="AD238" s="2793"/>
      <c r="AE238" s="2793"/>
      <c r="AF238" s="2793"/>
      <c r="AG238" s="2793"/>
      <c r="AH238" s="2794"/>
      <c r="AI238" s="2793"/>
      <c r="AJ238" s="2793"/>
      <c r="AK238" s="2793"/>
      <c r="AL238" s="2793"/>
      <c r="AM238" s="2793"/>
      <c r="AN238" s="2793"/>
      <c r="AO238" s="2793"/>
      <c r="AP238" s="2793"/>
      <c r="AQ238" s="2793"/>
      <c r="AR238" s="2783"/>
      <c r="AS238" s="2783"/>
      <c r="AT238" s="2783"/>
      <c r="AU238" s="2783"/>
      <c r="AV238" s="2730"/>
      <c r="AY238" s="2730"/>
    </row>
    <row r="239" spans="1:51">
      <c r="A239" s="2730"/>
      <c r="E239" s="2730"/>
      <c r="F239" s="2730"/>
      <c r="G239" s="2730"/>
      <c r="H239" s="2730"/>
      <c r="I239" s="2730"/>
      <c r="J239" s="2730"/>
      <c r="K239" s="2783"/>
      <c r="L239" s="2783"/>
      <c r="M239" s="2793"/>
      <c r="N239" s="2793"/>
      <c r="O239" s="2793"/>
      <c r="P239" s="2793"/>
      <c r="Q239" s="2793"/>
      <c r="R239" s="2793"/>
      <c r="S239" s="2793"/>
      <c r="T239" s="2793"/>
      <c r="U239" s="2793"/>
      <c r="V239" s="2793"/>
      <c r="W239" s="2793"/>
      <c r="X239" s="2793"/>
      <c r="Y239" s="2793"/>
      <c r="Z239" s="2793"/>
      <c r="AA239" s="2793"/>
      <c r="AB239" s="2793"/>
      <c r="AC239" s="2793"/>
      <c r="AD239" s="2793"/>
      <c r="AE239" s="2793"/>
      <c r="AF239" s="2793"/>
      <c r="AG239" s="2793"/>
      <c r="AH239" s="2794"/>
      <c r="AI239" s="2793"/>
      <c r="AJ239" s="2793"/>
      <c r="AK239" s="2793"/>
      <c r="AL239" s="2793"/>
      <c r="AM239" s="2793"/>
      <c r="AN239" s="2793"/>
      <c r="AO239" s="2793"/>
      <c r="AP239" s="2793"/>
      <c r="AQ239" s="2793"/>
      <c r="AR239" s="2783"/>
      <c r="AS239" s="2783"/>
      <c r="AT239" s="2783"/>
      <c r="AU239" s="2783"/>
      <c r="AV239" s="2730"/>
      <c r="AY239" s="2730"/>
    </row>
    <row r="240" spans="1:51">
      <c r="A240" s="2730"/>
      <c r="E240" s="2730"/>
      <c r="F240" s="2730"/>
      <c r="G240" s="2730"/>
      <c r="H240" s="2730"/>
      <c r="I240" s="2730"/>
      <c r="J240" s="2730"/>
      <c r="K240" s="2783"/>
      <c r="L240" s="2783"/>
      <c r="M240" s="2793"/>
      <c r="N240" s="2793"/>
      <c r="O240" s="2793"/>
      <c r="P240" s="2793"/>
      <c r="Q240" s="2793"/>
      <c r="R240" s="2793"/>
      <c r="S240" s="2793"/>
      <c r="T240" s="2793"/>
      <c r="U240" s="2793"/>
      <c r="V240" s="2793"/>
      <c r="W240" s="2793"/>
      <c r="X240" s="2793"/>
      <c r="Y240" s="2793"/>
      <c r="Z240" s="2793"/>
      <c r="AA240" s="2793"/>
      <c r="AB240" s="2793"/>
      <c r="AC240" s="2793"/>
      <c r="AD240" s="2793"/>
      <c r="AE240" s="2793"/>
      <c r="AF240" s="2793"/>
      <c r="AG240" s="2793"/>
      <c r="AH240" s="2794"/>
      <c r="AI240" s="2793"/>
      <c r="AJ240" s="2793"/>
      <c r="AK240" s="2793"/>
      <c r="AL240" s="2793"/>
      <c r="AM240" s="2793"/>
      <c r="AN240" s="2793"/>
      <c r="AO240" s="2793"/>
      <c r="AP240" s="2793"/>
      <c r="AQ240" s="2793"/>
      <c r="AR240" s="2783"/>
      <c r="AS240" s="2783"/>
      <c r="AT240" s="2783"/>
      <c r="AU240" s="2783"/>
      <c r="AV240" s="2730"/>
      <c r="AY240" s="2730"/>
    </row>
    <row r="241" spans="1:51">
      <c r="A241" s="2730"/>
      <c r="E241" s="2730"/>
      <c r="F241" s="2730"/>
      <c r="G241" s="2730"/>
      <c r="H241" s="2730"/>
      <c r="I241" s="2730"/>
      <c r="J241" s="2730"/>
      <c r="K241" s="2783"/>
      <c r="L241" s="2783"/>
      <c r="M241" s="2793"/>
      <c r="N241" s="2793"/>
      <c r="O241" s="2793"/>
      <c r="P241" s="2793"/>
      <c r="Q241" s="2793"/>
      <c r="R241" s="2793"/>
      <c r="S241" s="2793"/>
      <c r="T241" s="2793"/>
      <c r="U241" s="2793"/>
      <c r="V241" s="2793"/>
      <c r="W241" s="2793"/>
      <c r="X241" s="2793"/>
      <c r="Y241" s="2793"/>
      <c r="Z241" s="2793"/>
      <c r="AA241" s="2793"/>
      <c r="AB241" s="2793"/>
      <c r="AC241" s="2793"/>
      <c r="AD241" s="2793"/>
      <c r="AE241" s="2793"/>
      <c r="AF241" s="2793"/>
      <c r="AG241" s="2793"/>
      <c r="AH241" s="2794"/>
      <c r="AI241" s="2793"/>
      <c r="AJ241" s="2793"/>
      <c r="AK241" s="2793"/>
      <c r="AL241" s="2793"/>
      <c r="AM241" s="2793"/>
      <c r="AN241" s="2793"/>
      <c r="AO241" s="2793"/>
      <c r="AP241" s="2793"/>
      <c r="AQ241" s="2793"/>
      <c r="AR241" s="2783"/>
      <c r="AS241" s="2783"/>
      <c r="AT241" s="2783"/>
      <c r="AU241" s="2783"/>
      <c r="AV241" s="2730"/>
      <c r="AY241" s="2730"/>
    </row>
    <row r="242" spans="1:51">
      <c r="A242" s="2730"/>
      <c r="E242" s="2730"/>
      <c r="F242" s="2730"/>
      <c r="G242" s="2730"/>
      <c r="H242" s="2730"/>
      <c r="I242" s="2730"/>
      <c r="J242" s="2730"/>
      <c r="K242" s="2783"/>
      <c r="L242" s="2783"/>
      <c r="M242" s="2793"/>
      <c r="N242" s="2793"/>
      <c r="O242" s="2793"/>
      <c r="P242" s="2793"/>
      <c r="Q242" s="2793"/>
      <c r="R242" s="2793"/>
      <c r="S242" s="2793"/>
      <c r="T242" s="2793"/>
      <c r="U242" s="2793"/>
      <c r="V242" s="2793"/>
      <c r="W242" s="2793"/>
      <c r="X242" s="2793"/>
      <c r="Y242" s="2793"/>
      <c r="Z242" s="2793"/>
      <c r="AA242" s="2793"/>
      <c r="AB242" s="2793"/>
      <c r="AC242" s="2793"/>
      <c r="AD242" s="2793"/>
      <c r="AE242" s="2793"/>
      <c r="AF242" s="2793"/>
      <c r="AG242" s="2793"/>
      <c r="AH242" s="2794"/>
      <c r="AI242" s="2793"/>
      <c r="AJ242" s="2793"/>
      <c r="AK242" s="2793"/>
      <c r="AL242" s="2793"/>
      <c r="AM242" s="2793"/>
      <c r="AN242" s="2793"/>
      <c r="AO242" s="2793"/>
      <c r="AP242" s="2793"/>
      <c r="AQ242" s="2793"/>
      <c r="AR242" s="2783"/>
      <c r="AS242" s="2783"/>
      <c r="AT242" s="2783"/>
      <c r="AU242" s="2783"/>
      <c r="AV242" s="2730"/>
      <c r="AY242" s="2730"/>
    </row>
    <row r="243" spans="1:51">
      <c r="A243" s="2730"/>
      <c r="E243" s="2730"/>
      <c r="F243" s="2730"/>
      <c r="G243" s="2730"/>
      <c r="H243" s="2730"/>
      <c r="I243" s="2730"/>
      <c r="J243" s="2730"/>
      <c r="K243" s="2783"/>
      <c r="L243" s="2783"/>
      <c r="M243" s="2793"/>
      <c r="N243" s="2793"/>
      <c r="O243" s="2793"/>
      <c r="P243" s="2793"/>
      <c r="Q243" s="2793"/>
      <c r="R243" s="2793"/>
      <c r="S243" s="2793"/>
      <c r="T243" s="2793"/>
      <c r="U243" s="2793"/>
      <c r="V243" s="2793"/>
      <c r="W243" s="2793"/>
      <c r="X243" s="2793"/>
      <c r="Y243" s="2793"/>
      <c r="Z243" s="2793"/>
      <c r="AA243" s="2793"/>
      <c r="AB243" s="2793"/>
      <c r="AC243" s="2793"/>
      <c r="AD243" s="2793"/>
      <c r="AE243" s="2793"/>
      <c r="AF243" s="2793"/>
      <c r="AG243" s="2793"/>
      <c r="AH243" s="2794"/>
      <c r="AI243" s="2793"/>
      <c r="AJ243" s="2793"/>
      <c r="AK243" s="2793"/>
      <c r="AL243" s="2793"/>
      <c r="AM243" s="2793"/>
      <c r="AN243" s="2793"/>
      <c r="AO243" s="2793"/>
      <c r="AP243" s="2793"/>
      <c r="AQ243" s="2793"/>
      <c r="AR243" s="2783"/>
      <c r="AS243" s="2783"/>
      <c r="AT243" s="2783"/>
      <c r="AU243" s="2783"/>
      <c r="AV243" s="2730"/>
      <c r="AY243" s="2730"/>
    </row>
    <row r="244" spans="1:51">
      <c r="A244" s="2730"/>
      <c r="E244" s="2730"/>
      <c r="F244" s="2730"/>
      <c r="G244" s="2730"/>
      <c r="H244" s="2730"/>
      <c r="I244" s="2730"/>
      <c r="J244" s="2730"/>
      <c r="K244" s="2783"/>
      <c r="L244" s="2783"/>
      <c r="M244" s="2793"/>
      <c r="N244" s="2793"/>
      <c r="O244" s="2793"/>
      <c r="P244" s="2793"/>
      <c r="Q244" s="2793"/>
      <c r="R244" s="2793"/>
      <c r="S244" s="2793"/>
      <c r="T244" s="2793"/>
      <c r="U244" s="2793"/>
      <c r="V244" s="2793"/>
      <c r="W244" s="2793"/>
      <c r="X244" s="2793"/>
      <c r="Y244" s="2793"/>
      <c r="Z244" s="2793"/>
      <c r="AA244" s="2793"/>
      <c r="AB244" s="2793"/>
      <c r="AC244" s="2793"/>
      <c r="AD244" s="2793"/>
      <c r="AE244" s="2793"/>
      <c r="AF244" s="2793"/>
      <c r="AG244" s="2793"/>
      <c r="AH244" s="2794"/>
      <c r="AI244" s="2793"/>
      <c r="AJ244" s="2793"/>
      <c r="AK244" s="2793"/>
      <c r="AL244" s="2793"/>
      <c r="AM244" s="2793"/>
      <c r="AN244" s="2793"/>
      <c r="AO244" s="2793"/>
      <c r="AP244" s="2793"/>
      <c r="AQ244" s="2793"/>
      <c r="AR244" s="2783"/>
      <c r="AS244" s="2783"/>
      <c r="AT244" s="2783"/>
      <c r="AU244" s="2783"/>
      <c r="AV244" s="2730"/>
      <c r="AY244" s="2730"/>
    </row>
    <row r="245" spans="1:51">
      <c r="A245" s="2730"/>
      <c r="E245" s="2730"/>
      <c r="F245" s="2730"/>
      <c r="G245" s="2730"/>
      <c r="H245" s="2730"/>
      <c r="I245" s="2730"/>
      <c r="J245" s="2730"/>
      <c r="K245" s="2783"/>
      <c r="L245" s="2783"/>
      <c r="M245" s="2793"/>
      <c r="N245" s="2793"/>
      <c r="O245" s="2793"/>
      <c r="P245" s="2793"/>
      <c r="Q245" s="2793"/>
      <c r="R245" s="2793"/>
      <c r="S245" s="2793"/>
      <c r="T245" s="2793"/>
      <c r="U245" s="2793"/>
      <c r="V245" s="2793"/>
      <c r="W245" s="2793"/>
      <c r="X245" s="2793"/>
      <c r="Y245" s="2793"/>
      <c r="Z245" s="2793"/>
      <c r="AA245" s="2793"/>
      <c r="AB245" s="2793"/>
      <c r="AC245" s="2793"/>
      <c r="AD245" s="2793"/>
      <c r="AE245" s="2793"/>
      <c r="AF245" s="2793"/>
      <c r="AG245" s="2793"/>
      <c r="AH245" s="2794"/>
      <c r="AI245" s="2793"/>
      <c r="AJ245" s="2793"/>
      <c r="AK245" s="2793"/>
      <c r="AL245" s="2793"/>
      <c r="AM245" s="2793"/>
      <c r="AN245" s="2793"/>
      <c r="AO245" s="2793"/>
      <c r="AP245" s="2793"/>
      <c r="AQ245" s="2793"/>
      <c r="AR245" s="2783"/>
      <c r="AS245" s="2783"/>
      <c r="AT245" s="2783"/>
      <c r="AU245" s="2783"/>
      <c r="AV245" s="2730"/>
      <c r="AY245" s="2730"/>
    </row>
    <row r="246" spans="1:51">
      <c r="A246" s="2730"/>
      <c r="E246" s="2730"/>
      <c r="F246" s="2730"/>
      <c r="G246" s="2730"/>
      <c r="H246" s="2730"/>
      <c r="I246" s="2730"/>
      <c r="J246" s="2730"/>
      <c r="K246" s="2783"/>
      <c r="L246" s="2783"/>
      <c r="M246" s="2793"/>
      <c r="N246" s="2793"/>
      <c r="O246" s="2793"/>
      <c r="P246" s="2793"/>
      <c r="Q246" s="2793"/>
      <c r="R246" s="2793"/>
      <c r="S246" s="2793"/>
      <c r="T246" s="2793"/>
      <c r="U246" s="2793"/>
      <c r="V246" s="2793"/>
      <c r="W246" s="2793"/>
      <c r="X246" s="2793"/>
      <c r="Y246" s="2793"/>
      <c r="Z246" s="2793"/>
      <c r="AA246" s="2793"/>
      <c r="AB246" s="2793"/>
      <c r="AC246" s="2793"/>
      <c r="AD246" s="2793"/>
      <c r="AE246" s="2793"/>
      <c r="AF246" s="2793"/>
      <c r="AG246" s="2793"/>
      <c r="AH246" s="2794"/>
      <c r="AI246" s="2793"/>
      <c r="AJ246" s="2793"/>
      <c r="AK246" s="2793"/>
      <c r="AL246" s="2793"/>
      <c r="AM246" s="2793"/>
      <c r="AN246" s="2793"/>
      <c r="AO246" s="2793"/>
      <c r="AP246" s="2793"/>
      <c r="AQ246" s="2793"/>
      <c r="AR246" s="2783"/>
      <c r="AS246" s="2783"/>
      <c r="AT246" s="2783"/>
      <c r="AU246" s="2783"/>
      <c r="AV246" s="2730"/>
      <c r="AY246" s="2730"/>
    </row>
    <row r="247" spans="1:51">
      <c r="A247" s="2730"/>
      <c r="E247" s="2730"/>
      <c r="F247" s="2730"/>
      <c r="G247" s="2730"/>
      <c r="H247" s="2730"/>
      <c r="I247" s="2730"/>
      <c r="J247" s="2730"/>
      <c r="K247" s="2783"/>
      <c r="L247" s="2783"/>
      <c r="M247" s="2793"/>
      <c r="N247" s="2793"/>
      <c r="O247" s="2793"/>
      <c r="P247" s="2793"/>
      <c r="Q247" s="2793"/>
      <c r="R247" s="2793"/>
      <c r="S247" s="2793"/>
      <c r="T247" s="2793"/>
      <c r="U247" s="2793"/>
      <c r="V247" s="2793"/>
      <c r="W247" s="2793"/>
      <c r="X247" s="2793"/>
      <c r="Y247" s="2793"/>
      <c r="Z247" s="2793"/>
      <c r="AA247" s="2793"/>
      <c r="AB247" s="2793"/>
      <c r="AC247" s="2793"/>
      <c r="AD247" s="2793"/>
      <c r="AE247" s="2793"/>
      <c r="AF247" s="2793"/>
      <c r="AG247" s="2793"/>
      <c r="AH247" s="2794"/>
      <c r="AI247" s="2793"/>
      <c r="AJ247" s="2793"/>
      <c r="AK247" s="2793"/>
      <c r="AL247" s="2793"/>
      <c r="AM247" s="2793"/>
      <c r="AN247" s="2793"/>
      <c r="AO247" s="2793"/>
      <c r="AP247" s="2793"/>
      <c r="AQ247" s="2793"/>
      <c r="AR247" s="2783"/>
      <c r="AS247" s="2783"/>
      <c r="AT247" s="2783"/>
      <c r="AU247" s="2783"/>
      <c r="AV247" s="2730"/>
      <c r="AY247" s="2730"/>
    </row>
    <row r="248" spans="1:51">
      <c r="A248" s="2730"/>
      <c r="E248" s="2730"/>
      <c r="F248" s="2730"/>
      <c r="G248" s="2730"/>
      <c r="H248" s="2730"/>
      <c r="I248" s="2730"/>
      <c r="J248" s="2730"/>
      <c r="K248" s="2783"/>
      <c r="L248" s="2783"/>
      <c r="M248" s="2793"/>
      <c r="N248" s="2793"/>
      <c r="O248" s="2793"/>
      <c r="P248" s="2793"/>
      <c r="Q248" s="2793"/>
      <c r="R248" s="2793"/>
      <c r="S248" s="2793"/>
      <c r="T248" s="2793"/>
      <c r="U248" s="2793"/>
      <c r="V248" s="2793"/>
      <c r="W248" s="2793"/>
      <c r="X248" s="2793"/>
      <c r="Y248" s="2793"/>
      <c r="Z248" s="2793"/>
      <c r="AA248" s="2793"/>
      <c r="AB248" s="2793"/>
      <c r="AC248" s="2793"/>
      <c r="AD248" s="2793"/>
      <c r="AE248" s="2793"/>
      <c r="AF248" s="2793"/>
      <c r="AG248" s="2793"/>
      <c r="AH248" s="2794"/>
      <c r="AI248" s="2793"/>
      <c r="AJ248" s="2793"/>
      <c r="AK248" s="2793"/>
      <c r="AL248" s="2793"/>
      <c r="AM248" s="2793"/>
      <c r="AN248" s="2793"/>
      <c r="AO248" s="2793"/>
      <c r="AP248" s="2793"/>
      <c r="AQ248" s="2793"/>
      <c r="AR248" s="2783"/>
      <c r="AS248" s="2783"/>
      <c r="AT248" s="2783"/>
      <c r="AU248" s="2783"/>
      <c r="AV248" s="2730"/>
      <c r="AY248" s="2730"/>
    </row>
    <row r="249" spans="1:51">
      <c r="A249" s="2730"/>
      <c r="E249" s="2730"/>
      <c r="F249" s="2730"/>
      <c r="G249" s="2730"/>
      <c r="H249" s="2730"/>
      <c r="I249" s="2730"/>
      <c r="J249" s="2730"/>
      <c r="K249" s="2783"/>
      <c r="L249" s="2783"/>
      <c r="M249" s="2793"/>
      <c r="N249" s="2793"/>
      <c r="O249" s="2793"/>
      <c r="P249" s="2793"/>
      <c r="Q249" s="2793"/>
      <c r="R249" s="2793"/>
      <c r="S249" s="2793"/>
      <c r="T249" s="2793"/>
      <c r="U249" s="2793"/>
      <c r="V249" s="2793"/>
      <c r="W249" s="2793"/>
      <c r="X249" s="2793"/>
      <c r="Y249" s="2793"/>
      <c r="Z249" s="2793"/>
      <c r="AA249" s="2793"/>
      <c r="AB249" s="2793"/>
      <c r="AC249" s="2793"/>
      <c r="AD249" s="2793"/>
      <c r="AE249" s="2793"/>
      <c r="AF249" s="2793"/>
      <c r="AG249" s="2793"/>
      <c r="AH249" s="2794"/>
      <c r="AI249" s="2793"/>
      <c r="AJ249" s="2793"/>
      <c r="AK249" s="2793"/>
      <c r="AL249" s="2793"/>
      <c r="AM249" s="2793"/>
      <c r="AN249" s="2793"/>
      <c r="AO249" s="2793"/>
      <c r="AP249" s="2793"/>
      <c r="AQ249" s="2793"/>
      <c r="AR249" s="2783"/>
      <c r="AS249" s="2783"/>
      <c r="AT249" s="2783"/>
      <c r="AU249" s="2783"/>
      <c r="AV249" s="2730"/>
      <c r="AY249" s="2730"/>
    </row>
    <row r="250" spans="1:51">
      <c r="A250" s="2730"/>
      <c r="E250" s="2730"/>
      <c r="F250" s="2730"/>
      <c r="G250" s="2730"/>
      <c r="H250" s="2730"/>
      <c r="I250" s="2730"/>
      <c r="J250" s="2730"/>
      <c r="K250" s="2783"/>
      <c r="L250" s="2783"/>
      <c r="M250" s="2793"/>
      <c r="N250" s="2793"/>
      <c r="O250" s="2793"/>
      <c r="P250" s="2793"/>
      <c r="Q250" s="2793"/>
      <c r="R250" s="2793"/>
      <c r="S250" s="2793"/>
      <c r="T250" s="2793"/>
      <c r="U250" s="2793"/>
      <c r="V250" s="2793"/>
      <c r="W250" s="2793"/>
      <c r="X250" s="2793"/>
      <c r="Y250" s="2793"/>
      <c r="Z250" s="2793"/>
      <c r="AA250" s="2793"/>
      <c r="AB250" s="2793"/>
      <c r="AC250" s="2793"/>
      <c r="AD250" s="2793"/>
      <c r="AE250" s="2793"/>
      <c r="AF250" s="2793"/>
      <c r="AG250" s="2793"/>
      <c r="AH250" s="2794"/>
      <c r="AI250" s="2793"/>
      <c r="AJ250" s="2793"/>
      <c r="AK250" s="2793"/>
      <c r="AL250" s="2793"/>
      <c r="AM250" s="2793"/>
      <c r="AN250" s="2793"/>
      <c r="AO250" s="2793"/>
      <c r="AP250" s="2793"/>
      <c r="AQ250" s="2793"/>
      <c r="AR250" s="2783"/>
      <c r="AS250" s="2783"/>
      <c r="AT250" s="2783"/>
      <c r="AU250" s="2783"/>
      <c r="AV250" s="2730"/>
      <c r="AY250" s="2730"/>
    </row>
    <row r="251" spans="1:51">
      <c r="A251" s="2730"/>
      <c r="E251" s="2730"/>
      <c r="F251" s="2730"/>
      <c r="G251" s="2730"/>
      <c r="H251" s="2730"/>
      <c r="I251" s="2730"/>
      <c r="J251" s="2730"/>
      <c r="K251" s="2783"/>
      <c r="L251" s="2783"/>
      <c r="M251" s="2793"/>
      <c r="N251" s="2793"/>
      <c r="O251" s="2793"/>
      <c r="P251" s="2793"/>
      <c r="Q251" s="2793"/>
      <c r="R251" s="2793"/>
      <c r="S251" s="2793"/>
      <c r="T251" s="2793"/>
      <c r="U251" s="2793"/>
      <c r="V251" s="2793"/>
      <c r="W251" s="2793"/>
      <c r="X251" s="2793"/>
      <c r="Y251" s="2793"/>
      <c r="Z251" s="2793"/>
      <c r="AA251" s="2793"/>
      <c r="AB251" s="2793"/>
      <c r="AC251" s="2793"/>
      <c r="AD251" s="2793"/>
      <c r="AE251" s="2793"/>
      <c r="AF251" s="2793"/>
      <c r="AG251" s="2793"/>
      <c r="AH251" s="2794"/>
      <c r="AI251" s="2793"/>
      <c r="AJ251" s="2793"/>
      <c r="AK251" s="2793"/>
      <c r="AL251" s="2793"/>
      <c r="AM251" s="2793"/>
      <c r="AN251" s="2793"/>
      <c r="AO251" s="2793"/>
      <c r="AP251" s="2793"/>
      <c r="AQ251" s="2793"/>
      <c r="AR251" s="2783"/>
      <c r="AS251" s="2783"/>
      <c r="AT251" s="2783"/>
      <c r="AU251" s="2783"/>
      <c r="AV251" s="2730"/>
      <c r="AY251" s="2730"/>
    </row>
    <row r="252" spans="1:51">
      <c r="A252" s="2730"/>
      <c r="E252" s="2730"/>
      <c r="F252" s="2730"/>
      <c r="G252" s="2730"/>
      <c r="H252" s="2730"/>
      <c r="I252" s="2730"/>
      <c r="J252" s="2730"/>
      <c r="K252" s="2783"/>
      <c r="L252" s="2783"/>
      <c r="M252" s="2793"/>
      <c r="N252" s="2793"/>
      <c r="O252" s="2793"/>
      <c r="P252" s="2793"/>
      <c r="Q252" s="2793"/>
      <c r="R252" s="2793"/>
      <c r="S252" s="2793"/>
      <c r="T252" s="2793"/>
      <c r="U252" s="2793"/>
      <c r="V252" s="2793"/>
      <c r="W252" s="2793"/>
      <c r="X252" s="2793"/>
      <c r="Y252" s="2793"/>
      <c r="Z252" s="2793"/>
      <c r="AA252" s="2793"/>
      <c r="AB252" s="2793"/>
      <c r="AC252" s="2793"/>
      <c r="AD252" s="2793"/>
      <c r="AE252" s="2793"/>
      <c r="AF252" s="2793"/>
      <c r="AG252" s="2793"/>
      <c r="AH252" s="2794"/>
      <c r="AI252" s="2793"/>
      <c r="AJ252" s="2793"/>
      <c r="AK252" s="2793"/>
      <c r="AL252" s="2793"/>
      <c r="AM252" s="2793"/>
      <c r="AN252" s="2793"/>
      <c r="AO252" s="2793"/>
      <c r="AP252" s="2793"/>
      <c r="AQ252" s="2793"/>
      <c r="AR252" s="2783"/>
      <c r="AS252" s="2783"/>
      <c r="AT252" s="2783"/>
      <c r="AU252" s="2783"/>
      <c r="AV252" s="2730"/>
      <c r="AY252" s="2730"/>
    </row>
    <row r="253" spans="1:51">
      <c r="A253" s="2730"/>
      <c r="E253" s="2730"/>
      <c r="F253" s="2730"/>
      <c r="G253" s="2730"/>
      <c r="H253" s="2730"/>
      <c r="I253" s="2730"/>
      <c r="J253" s="2730"/>
      <c r="K253" s="2783"/>
      <c r="L253" s="2783"/>
      <c r="M253" s="2793"/>
      <c r="N253" s="2793"/>
      <c r="O253" s="2793"/>
      <c r="P253" s="2793"/>
      <c r="Q253" s="2793"/>
      <c r="R253" s="2793"/>
      <c r="S253" s="2793"/>
      <c r="T253" s="2793"/>
      <c r="U253" s="2793"/>
      <c r="V253" s="2793"/>
      <c r="W253" s="2793"/>
      <c r="X253" s="2793"/>
      <c r="Y253" s="2793"/>
      <c r="Z253" s="2793"/>
      <c r="AA253" s="2793"/>
      <c r="AB253" s="2793"/>
      <c r="AC253" s="2793"/>
      <c r="AD253" s="2793"/>
      <c r="AE253" s="2793"/>
      <c r="AF253" s="2793"/>
      <c r="AG253" s="2793"/>
      <c r="AH253" s="2794"/>
      <c r="AI253" s="2793"/>
      <c r="AJ253" s="2793"/>
      <c r="AK253" s="2793"/>
      <c r="AL253" s="2793"/>
      <c r="AM253" s="2793"/>
      <c r="AN253" s="2793"/>
      <c r="AO253" s="2793"/>
      <c r="AP253" s="2793"/>
      <c r="AQ253" s="2793"/>
      <c r="AR253" s="2783"/>
      <c r="AS253" s="2783"/>
      <c r="AT253" s="2783"/>
      <c r="AU253" s="2783"/>
      <c r="AV253" s="2730"/>
      <c r="AY253" s="2730"/>
    </row>
    <row r="254" spans="1:51">
      <c r="A254" s="2730"/>
      <c r="E254" s="2730"/>
      <c r="F254" s="2730"/>
      <c r="G254" s="2730"/>
      <c r="H254" s="2730"/>
      <c r="I254" s="2730"/>
      <c r="J254" s="2730"/>
      <c r="K254" s="2783"/>
      <c r="L254" s="2783"/>
      <c r="M254" s="2793"/>
      <c r="N254" s="2793"/>
      <c r="O254" s="2793"/>
      <c r="P254" s="2793"/>
      <c r="Q254" s="2793"/>
      <c r="R254" s="2793"/>
      <c r="S254" s="2793"/>
      <c r="T254" s="2793"/>
      <c r="U254" s="2793"/>
      <c r="V254" s="2793"/>
      <c r="W254" s="2793"/>
      <c r="X254" s="2793"/>
      <c r="Y254" s="2793"/>
      <c r="Z254" s="2793"/>
      <c r="AA254" s="2793"/>
      <c r="AB254" s="2793"/>
      <c r="AC254" s="2793"/>
      <c r="AD254" s="2793"/>
      <c r="AE254" s="2793"/>
      <c r="AF254" s="2793"/>
      <c r="AG254" s="2793"/>
      <c r="AH254" s="2794"/>
      <c r="AI254" s="2793"/>
      <c r="AJ254" s="2793"/>
      <c r="AK254" s="2793"/>
      <c r="AL254" s="2793"/>
      <c r="AM254" s="2793"/>
      <c r="AN254" s="2793"/>
      <c r="AO254" s="2793"/>
      <c r="AP254" s="2793"/>
      <c r="AQ254" s="2793"/>
      <c r="AR254" s="2783"/>
      <c r="AS254" s="2783"/>
      <c r="AT254" s="2783"/>
      <c r="AU254" s="2783"/>
      <c r="AV254" s="2730"/>
      <c r="AY254" s="2730"/>
    </row>
    <row r="255" spans="1:51">
      <c r="A255" s="2730"/>
      <c r="E255" s="2730"/>
      <c r="F255" s="2730"/>
      <c r="G255" s="2730"/>
      <c r="H255" s="2730"/>
      <c r="I255" s="2730"/>
      <c r="J255" s="2730"/>
      <c r="K255" s="2783"/>
      <c r="L255" s="2783"/>
      <c r="M255" s="2793"/>
      <c r="N255" s="2793"/>
      <c r="O255" s="2793"/>
      <c r="P255" s="2793"/>
      <c r="Q255" s="2793"/>
      <c r="R255" s="2793"/>
      <c r="S255" s="2793"/>
      <c r="T255" s="2793"/>
      <c r="U255" s="2793"/>
      <c r="V255" s="2793"/>
      <c r="W255" s="2793"/>
      <c r="X255" s="2793"/>
      <c r="Y255" s="2793"/>
      <c r="Z255" s="2793"/>
      <c r="AA255" s="2793"/>
      <c r="AB255" s="2793"/>
      <c r="AC255" s="2793"/>
      <c r="AD255" s="2793"/>
      <c r="AE255" s="2793"/>
      <c r="AF255" s="2793"/>
      <c r="AG255" s="2793"/>
      <c r="AH255" s="2794"/>
      <c r="AI255" s="2793"/>
      <c r="AJ255" s="2793"/>
      <c r="AK255" s="2793"/>
      <c r="AL255" s="2793"/>
      <c r="AM255" s="2793"/>
      <c r="AN255" s="2793"/>
      <c r="AO255" s="2793"/>
      <c r="AP255" s="2793"/>
      <c r="AQ255" s="2793"/>
      <c r="AR255" s="2783"/>
      <c r="AS255" s="2783"/>
      <c r="AT255" s="2783"/>
      <c r="AU255" s="2783"/>
      <c r="AV255" s="2730"/>
      <c r="AY255" s="2730"/>
    </row>
    <row r="256" spans="1:51">
      <c r="A256" s="2730"/>
      <c r="E256" s="2730"/>
      <c r="F256" s="2730"/>
      <c r="G256" s="2730"/>
      <c r="H256" s="2730"/>
      <c r="I256" s="2730"/>
      <c r="J256" s="2730"/>
      <c r="K256" s="2783"/>
      <c r="L256" s="2783"/>
      <c r="M256" s="2793"/>
      <c r="N256" s="2793"/>
      <c r="O256" s="2793"/>
      <c r="P256" s="2793"/>
      <c r="Q256" s="2793"/>
      <c r="R256" s="2793"/>
      <c r="S256" s="2793"/>
      <c r="T256" s="2793"/>
      <c r="U256" s="2793"/>
      <c r="V256" s="2793"/>
      <c r="W256" s="2793"/>
      <c r="X256" s="2793"/>
      <c r="Y256" s="2793"/>
      <c r="Z256" s="2793"/>
      <c r="AA256" s="2793"/>
      <c r="AB256" s="2793"/>
      <c r="AC256" s="2793"/>
      <c r="AD256" s="2793"/>
      <c r="AE256" s="2793"/>
      <c r="AF256" s="2793"/>
      <c r="AG256" s="2793"/>
      <c r="AH256" s="2794"/>
      <c r="AI256" s="2793"/>
      <c r="AJ256" s="2793"/>
      <c r="AK256" s="2793"/>
      <c r="AL256" s="2793"/>
      <c r="AM256" s="2793"/>
      <c r="AN256" s="2793"/>
      <c r="AO256" s="2793"/>
      <c r="AP256" s="2793"/>
      <c r="AQ256" s="2793"/>
      <c r="AR256" s="2783"/>
      <c r="AS256" s="2783"/>
      <c r="AT256" s="2783"/>
      <c r="AU256" s="2783"/>
      <c r="AV256" s="2730"/>
      <c r="AY256" s="2730"/>
    </row>
    <row r="257" spans="1:51">
      <c r="A257" s="2730"/>
      <c r="E257" s="2730"/>
      <c r="F257" s="2730"/>
      <c r="G257" s="2730"/>
      <c r="H257" s="2730"/>
      <c r="I257" s="2730"/>
      <c r="J257" s="2730"/>
      <c r="K257" s="2783"/>
      <c r="L257" s="2783"/>
      <c r="M257" s="2793"/>
      <c r="N257" s="2793"/>
      <c r="O257" s="2793"/>
      <c r="P257" s="2793"/>
      <c r="Q257" s="2793"/>
      <c r="R257" s="2793"/>
      <c r="S257" s="2793"/>
      <c r="T257" s="2793"/>
      <c r="U257" s="2793"/>
      <c r="V257" s="2793"/>
      <c r="W257" s="2793"/>
      <c r="X257" s="2793"/>
      <c r="Y257" s="2793"/>
      <c r="Z257" s="2793"/>
      <c r="AA257" s="2793"/>
      <c r="AB257" s="2793"/>
      <c r="AC257" s="2793"/>
      <c r="AD257" s="2793"/>
      <c r="AE257" s="2793"/>
      <c r="AF257" s="2793"/>
      <c r="AG257" s="2793"/>
      <c r="AH257" s="2794"/>
      <c r="AI257" s="2793"/>
      <c r="AJ257" s="2793"/>
      <c r="AK257" s="2793"/>
      <c r="AL257" s="2793"/>
      <c r="AM257" s="2793"/>
      <c r="AN257" s="2793"/>
      <c r="AO257" s="2793"/>
      <c r="AP257" s="2793"/>
      <c r="AQ257" s="2793"/>
      <c r="AR257" s="2783"/>
      <c r="AS257" s="2783"/>
      <c r="AT257" s="2783"/>
      <c r="AU257" s="2783"/>
      <c r="AV257" s="2730"/>
      <c r="AY257" s="2730"/>
    </row>
    <row r="258" spans="1:51">
      <c r="A258" s="2730"/>
      <c r="E258" s="2730"/>
      <c r="F258" s="2730"/>
      <c r="G258" s="2730"/>
      <c r="H258" s="2730"/>
      <c r="I258" s="2730"/>
      <c r="J258" s="2730"/>
      <c r="K258" s="2783"/>
      <c r="L258" s="2783"/>
      <c r="M258" s="2793"/>
      <c r="N258" s="2793"/>
      <c r="O258" s="2793"/>
      <c r="P258" s="2793"/>
      <c r="Q258" s="2793"/>
      <c r="R258" s="2793"/>
      <c r="S258" s="2793"/>
      <c r="T258" s="2793"/>
      <c r="U258" s="2793"/>
      <c r="V258" s="2793"/>
      <c r="W258" s="2793"/>
      <c r="X258" s="2793"/>
      <c r="Y258" s="2793"/>
      <c r="Z258" s="2793"/>
      <c r="AA258" s="2793"/>
      <c r="AB258" s="2793"/>
      <c r="AC258" s="2793"/>
      <c r="AD258" s="2793"/>
      <c r="AE258" s="2793"/>
      <c r="AF258" s="2793"/>
      <c r="AG258" s="2793"/>
      <c r="AH258" s="2794"/>
      <c r="AI258" s="2793"/>
      <c r="AJ258" s="2793"/>
      <c r="AK258" s="2793"/>
      <c r="AL258" s="2793"/>
      <c r="AM258" s="2793"/>
      <c r="AN258" s="2793"/>
      <c r="AO258" s="2793"/>
      <c r="AP258" s="2793"/>
      <c r="AQ258" s="2793"/>
      <c r="AR258" s="2783"/>
      <c r="AS258" s="2783"/>
      <c r="AT258" s="2783"/>
      <c r="AU258" s="2783"/>
      <c r="AV258" s="2730"/>
      <c r="AY258" s="2730"/>
    </row>
    <row r="259" spans="1:51">
      <c r="A259" s="2730"/>
      <c r="E259" s="2730"/>
      <c r="F259" s="2730"/>
      <c r="G259" s="2730"/>
      <c r="H259" s="2730"/>
      <c r="I259" s="2730"/>
      <c r="J259" s="2730"/>
      <c r="K259" s="2783"/>
      <c r="L259" s="2783"/>
      <c r="M259" s="2793"/>
      <c r="N259" s="2793"/>
      <c r="O259" s="2793"/>
      <c r="P259" s="2793"/>
      <c r="Q259" s="2793"/>
      <c r="R259" s="2793"/>
      <c r="S259" s="2793"/>
      <c r="T259" s="2793"/>
      <c r="U259" s="2793"/>
      <c r="V259" s="2793"/>
      <c r="W259" s="2793"/>
      <c r="X259" s="2793"/>
      <c r="Y259" s="2793"/>
      <c r="Z259" s="2793"/>
      <c r="AA259" s="2793"/>
      <c r="AB259" s="2793"/>
      <c r="AC259" s="2793"/>
      <c r="AD259" s="2793"/>
      <c r="AE259" s="2793"/>
      <c r="AF259" s="2793"/>
      <c r="AG259" s="2793"/>
      <c r="AH259" s="2794"/>
      <c r="AI259" s="2793"/>
      <c r="AJ259" s="2793"/>
      <c r="AK259" s="2793"/>
      <c r="AL259" s="2793"/>
      <c r="AM259" s="2793"/>
      <c r="AN259" s="2793"/>
      <c r="AO259" s="2793"/>
      <c r="AP259" s="2793"/>
      <c r="AQ259" s="2793"/>
      <c r="AR259" s="2783"/>
      <c r="AS259" s="2783"/>
      <c r="AT259" s="2783"/>
      <c r="AU259" s="2783"/>
      <c r="AV259" s="2730"/>
      <c r="AY259" s="2730"/>
    </row>
    <row r="260" spans="1:51">
      <c r="A260" s="2730"/>
      <c r="E260" s="2730"/>
      <c r="F260" s="2730"/>
      <c r="G260" s="2730"/>
      <c r="H260" s="2730"/>
      <c r="I260" s="2730"/>
      <c r="J260" s="2730"/>
      <c r="K260" s="2783"/>
      <c r="L260" s="2783"/>
      <c r="M260" s="2793"/>
      <c r="N260" s="2793"/>
      <c r="O260" s="2793"/>
      <c r="P260" s="2793"/>
      <c r="Q260" s="2793"/>
      <c r="R260" s="2793"/>
      <c r="S260" s="2793"/>
      <c r="T260" s="2793"/>
      <c r="U260" s="2793"/>
      <c r="V260" s="2793"/>
      <c r="W260" s="2793"/>
      <c r="X260" s="2793"/>
      <c r="Y260" s="2793"/>
      <c r="Z260" s="2793"/>
      <c r="AA260" s="2793"/>
      <c r="AB260" s="2793"/>
      <c r="AC260" s="2793"/>
      <c r="AD260" s="2793"/>
      <c r="AE260" s="2793"/>
      <c r="AF260" s="2793"/>
      <c r="AG260" s="2793"/>
      <c r="AH260" s="2794"/>
      <c r="AI260" s="2793"/>
      <c r="AJ260" s="2793"/>
      <c r="AK260" s="2793"/>
      <c r="AL260" s="2793"/>
      <c r="AM260" s="2793"/>
      <c r="AN260" s="2793"/>
      <c r="AO260" s="2793"/>
      <c r="AP260" s="2793"/>
      <c r="AQ260" s="2793"/>
      <c r="AR260" s="2783"/>
      <c r="AS260" s="2783"/>
      <c r="AT260" s="2783"/>
      <c r="AU260" s="2783"/>
      <c r="AV260" s="2730"/>
      <c r="AY260" s="2730"/>
    </row>
    <row r="261" spans="1:51">
      <c r="A261" s="2730"/>
      <c r="E261" s="2730"/>
      <c r="F261" s="2730"/>
      <c r="G261" s="2730"/>
      <c r="H261" s="2730"/>
      <c r="I261" s="2730"/>
      <c r="J261" s="2730"/>
      <c r="K261" s="2783"/>
      <c r="L261" s="2783"/>
      <c r="M261" s="2793"/>
      <c r="N261" s="2793"/>
      <c r="O261" s="2793"/>
      <c r="P261" s="2793"/>
      <c r="Q261" s="2793"/>
      <c r="R261" s="2793"/>
      <c r="S261" s="2793"/>
      <c r="T261" s="2793"/>
      <c r="U261" s="2793"/>
      <c r="V261" s="2793"/>
      <c r="W261" s="2793"/>
      <c r="X261" s="2793"/>
      <c r="Y261" s="2793"/>
      <c r="Z261" s="2793"/>
      <c r="AA261" s="2793"/>
      <c r="AB261" s="2793"/>
      <c r="AC261" s="2793"/>
      <c r="AD261" s="2793"/>
      <c r="AE261" s="2793"/>
      <c r="AF261" s="2793"/>
      <c r="AG261" s="2793"/>
      <c r="AH261" s="2794"/>
      <c r="AI261" s="2793"/>
      <c r="AJ261" s="2793"/>
      <c r="AK261" s="2793"/>
      <c r="AL261" s="2793"/>
      <c r="AM261" s="2793"/>
      <c r="AN261" s="2793"/>
      <c r="AO261" s="2793"/>
      <c r="AP261" s="2793"/>
      <c r="AQ261" s="2793"/>
      <c r="AR261" s="2783"/>
      <c r="AS261" s="2783"/>
      <c r="AT261" s="2783"/>
      <c r="AU261" s="2783"/>
      <c r="AV261" s="2730"/>
      <c r="AY261" s="2730"/>
    </row>
    <row r="262" spans="1:51">
      <c r="A262" s="2730"/>
      <c r="E262" s="2730"/>
      <c r="F262" s="2730"/>
      <c r="G262" s="2730"/>
      <c r="H262" s="2730"/>
      <c r="I262" s="2730"/>
      <c r="J262" s="2730"/>
      <c r="K262" s="2783"/>
      <c r="L262" s="2783"/>
      <c r="M262" s="2793"/>
      <c r="N262" s="2793"/>
      <c r="O262" s="2793"/>
      <c r="P262" s="2793"/>
      <c r="Q262" s="2793"/>
      <c r="R262" s="2793"/>
      <c r="S262" s="2793"/>
      <c r="T262" s="2793"/>
      <c r="U262" s="2793"/>
      <c r="V262" s="2793"/>
      <c r="W262" s="2793"/>
      <c r="X262" s="2793"/>
      <c r="Y262" s="2793"/>
      <c r="Z262" s="2793"/>
      <c r="AA262" s="2793"/>
      <c r="AB262" s="2793"/>
      <c r="AC262" s="2793"/>
      <c r="AD262" s="2793"/>
      <c r="AE262" s="2793"/>
      <c r="AF262" s="2793"/>
      <c r="AG262" s="2793"/>
      <c r="AH262" s="2794"/>
      <c r="AI262" s="2793"/>
      <c r="AJ262" s="2793"/>
      <c r="AK262" s="2793"/>
      <c r="AL262" s="2793"/>
      <c r="AM262" s="2793"/>
      <c r="AN262" s="2793"/>
      <c r="AO262" s="2793"/>
      <c r="AP262" s="2793"/>
      <c r="AQ262" s="2793"/>
      <c r="AR262" s="2783"/>
      <c r="AS262" s="2783"/>
      <c r="AT262" s="2783"/>
      <c r="AU262" s="2783"/>
      <c r="AV262" s="2730"/>
      <c r="AY262" s="2730"/>
    </row>
    <row r="263" spans="1:51">
      <c r="A263" s="2730"/>
      <c r="E263" s="2730"/>
      <c r="F263" s="2730"/>
      <c r="G263" s="2730"/>
      <c r="H263" s="2730"/>
      <c r="I263" s="2730"/>
      <c r="J263" s="2730"/>
      <c r="K263" s="2783"/>
      <c r="L263" s="2783"/>
      <c r="M263" s="2793"/>
      <c r="N263" s="2793"/>
      <c r="O263" s="2793"/>
      <c r="P263" s="2793"/>
      <c r="Q263" s="2793"/>
      <c r="R263" s="2793"/>
      <c r="S263" s="2793"/>
      <c r="T263" s="2793"/>
      <c r="U263" s="2793"/>
      <c r="V263" s="2793"/>
      <c r="W263" s="2793"/>
      <c r="X263" s="2793"/>
      <c r="Y263" s="2793"/>
      <c r="Z263" s="2793"/>
      <c r="AA263" s="2793"/>
      <c r="AB263" s="2793"/>
      <c r="AC263" s="2793"/>
      <c r="AD263" s="2793"/>
      <c r="AE263" s="2793"/>
      <c r="AF263" s="2793"/>
      <c r="AG263" s="2793"/>
      <c r="AH263" s="2794"/>
      <c r="AI263" s="2793"/>
      <c r="AJ263" s="2793"/>
      <c r="AK263" s="2793"/>
      <c r="AL263" s="2793"/>
      <c r="AM263" s="2793"/>
      <c r="AN263" s="2793"/>
      <c r="AO263" s="2793"/>
      <c r="AP263" s="2793"/>
      <c r="AQ263" s="2793"/>
      <c r="AR263" s="2783"/>
      <c r="AS263" s="2783"/>
      <c r="AT263" s="2783"/>
      <c r="AU263" s="2783"/>
      <c r="AV263" s="2730"/>
      <c r="AY263" s="2730"/>
    </row>
    <row r="264" spans="1:51">
      <c r="A264" s="2730"/>
      <c r="E264" s="2730"/>
      <c r="F264" s="2730"/>
      <c r="G264" s="2730"/>
      <c r="H264" s="2730"/>
      <c r="I264" s="2730"/>
      <c r="J264" s="2730"/>
      <c r="K264" s="2783"/>
      <c r="L264" s="2783"/>
      <c r="M264" s="2793"/>
      <c r="N264" s="2793"/>
      <c r="O264" s="2793"/>
      <c r="P264" s="2793"/>
      <c r="Q264" s="2793"/>
      <c r="R264" s="2793"/>
      <c r="S264" s="2793"/>
      <c r="T264" s="2793"/>
      <c r="U264" s="2793"/>
      <c r="V264" s="2793"/>
      <c r="W264" s="2793"/>
      <c r="X264" s="2793"/>
      <c r="Y264" s="2793"/>
      <c r="Z264" s="2793"/>
      <c r="AA264" s="2793"/>
      <c r="AB264" s="2793"/>
      <c r="AC264" s="2793"/>
      <c r="AD264" s="2793"/>
      <c r="AE264" s="2793"/>
      <c r="AF264" s="2793"/>
      <c r="AG264" s="2793"/>
      <c r="AH264" s="2794"/>
      <c r="AI264" s="2793"/>
      <c r="AJ264" s="2793"/>
      <c r="AK264" s="2793"/>
      <c r="AL264" s="2793"/>
      <c r="AM264" s="2793"/>
      <c r="AN264" s="2793"/>
      <c r="AO264" s="2793"/>
      <c r="AP264" s="2793"/>
      <c r="AQ264" s="2793"/>
      <c r="AR264" s="2783"/>
      <c r="AS264" s="2783"/>
      <c r="AT264" s="2783"/>
      <c r="AU264" s="2783"/>
      <c r="AV264" s="2730"/>
      <c r="AY264" s="2730"/>
    </row>
    <row r="265" spans="1:51">
      <c r="A265" s="2730"/>
      <c r="E265" s="2730"/>
      <c r="F265" s="2730"/>
      <c r="G265" s="2730"/>
      <c r="H265" s="2730"/>
      <c r="I265" s="2730"/>
      <c r="J265" s="2730"/>
      <c r="K265" s="2783"/>
      <c r="L265" s="2783"/>
      <c r="M265" s="2793"/>
      <c r="N265" s="2793"/>
      <c r="O265" s="2793"/>
      <c r="P265" s="2793"/>
      <c r="Q265" s="2793"/>
      <c r="R265" s="2793"/>
      <c r="S265" s="2793"/>
      <c r="T265" s="2793"/>
      <c r="U265" s="2793"/>
      <c r="V265" s="2793"/>
      <c r="W265" s="2793"/>
      <c r="X265" s="2793"/>
      <c r="Y265" s="2793"/>
      <c r="Z265" s="2793"/>
      <c r="AA265" s="2793"/>
      <c r="AB265" s="2793"/>
      <c r="AC265" s="2793"/>
      <c r="AD265" s="2793"/>
      <c r="AE265" s="2793"/>
      <c r="AF265" s="2793"/>
      <c r="AG265" s="2793"/>
      <c r="AH265" s="2794"/>
      <c r="AI265" s="2793"/>
      <c r="AJ265" s="2793"/>
      <c r="AK265" s="2793"/>
      <c r="AL265" s="2793"/>
      <c r="AM265" s="2793"/>
      <c r="AN265" s="2793"/>
      <c r="AO265" s="2793"/>
      <c r="AP265" s="2793"/>
      <c r="AQ265" s="2793"/>
      <c r="AR265" s="2783"/>
      <c r="AS265" s="2783"/>
      <c r="AT265" s="2783"/>
      <c r="AU265" s="2783"/>
      <c r="AV265" s="2730"/>
      <c r="AY265" s="2730"/>
    </row>
    <row r="266" spans="1:51">
      <c r="A266" s="2730"/>
      <c r="E266" s="2730"/>
      <c r="F266" s="2730"/>
      <c r="G266" s="2730"/>
      <c r="H266" s="2730"/>
      <c r="I266" s="2730"/>
      <c r="J266" s="2730"/>
      <c r="K266" s="2783"/>
      <c r="L266" s="2783"/>
      <c r="M266" s="2793"/>
      <c r="N266" s="2793"/>
      <c r="O266" s="2793"/>
      <c r="P266" s="2793"/>
      <c r="Q266" s="2793"/>
      <c r="R266" s="2793"/>
      <c r="S266" s="2793"/>
      <c r="T266" s="2793"/>
      <c r="U266" s="2793"/>
      <c r="V266" s="2793"/>
      <c r="W266" s="2793"/>
      <c r="X266" s="2793"/>
      <c r="Y266" s="2793"/>
      <c r="Z266" s="2793"/>
      <c r="AA266" s="2793"/>
      <c r="AB266" s="2793"/>
      <c r="AC266" s="2793"/>
      <c r="AD266" s="2793"/>
      <c r="AE266" s="2793"/>
      <c r="AF266" s="2793"/>
      <c r="AG266" s="2793"/>
      <c r="AH266" s="2794"/>
      <c r="AI266" s="2793"/>
      <c r="AJ266" s="2793"/>
      <c r="AK266" s="2793"/>
      <c r="AL266" s="2793"/>
      <c r="AM266" s="2793"/>
      <c r="AN266" s="2793"/>
      <c r="AO266" s="2793"/>
      <c r="AP266" s="2793"/>
      <c r="AQ266" s="2793"/>
      <c r="AR266" s="2783"/>
      <c r="AS266" s="2783"/>
      <c r="AT266" s="2783"/>
      <c r="AU266" s="2783"/>
      <c r="AV266" s="2730"/>
      <c r="AY266" s="2730"/>
    </row>
    <row r="267" spans="1:51">
      <c r="A267" s="2730"/>
      <c r="E267" s="2730"/>
      <c r="F267" s="2730"/>
      <c r="G267" s="2730"/>
      <c r="H267" s="2730"/>
      <c r="I267" s="2730"/>
      <c r="J267" s="2730"/>
      <c r="K267" s="2783"/>
      <c r="L267" s="2783"/>
      <c r="M267" s="2793"/>
      <c r="N267" s="2793"/>
      <c r="O267" s="2793"/>
      <c r="P267" s="2793"/>
      <c r="Q267" s="2793"/>
      <c r="R267" s="2793"/>
      <c r="S267" s="2793"/>
      <c r="T267" s="2793"/>
      <c r="U267" s="2793"/>
      <c r="V267" s="2793"/>
      <c r="W267" s="2793"/>
      <c r="X267" s="2793"/>
      <c r="Y267" s="2793"/>
      <c r="Z267" s="2793"/>
      <c r="AA267" s="2793"/>
      <c r="AB267" s="2793"/>
      <c r="AC267" s="2793"/>
      <c r="AD267" s="2793"/>
      <c r="AE267" s="2793"/>
      <c r="AF267" s="2793"/>
      <c r="AG267" s="2793"/>
      <c r="AH267" s="2794"/>
      <c r="AI267" s="2793"/>
      <c r="AJ267" s="2793"/>
      <c r="AK267" s="2793"/>
      <c r="AL267" s="2793"/>
      <c r="AM267" s="2793"/>
      <c r="AN267" s="2793"/>
      <c r="AO267" s="2793"/>
      <c r="AP267" s="2793"/>
      <c r="AQ267" s="2793"/>
      <c r="AR267" s="2783"/>
      <c r="AS267" s="2783"/>
      <c r="AT267" s="2783"/>
      <c r="AU267" s="2783"/>
      <c r="AV267" s="2730"/>
      <c r="AY267" s="2730"/>
    </row>
    <row r="268" spans="1:51">
      <c r="A268" s="2730"/>
      <c r="E268" s="2730"/>
      <c r="F268" s="2730"/>
      <c r="G268" s="2730"/>
      <c r="H268" s="2730"/>
      <c r="I268" s="2730"/>
      <c r="J268" s="2730"/>
      <c r="K268" s="2783"/>
      <c r="L268" s="2783"/>
      <c r="M268" s="2793"/>
      <c r="N268" s="2793"/>
      <c r="O268" s="2793"/>
      <c r="P268" s="2793"/>
      <c r="Q268" s="2793"/>
      <c r="R268" s="2793"/>
      <c r="S268" s="2793"/>
      <c r="T268" s="2793"/>
      <c r="U268" s="2793"/>
      <c r="V268" s="2793"/>
      <c r="W268" s="2793"/>
      <c r="X268" s="2793"/>
      <c r="Y268" s="2793"/>
      <c r="Z268" s="2793"/>
      <c r="AA268" s="2793"/>
      <c r="AB268" s="2793"/>
      <c r="AC268" s="2793"/>
      <c r="AD268" s="2793"/>
      <c r="AE268" s="2793"/>
      <c r="AF268" s="2793"/>
      <c r="AG268" s="2793"/>
      <c r="AH268" s="2794"/>
      <c r="AI268" s="2793"/>
      <c r="AJ268" s="2793"/>
      <c r="AK268" s="2793"/>
      <c r="AL268" s="2793"/>
      <c r="AM268" s="2793"/>
      <c r="AN268" s="2793"/>
      <c r="AO268" s="2793"/>
      <c r="AP268" s="2793"/>
      <c r="AQ268" s="2793"/>
      <c r="AR268" s="2783"/>
      <c r="AS268" s="2783"/>
      <c r="AT268" s="2783"/>
      <c r="AU268" s="2783"/>
      <c r="AV268" s="2730"/>
      <c r="AY268" s="2730"/>
    </row>
    <row r="269" spans="1:51">
      <c r="A269" s="2730"/>
      <c r="E269" s="2730"/>
      <c r="F269" s="2730"/>
      <c r="G269" s="2730"/>
      <c r="H269" s="2730"/>
      <c r="I269" s="2730"/>
      <c r="J269" s="2730"/>
      <c r="K269" s="2783"/>
      <c r="L269" s="2783"/>
      <c r="M269" s="2793"/>
      <c r="N269" s="2793"/>
      <c r="O269" s="2793"/>
      <c r="P269" s="2793"/>
      <c r="Q269" s="2793"/>
      <c r="R269" s="2793"/>
      <c r="S269" s="2793"/>
      <c r="T269" s="2793"/>
      <c r="U269" s="2793"/>
      <c r="V269" s="2793"/>
      <c r="W269" s="2793"/>
      <c r="X269" s="2793"/>
      <c r="Y269" s="2793"/>
      <c r="Z269" s="2793"/>
      <c r="AA269" s="2793"/>
      <c r="AB269" s="2793"/>
      <c r="AC269" s="2793"/>
      <c r="AD269" s="2793"/>
      <c r="AE269" s="2793"/>
      <c r="AF269" s="2793"/>
      <c r="AG269" s="2793"/>
      <c r="AH269" s="2794"/>
      <c r="AI269" s="2793"/>
      <c r="AJ269" s="2793"/>
      <c r="AK269" s="2793"/>
      <c r="AL269" s="2793"/>
      <c r="AM269" s="2793"/>
      <c r="AN269" s="2793"/>
      <c r="AO269" s="2793"/>
      <c r="AP269" s="2793"/>
      <c r="AQ269" s="2793"/>
      <c r="AR269" s="2783"/>
      <c r="AS269" s="2783"/>
      <c r="AT269" s="2783"/>
      <c r="AU269" s="2783"/>
      <c r="AV269" s="2730"/>
      <c r="AY269" s="2730"/>
    </row>
    <row r="270" spans="1:51">
      <c r="A270" s="2730"/>
      <c r="E270" s="2730"/>
      <c r="F270" s="2730"/>
      <c r="G270" s="2730"/>
      <c r="H270" s="2730"/>
      <c r="I270" s="2730"/>
      <c r="J270" s="2730"/>
      <c r="K270" s="2783"/>
      <c r="L270" s="2783"/>
      <c r="M270" s="2793"/>
      <c r="N270" s="2793"/>
      <c r="O270" s="2793"/>
      <c r="P270" s="2793"/>
      <c r="Q270" s="2793"/>
      <c r="R270" s="2793"/>
      <c r="S270" s="2793"/>
      <c r="T270" s="2793"/>
      <c r="U270" s="2793"/>
      <c r="V270" s="2793"/>
      <c r="W270" s="2793"/>
      <c r="X270" s="2793"/>
      <c r="Y270" s="2793"/>
      <c r="Z270" s="2793"/>
      <c r="AA270" s="2793"/>
      <c r="AB270" s="2793"/>
      <c r="AC270" s="2793"/>
      <c r="AD270" s="2793"/>
      <c r="AE270" s="2793"/>
      <c r="AF270" s="2793"/>
      <c r="AG270" s="2793"/>
      <c r="AH270" s="2794"/>
      <c r="AI270" s="2793"/>
      <c r="AJ270" s="2793"/>
      <c r="AK270" s="2793"/>
      <c r="AL270" s="2793"/>
      <c r="AM270" s="2793"/>
      <c r="AN270" s="2793"/>
      <c r="AO270" s="2793"/>
      <c r="AP270" s="2793"/>
      <c r="AQ270" s="2793"/>
      <c r="AR270" s="2783"/>
      <c r="AS270" s="2783"/>
      <c r="AT270" s="2783"/>
      <c r="AU270" s="2783"/>
      <c r="AV270" s="2730"/>
      <c r="AY270" s="2730"/>
    </row>
    <row r="271" spans="1:51">
      <c r="A271" s="2730"/>
      <c r="E271" s="2730"/>
      <c r="F271" s="2730"/>
      <c r="G271" s="2730"/>
      <c r="H271" s="2730"/>
      <c r="I271" s="2730"/>
      <c r="J271" s="2730"/>
      <c r="K271" s="2783"/>
      <c r="L271" s="2783"/>
      <c r="M271" s="2793"/>
      <c r="N271" s="2793"/>
      <c r="O271" s="2793"/>
      <c r="P271" s="2793"/>
      <c r="Q271" s="2793"/>
      <c r="R271" s="2793"/>
      <c r="S271" s="2793"/>
      <c r="T271" s="2793"/>
      <c r="U271" s="2793"/>
      <c r="V271" s="2793"/>
      <c r="W271" s="2793"/>
      <c r="X271" s="2793"/>
      <c r="Y271" s="2793"/>
      <c r="Z271" s="2793"/>
      <c r="AA271" s="2793"/>
      <c r="AB271" s="2793"/>
      <c r="AC271" s="2793"/>
      <c r="AD271" s="2793"/>
      <c r="AE271" s="2793"/>
      <c r="AF271" s="2793"/>
      <c r="AG271" s="2793"/>
      <c r="AH271" s="2794"/>
      <c r="AI271" s="2793"/>
      <c r="AJ271" s="2793"/>
      <c r="AK271" s="2793"/>
      <c r="AL271" s="2793"/>
      <c r="AM271" s="2793"/>
      <c r="AN271" s="2793"/>
      <c r="AO271" s="2793"/>
      <c r="AP271" s="2793"/>
      <c r="AQ271" s="2793"/>
      <c r="AR271" s="2783"/>
      <c r="AS271" s="2783"/>
      <c r="AT271" s="2783"/>
      <c r="AU271" s="2783"/>
      <c r="AV271" s="2730"/>
      <c r="AY271" s="2730"/>
    </row>
    <row r="272" spans="1:51">
      <c r="A272" s="2730"/>
      <c r="E272" s="2730"/>
      <c r="F272" s="2730"/>
      <c r="G272" s="2730"/>
      <c r="H272" s="2730"/>
      <c r="I272" s="2730"/>
      <c r="J272" s="2730"/>
      <c r="K272" s="2783"/>
      <c r="L272" s="2783"/>
      <c r="M272" s="2793"/>
      <c r="N272" s="2793"/>
      <c r="O272" s="2793"/>
      <c r="P272" s="2793"/>
      <c r="Q272" s="2793"/>
      <c r="R272" s="2793"/>
      <c r="S272" s="2793"/>
      <c r="T272" s="2793"/>
      <c r="U272" s="2793"/>
      <c r="V272" s="2793"/>
      <c r="W272" s="2793"/>
      <c r="X272" s="2793"/>
      <c r="Y272" s="2793"/>
      <c r="Z272" s="2793"/>
      <c r="AA272" s="2793"/>
      <c r="AB272" s="2793"/>
      <c r="AC272" s="2793"/>
      <c r="AD272" s="2793"/>
      <c r="AE272" s="2793"/>
      <c r="AF272" s="2793"/>
      <c r="AG272" s="2793"/>
      <c r="AH272" s="2794"/>
      <c r="AI272" s="2793"/>
      <c r="AJ272" s="2793"/>
      <c r="AK272" s="2793"/>
      <c r="AL272" s="2793"/>
      <c r="AM272" s="2793"/>
      <c r="AN272" s="2793"/>
      <c r="AO272" s="2793"/>
      <c r="AP272" s="2793"/>
      <c r="AQ272" s="2793"/>
      <c r="AR272" s="2783"/>
      <c r="AS272" s="2783"/>
      <c r="AT272" s="2783"/>
      <c r="AU272" s="2783"/>
      <c r="AV272" s="2730"/>
      <c r="AY272" s="2730"/>
    </row>
    <row r="273" spans="1:51">
      <c r="A273" s="2730"/>
      <c r="E273" s="2730"/>
      <c r="F273" s="2730"/>
      <c r="G273" s="2730"/>
      <c r="H273" s="2730"/>
      <c r="I273" s="2730"/>
      <c r="J273" s="2730"/>
      <c r="K273" s="2783"/>
      <c r="L273" s="2783"/>
      <c r="M273" s="2793"/>
      <c r="N273" s="2793"/>
      <c r="O273" s="2793"/>
      <c r="P273" s="2793"/>
      <c r="Q273" s="2793"/>
      <c r="R273" s="2793"/>
      <c r="S273" s="2793"/>
      <c r="T273" s="2793"/>
      <c r="U273" s="2793"/>
      <c r="V273" s="2793"/>
      <c r="W273" s="2793"/>
      <c r="X273" s="2793"/>
      <c r="Y273" s="2793"/>
      <c r="Z273" s="2793"/>
      <c r="AA273" s="2793"/>
      <c r="AB273" s="2793"/>
      <c r="AC273" s="2793"/>
      <c r="AD273" s="2793"/>
      <c r="AE273" s="2793"/>
      <c r="AF273" s="2793"/>
      <c r="AG273" s="2793"/>
      <c r="AH273" s="2794"/>
      <c r="AI273" s="2793"/>
      <c r="AJ273" s="2793"/>
      <c r="AK273" s="2793"/>
      <c r="AL273" s="2793"/>
      <c r="AM273" s="2793"/>
      <c r="AN273" s="2793"/>
      <c r="AO273" s="2793"/>
      <c r="AP273" s="2793"/>
      <c r="AQ273" s="2793"/>
      <c r="AR273" s="2783"/>
      <c r="AS273" s="2783"/>
      <c r="AT273" s="2783"/>
      <c r="AU273" s="2783"/>
      <c r="AV273" s="2730"/>
      <c r="AY273" s="2730"/>
    </row>
    <row r="274" spans="1:51">
      <c r="A274" s="2730"/>
      <c r="E274" s="2730"/>
      <c r="F274" s="2730"/>
      <c r="G274" s="2730"/>
      <c r="H274" s="2730"/>
      <c r="I274" s="2730"/>
      <c r="J274" s="2730"/>
      <c r="K274" s="2783"/>
      <c r="L274" s="2783"/>
      <c r="M274" s="2793"/>
      <c r="N274" s="2793"/>
      <c r="O274" s="2793"/>
      <c r="P274" s="2793"/>
      <c r="Q274" s="2793"/>
      <c r="R274" s="2793"/>
      <c r="S274" s="2793"/>
      <c r="T274" s="2793"/>
      <c r="U274" s="2793"/>
      <c r="V274" s="2793"/>
      <c r="W274" s="2793"/>
      <c r="X274" s="2793"/>
      <c r="Y274" s="2793"/>
      <c r="Z274" s="2793"/>
      <c r="AA274" s="2793"/>
      <c r="AB274" s="2793"/>
      <c r="AC274" s="2793"/>
      <c r="AD274" s="2793"/>
      <c r="AE274" s="2793"/>
      <c r="AF274" s="2793"/>
      <c r="AG274" s="2793"/>
      <c r="AH274" s="2794"/>
      <c r="AI274" s="2793"/>
      <c r="AJ274" s="2793"/>
      <c r="AK274" s="2793"/>
      <c r="AL274" s="2793"/>
      <c r="AM274" s="2793"/>
      <c r="AN274" s="2793"/>
      <c r="AO274" s="2793"/>
      <c r="AP274" s="2793"/>
      <c r="AQ274" s="2793"/>
      <c r="AR274" s="2783"/>
      <c r="AS274" s="2783"/>
      <c r="AT274" s="2783"/>
      <c r="AU274" s="2783"/>
      <c r="AV274" s="2730"/>
      <c r="AY274" s="2730"/>
    </row>
    <row r="275" spans="1:51">
      <c r="A275" s="2730"/>
      <c r="E275" s="2730"/>
      <c r="F275" s="2730"/>
      <c r="G275" s="2730"/>
      <c r="H275" s="2730"/>
      <c r="I275" s="2730"/>
      <c r="J275" s="2730"/>
      <c r="K275" s="2783"/>
      <c r="L275" s="2783"/>
      <c r="M275" s="2793"/>
      <c r="N275" s="2793"/>
      <c r="O275" s="2793"/>
      <c r="P275" s="2793"/>
      <c r="Q275" s="2793"/>
      <c r="R275" s="2793"/>
      <c r="S275" s="2793"/>
      <c r="T275" s="2793"/>
      <c r="U275" s="2793"/>
      <c r="V275" s="2793"/>
      <c r="W275" s="2793"/>
      <c r="X275" s="2793"/>
      <c r="Y275" s="2793"/>
      <c r="Z275" s="2793"/>
      <c r="AA275" s="2793"/>
      <c r="AB275" s="2793"/>
      <c r="AC275" s="2793"/>
      <c r="AD275" s="2793"/>
      <c r="AE275" s="2793"/>
      <c r="AF275" s="2793"/>
      <c r="AG275" s="2793"/>
      <c r="AH275" s="2794"/>
      <c r="AI275" s="2793"/>
      <c r="AJ275" s="2793"/>
      <c r="AK275" s="2793"/>
      <c r="AL275" s="2793"/>
      <c r="AM275" s="2793"/>
      <c r="AN275" s="2793"/>
      <c r="AO275" s="2793"/>
      <c r="AP275" s="2793"/>
      <c r="AQ275" s="2793"/>
      <c r="AR275" s="2783"/>
      <c r="AS275" s="2783"/>
      <c r="AT275" s="2783"/>
      <c r="AU275" s="2783"/>
      <c r="AV275" s="2730"/>
      <c r="AY275" s="2730"/>
    </row>
    <row r="276" spans="1:51">
      <c r="A276" s="2730"/>
      <c r="E276" s="2730"/>
      <c r="F276" s="2730"/>
      <c r="G276" s="2730"/>
      <c r="H276" s="2730"/>
      <c r="I276" s="2730"/>
      <c r="J276" s="2730"/>
      <c r="K276" s="2783"/>
      <c r="L276" s="2783"/>
      <c r="M276" s="2793"/>
      <c r="N276" s="2793"/>
      <c r="O276" s="2793"/>
      <c r="P276" s="2793"/>
      <c r="Q276" s="2793"/>
      <c r="R276" s="2793"/>
      <c r="S276" s="2793"/>
      <c r="T276" s="2793"/>
      <c r="U276" s="2793"/>
      <c r="V276" s="2793"/>
      <c r="W276" s="2793"/>
      <c r="X276" s="2793"/>
      <c r="Y276" s="2793"/>
      <c r="Z276" s="2793"/>
      <c r="AA276" s="2793"/>
      <c r="AB276" s="2793"/>
      <c r="AC276" s="2793"/>
      <c r="AD276" s="2793"/>
      <c r="AE276" s="2793"/>
      <c r="AF276" s="2793"/>
      <c r="AG276" s="2793"/>
      <c r="AH276" s="2794"/>
      <c r="AI276" s="2793"/>
      <c r="AJ276" s="2793"/>
      <c r="AK276" s="2793"/>
      <c r="AL276" s="2793"/>
      <c r="AM276" s="2793"/>
      <c r="AN276" s="2793"/>
      <c r="AO276" s="2793"/>
      <c r="AP276" s="2793"/>
      <c r="AQ276" s="2793"/>
      <c r="AR276" s="2783"/>
      <c r="AS276" s="2783"/>
      <c r="AT276" s="2783"/>
      <c r="AU276" s="2783"/>
      <c r="AV276" s="2730"/>
      <c r="AY276" s="2730"/>
    </row>
    <row r="277" spans="1:51">
      <c r="A277" s="2730"/>
      <c r="E277" s="2730"/>
      <c r="F277" s="2730"/>
      <c r="G277" s="2730"/>
      <c r="H277" s="2730"/>
      <c r="I277" s="2730"/>
      <c r="J277" s="2730"/>
      <c r="K277" s="2783"/>
      <c r="L277" s="2783"/>
      <c r="M277" s="2793"/>
      <c r="N277" s="2793"/>
      <c r="O277" s="2793"/>
      <c r="P277" s="2793"/>
      <c r="Q277" s="2793"/>
      <c r="R277" s="2793"/>
      <c r="S277" s="2793"/>
      <c r="T277" s="2793"/>
      <c r="U277" s="2793"/>
      <c r="V277" s="2793"/>
      <c r="W277" s="2793"/>
      <c r="X277" s="2793"/>
      <c r="Y277" s="2793"/>
      <c r="Z277" s="2793"/>
      <c r="AA277" s="2793"/>
      <c r="AB277" s="2793"/>
      <c r="AC277" s="2793"/>
      <c r="AD277" s="2793"/>
      <c r="AE277" s="2793"/>
      <c r="AF277" s="2793"/>
      <c r="AG277" s="2793"/>
      <c r="AH277" s="2794"/>
      <c r="AI277" s="2793"/>
      <c r="AJ277" s="2793"/>
      <c r="AK277" s="2793"/>
      <c r="AL277" s="2793"/>
      <c r="AM277" s="2793"/>
      <c r="AN277" s="2793"/>
      <c r="AO277" s="2793"/>
      <c r="AP277" s="2793"/>
      <c r="AQ277" s="2793"/>
      <c r="AR277" s="2783"/>
      <c r="AS277" s="2783"/>
      <c r="AT277" s="2783"/>
      <c r="AU277" s="2783"/>
      <c r="AV277" s="2730"/>
      <c r="AY277" s="2730"/>
    </row>
    <row r="278" spans="1:51">
      <c r="A278" s="2730"/>
      <c r="E278" s="2730"/>
      <c r="F278" s="2730"/>
      <c r="G278" s="2730"/>
      <c r="H278" s="2730"/>
      <c r="I278" s="2730"/>
      <c r="J278" s="2730"/>
      <c r="K278" s="2783"/>
      <c r="L278" s="2783"/>
      <c r="M278" s="2793"/>
      <c r="N278" s="2793"/>
      <c r="O278" s="2793"/>
      <c r="P278" s="2793"/>
      <c r="Q278" s="2793"/>
      <c r="R278" s="2793"/>
      <c r="S278" s="2793"/>
      <c r="T278" s="2793"/>
      <c r="U278" s="2793"/>
      <c r="V278" s="2793"/>
      <c r="W278" s="2793"/>
      <c r="X278" s="2793"/>
      <c r="Y278" s="2793"/>
      <c r="Z278" s="2793"/>
      <c r="AA278" s="2793"/>
      <c r="AB278" s="2793"/>
      <c r="AC278" s="2793"/>
      <c r="AD278" s="2793"/>
      <c r="AE278" s="2793"/>
      <c r="AF278" s="2793"/>
      <c r="AG278" s="2793"/>
      <c r="AH278" s="2794"/>
      <c r="AI278" s="2793"/>
      <c r="AJ278" s="2793"/>
      <c r="AK278" s="2793"/>
      <c r="AL278" s="2793"/>
      <c r="AM278" s="2793"/>
      <c r="AN278" s="2793"/>
      <c r="AO278" s="2793"/>
      <c r="AP278" s="2793"/>
      <c r="AQ278" s="2793"/>
      <c r="AR278" s="2783"/>
      <c r="AS278" s="2783"/>
      <c r="AT278" s="2783"/>
      <c r="AU278" s="2783"/>
      <c r="AV278" s="2730"/>
      <c r="AY278" s="2730"/>
    </row>
    <row r="279" spans="1:51">
      <c r="A279" s="2730"/>
      <c r="E279" s="2730"/>
      <c r="F279" s="2730"/>
      <c r="G279" s="2730"/>
      <c r="H279" s="2730"/>
      <c r="I279" s="2730"/>
      <c r="J279" s="2730"/>
      <c r="K279" s="2783"/>
      <c r="L279" s="2783"/>
      <c r="M279" s="2793"/>
      <c r="N279" s="2793"/>
      <c r="O279" s="2793"/>
      <c r="P279" s="2793"/>
      <c r="Q279" s="2793"/>
      <c r="R279" s="2793"/>
      <c r="S279" s="2793"/>
      <c r="T279" s="2793"/>
      <c r="U279" s="2793"/>
      <c r="V279" s="2793"/>
      <c r="W279" s="2793"/>
      <c r="X279" s="2793"/>
      <c r="Y279" s="2793"/>
      <c r="Z279" s="2793"/>
      <c r="AA279" s="2793"/>
      <c r="AB279" s="2793"/>
      <c r="AC279" s="2793"/>
      <c r="AD279" s="2793"/>
      <c r="AE279" s="2793"/>
      <c r="AF279" s="2793"/>
      <c r="AG279" s="2793"/>
      <c r="AH279" s="2794"/>
      <c r="AI279" s="2793"/>
      <c r="AJ279" s="2793"/>
      <c r="AK279" s="2793"/>
      <c r="AL279" s="2793"/>
      <c r="AM279" s="2793"/>
      <c r="AN279" s="2793"/>
      <c r="AO279" s="2793"/>
      <c r="AP279" s="2793"/>
      <c r="AQ279" s="2793"/>
      <c r="AR279" s="2783"/>
      <c r="AS279" s="2783"/>
      <c r="AT279" s="2783"/>
      <c r="AU279" s="2783"/>
      <c r="AV279" s="2730"/>
      <c r="AY279" s="2730"/>
    </row>
    <row r="280" spans="1:51">
      <c r="A280" s="2730"/>
      <c r="E280" s="2730"/>
      <c r="F280" s="2730"/>
      <c r="G280" s="2730"/>
      <c r="H280" s="2730"/>
      <c r="I280" s="2730"/>
      <c r="J280" s="2730"/>
      <c r="K280" s="2783"/>
      <c r="L280" s="2783"/>
      <c r="M280" s="2793"/>
      <c r="N280" s="2793"/>
      <c r="O280" s="2793"/>
      <c r="P280" s="2793"/>
      <c r="Q280" s="2793"/>
      <c r="R280" s="2793"/>
      <c r="S280" s="2793"/>
      <c r="T280" s="2793"/>
      <c r="U280" s="2793"/>
      <c r="V280" s="2793"/>
      <c r="W280" s="2793"/>
      <c r="X280" s="2793"/>
      <c r="Y280" s="2793"/>
      <c r="Z280" s="2793"/>
      <c r="AA280" s="2793"/>
      <c r="AB280" s="2793"/>
      <c r="AC280" s="2793"/>
      <c r="AD280" s="2793"/>
      <c r="AE280" s="2793"/>
      <c r="AF280" s="2793"/>
      <c r="AG280" s="2793"/>
      <c r="AH280" s="2794"/>
      <c r="AI280" s="2793"/>
      <c r="AJ280" s="2793"/>
      <c r="AK280" s="2793"/>
      <c r="AL280" s="2793"/>
      <c r="AM280" s="2793"/>
      <c r="AN280" s="2793"/>
      <c r="AO280" s="2793"/>
      <c r="AP280" s="2793"/>
      <c r="AQ280" s="2793"/>
      <c r="AR280" s="2783"/>
      <c r="AS280" s="2783"/>
      <c r="AT280" s="2783"/>
      <c r="AU280" s="2783"/>
      <c r="AV280" s="2730"/>
      <c r="AY280" s="2730"/>
    </row>
    <row r="281" spans="1:51">
      <c r="A281" s="2730"/>
      <c r="E281" s="2730"/>
      <c r="F281" s="2730"/>
      <c r="G281" s="2730"/>
      <c r="H281" s="2730"/>
      <c r="I281" s="2730"/>
      <c r="J281" s="2730"/>
      <c r="K281" s="2783"/>
      <c r="L281" s="2783"/>
      <c r="M281" s="2793"/>
      <c r="N281" s="2793"/>
      <c r="O281" s="2793"/>
      <c r="P281" s="2793"/>
      <c r="Q281" s="2793"/>
      <c r="R281" s="2793"/>
      <c r="S281" s="2793"/>
      <c r="T281" s="2793"/>
      <c r="U281" s="2793"/>
      <c r="V281" s="2793"/>
      <c r="W281" s="2793"/>
      <c r="X281" s="2793"/>
      <c r="Y281" s="2793"/>
      <c r="Z281" s="2793"/>
      <c r="AA281" s="2793"/>
      <c r="AB281" s="2793"/>
      <c r="AC281" s="2793"/>
      <c r="AD281" s="2793"/>
      <c r="AE281" s="2793"/>
      <c r="AF281" s="2793"/>
      <c r="AG281" s="2793"/>
      <c r="AH281" s="2794"/>
      <c r="AI281" s="2793"/>
      <c r="AJ281" s="2793"/>
      <c r="AK281" s="2793"/>
      <c r="AL281" s="2793"/>
      <c r="AM281" s="2793"/>
      <c r="AN281" s="2793"/>
      <c r="AO281" s="2793"/>
      <c r="AP281" s="2793"/>
      <c r="AQ281" s="2793"/>
      <c r="AR281" s="2783"/>
      <c r="AS281" s="2783"/>
      <c r="AT281" s="2783"/>
      <c r="AU281" s="2783"/>
      <c r="AV281" s="2730"/>
      <c r="AY281" s="2730"/>
    </row>
    <row r="282" spans="1:51">
      <c r="A282" s="2730"/>
      <c r="E282" s="2730"/>
      <c r="F282" s="2730"/>
      <c r="G282" s="2730"/>
      <c r="H282" s="2730"/>
      <c r="I282" s="2730"/>
      <c r="J282" s="2730"/>
      <c r="K282" s="2783"/>
      <c r="L282" s="2783"/>
      <c r="M282" s="2793"/>
      <c r="N282" s="2793"/>
      <c r="O282" s="2793"/>
      <c r="P282" s="2793"/>
      <c r="Q282" s="2793"/>
      <c r="R282" s="2793"/>
      <c r="S282" s="2793"/>
      <c r="T282" s="2793"/>
      <c r="U282" s="2793"/>
      <c r="V282" s="2793"/>
      <c r="W282" s="2793"/>
      <c r="X282" s="2793"/>
      <c r="Y282" s="2793"/>
      <c r="Z282" s="2793"/>
      <c r="AA282" s="2793"/>
      <c r="AB282" s="2793"/>
      <c r="AC282" s="2793"/>
      <c r="AD282" s="2793"/>
      <c r="AE282" s="2793"/>
      <c r="AF282" s="2793"/>
      <c r="AG282" s="2793"/>
      <c r="AH282" s="2794"/>
      <c r="AI282" s="2793"/>
      <c r="AJ282" s="2793"/>
      <c r="AK282" s="2793"/>
      <c r="AL282" s="2793"/>
      <c r="AM282" s="2793"/>
      <c r="AN282" s="2793"/>
      <c r="AO282" s="2793"/>
      <c r="AP282" s="2793"/>
      <c r="AQ282" s="2793"/>
      <c r="AR282" s="2783"/>
      <c r="AS282" s="2783"/>
      <c r="AT282" s="2783"/>
      <c r="AU282" s="2783"/>
      <c r="AV282" s="2730"/>
      <c r="AY282" s="2730"/>
    </row>
    <row r="283" spans="1:51">
      <c r="A283" s="2730"/>
      <c r="E283" s="2730"/>
      <c r="F283" s="2730"/>
      <c r="G283" s="2730"/>
      <c r="H283" s="2730"/>
      <c r="I283" s="2730"/>
      <c r="J283" s="2730"/>
      <c r="K283" s="2783"/>
      <c r="L283" s="2783"/>
      <c r="M283" s="2793"/>
      <c r="N283" s="2793"/>
      <c r="O283" s="2793"/>
      <c r="P283" s="2793"/>
      <c r="Q283" s="2793"/>
      <c r="R283" s="2793"/>
      <c r="S283" s="2793"/>
      <c r="T283" s="2793"/>
      <c r="U283" s="2793"/>
      <c r="V283" s="2793"/>
      <c r="W283" s="2793"/>
      <c r="X283" s="2793"/>
      <c r="Y283" s="2793"/>
      <c r="Z283" s="2793"/>
      <c r="AA283" s="2793"/>
      <c r="AB283" s="2793"/>
      <c r="AC283" s="2793"/>
      <c r="AD283" s="2793"/>
      <c r="AE283" s="2793"/>
      <c r="AF283" s="2793"/>
      <c r="AG283" s="2793"/>
      <c r="AH283" s="2794"/>
      <c r="AI283" s="2793"/>
      <c r="AJ283" s="2793"/>
      <c r="AK283" s="2793"/>
      <c r="AL283" s="2793"/>
      <c r="AM283" s="2793"/>
      <c r="AN283" s="2793"/>
      <c r="AO283" s="2793"/>
      <c r="AP283" s="2793"/>
      <c r="AQ283" s="2793"/>
      <c r="AR283" s="2783"/>
      <c r="AS283" s="2783"/>
      <c r="AT283" s="2783"/>
      <c r="AU283" s="2783"/>
      <c r="AV283" s="2730"/>
      <c r="AY283" s="2730"/>
    </row>
    <row r="284" spans="1:51">
      <c r="A284" s="2730"/>
      <c r="E284" s="2730"/>
      <c r="F284" s="2730"/>
      <c r="G284" s="2730"/>
      <c r="H284" s="2730"/>
      <c r="I284" s="2730"/>
      <c r="J284" s="2730"/>
      <c r="K284" s="2783"/>
      <c r="L284" s="2783"/>
      <c r="M284" s="2793"/>
      <c r="N284" s="2793"/>
      <c r="O284" s="2793"/>
      <c r="P284" s="2793"/>
      <c r="Q284" s="2793"/>
      <c r="R284" s="2793"/>
      <c r="S284" s="2793"/>
      <c r="T284" s="2793"/>
      <c r="U284" s="2793"/>
      <c r="V284" s="2793"/>
      <c r="W284" s="2793"/>
      <c r="X284" s="2793"/>
      <c r="Y284" s="2793"/>
      <c r="Z284" s="2793"/>
      <c r="AA284" s="2793"/>
      <c r="AB284" s="2793"/>
      <c r="AC284" s="2793"/>
      <c r="AD284" s="2793"/>
      <c r="AE284" s="2793"/>
      <c r="AF284" s="2793"/>
      <c r="AG284" s="2793"/>
      <c r="AH284" s="2794"/>
      <c r="AI284" s="2793"/>
      <c r="AJ284" s="2793"/>
      <c r="AK284" s="2793"/>
      <c r="AL284" s="2793"/>
      <c r="AM284" s="2793"/>
      <c r="AN284" s="2793"/>
      <c r="AO284" s="2793"/>
      <c r="AP284" s="2793"/>
      <c r="AQ284" s="2793"/>
      <c r="AR284" s="2783"/>
      <c r="AS284" s="2783"/>
      <c r="AT284" s="2783"/>
      <c r="AU284" s="2783"/>
      <c r="AV284" s="2730"/>
      <c r="AY284" s="2730"/>
    </row>
    <row r="285" spans="1:51">
      <c r="A285" s="2730"/>
      <c r="E285" s="2730"/>
      <c r="F285" s="2730"/>
      <c r="G285" s="2730"/>
      <c r="H285" s="2730"/>
      <c r="I285" s="2730"/>
      <c r="J285" s="2730"/>
      <c r="K285" s="2783"/>
      <c r="L285" s="2783"/>
      <c r="M285" s="2793"/>
      <c r="N285" s="2793"/>
      <c r="O285" s="2793"/>
      <c r="P285" s="2793"/>
      <c r="Q285" s="2793"/>
      <c r="R285" s="2793"/>
      <c r="S285" s="2793"/>
      <c r="T285" s="2793"/>
      <c r="U285" s="2793"/>
      <c r="V285" s="2793"/>
      <c r="W285" s="2793"/>
      <c r="X285" s="2793"/>
      <c r="Y285" s="2793"/>
      <c r="Z285" s="2793"/>
      <c r="AA285" s="2793"/>
      <c r="AB285" s="2793"/>
      <c r="AC285" s="2793"/>
      <c r="AD285" s="2793"/>
      <c r="AE285" s="2793"/>
      <c r="AF285" s="2793"/>
      <c r="AG285" s="2793"/>
      <c r="AH285" s="2794"/>
      <c r="AI285" s="2793"/>
      <c r="AJ285" s="2793"/>
      <c r="AK285" s="2793"/>
      <c r="AL285" s="2793"/>
      <c r="AM285" s="2793"/>
      <c r="AN285" s="2793"/>
      <c r="AO285" s="2793"/>
      <c r="AP285" s="2793"/>
      <c r="AQ285" s="2793"/>
      <c r="AR285" s="2783"/>
      <c r="AS285" s="2783"/>
      <c r="AT285" s="2783"/>
      <c r="AU285" s="2783"/>
      <c r="AV285" s="2730"/>
      <c r="AY285" s="2730"/>
    </row>
    <row r="286" spans="1:51">
      <c r="A286" s="2730"/>
      <c r="E286" s="2730"/>
      <c r="F286" s="2730"/>
      <c r="G286" s="2730"/>
      <c r="H286" s="2730"/>
      <c r="I286" s="2730"/>
      <c r="J286" s="2730"/>
      <c r="K286" s="2783"/>
      <c r="L286" s="2783"/>
      <c r="M286" s="2793"/>
      <c r="N286" s="2793"/>
      <c r="O286" s="2793"/>
      <c r="P286" s="2793"/>
      <c r="Q286" s="2793"/>
      <c r="R286" s="2793"/>
      <c r="S286" s="2793"/>
      <c r="T286" s="2793"/>
      <c r="U286" s="2793"/>
      <c r="V286" s="2793"/>
      <c r="W286" s="2793"/>
      <c r="X286" s="2793"/>
      <c r="Y286" s="2793"/>
      <c r="Z286" s="2793"/>
      <c r="AA286" s="2793"/>
      <c r="AB286" s="2793"/>
      <c r="AC286" s="2793"/>
      <c r="AD286" s="2793"/>
      <c r="AE286" s="2793"/>
      <c r="AF286" s="2793"/>
      <c r="AG286" s="2793"/>
      <c r="AH286" s="2794"/>
      <c r="AI286" s="2793"/>
      <c r="AJ286" s="2793"/>
      <c r="AK286" s="2793"/>
      <c r="AL286" s="2793"/>
      <c r="AM286" s="2793"/>
      <c r="AN286" s="2793"/>
      <c r="AO286" s="2793"/>
      <c r="AP286" s="2793"/>
      <c r="AQ286" s="2793"/>
      <c r="AR286" s="2783"/>
      <c r="AS286" s="2783"/>
      <c r="AT286" s="2783"/>
      <c r="AU286" s="2783"/>
      <c r="AV286" s="2730"/>
      <c r="AY286" s="2730"/>
    </row>
    <row r="287" spans="1:51">
      <c r="A287" s="2730"/>
      <c r="E287" s="2730"/>
      <c r="F287" s="2730"/>
      <c r="G287" s="2730"/>
      <c r="H287" s="2730"/>
      <c r="I287" s="2730"/>
      <c r="J287" s="2730"/>
      <c r="K287" s="2783"/>
      <c r="L287" s="2783"/>
      <c r="M287" s="2793"/>
      <c r="N287" s="2793"/>
      <c r="O287" s="2793"/>
      <c r="P287" s="2793"/>
      <c r="Q287" s="2793"/>
      <c r="R287" s="2793"/>
      <c r="S287" s="2793"/>
      <c r="T287" s="2793"/>
      <c r="U287" s="2793"/>
      <c r="V287" s="2793"/>
      <c r="W287" s="2793"/>
      <c r="X287" s="2793"/>
      <c r="Y287" s="2793"/>
      <c r="Z287" s="2793"/>
      <c r="AA287" s="2793"/>
      <c r="AB287" s="2793"/>
      <c r="AC287" s="2793"/>
      <c r="AD287" s="2793"/>
      <c r="AE287" s="2793"/>
      <c r="AF287" s="2793"/>
      <c r="AG287" s="2793"/>
      <c r="AH287" s="2794"/>
      <c r="AI287" s="2793"/>
      <c r="AJ287" s="2793"/>
      <c r="AK287" s="2793"/>
      <c r="AL287" s="2793"/>
      <c r="AM287" s="2793"/>
      <c r="AN287" s="2793"/>
      <c r="AO287" s="2793"/>
      <c r="AP287" s="2793"/>
      <c r="AQ287" s="2793"/>
      <c r="AR287" s="2783"/>
      <c r="AS287" s="2783"/>
      <c r="AT287" s="2783"/>
      <c r="AU287" s="2783"/>
      <c r="AV287" s="2730"/>
      <c r="AY287" s="2730"/>
    </row>
    <row r="288" spans="1:51">
      <c r="A288" s="2730"/>
      <c r="E288" s="2730"/>
      <c r="F288" s="2730"/>
      <c r="G288" s="2730"/>
      <c r="H288" s="2730"/>
      <c r="I288" s="2730"/>
      <c r="J288" s="2730"/>
      <c r="K288" s="2783"/>
      <c r="L288" s="2783"/>
      <c r="M288" s="2793"/>
      <c r="N288" s="2793"/>
      <c r="O288" s="2793"/>
      <c r="P288" s="2793"/>
      <c r="Q288" s="2793"/>
      <c r="R288" s="2793"/>
      <c r="S288" s="2793"/>
      <c r="T288" s="2793"/>
      <c r="U288" s="2793"/>
      <c r="V288" s="2793"/>
      <c r="W288" s="2793"/>
      <c r="X288" s="2793"/>
      <c r="Y288" s="2793"/>
      <c r="Z288" s="2793"/>
      <c r="AA288" s="2793"/>
      <c r="AB288" s="2793"/>
      <c r="AC288" s="2793"/>
      <c r="AD288" s="2793"/>
      <c r="AE288" s="2793"/>
      <c r="AF288" s="2793"/>
      <c r="AG288" s="2793"/>
      <c r="AH288" s="2794"/>
      <c r="AI288" s="2793"/>
      <c r="AJ288" s="2793"/>
      <c r="AK288" s="2793"/>
      <c r="AL288" s="2793"/>
      <c r="AM288" s="2793"/>
      <c r="AN288" s="2793"/>
      <c r="AO288" s="2793"/>
      <c r="AP288" s="2793"/>
      <c r="AQ288" s="2793"/>
      <c r="AR288" s="2783"/>
      <c r="AS288" s="2783"/>
      <c r="AT288" s="2783"/>
      <c r="AU288" s="2783"/>
      <c r="AV288" s="2730"/>
      <c r="AY288" s="2730"/>
    </row>
    <row r="289" spans="1:51">
      <c r="A289" s="2730"/>
      <c r="E289" s="2730"/>
      <c r="F289" s="2730"/>
      <c r="G289" s="2730"/>
      <c r="H289" s="2730"/>
      <c r="I289" s="2730"/>
      <c r="J289" s="2730"/>
      <c r="K289" s="2783"/>
      <c r="L289" s="2783"/>
      <c r="M289" s="2793"/>
      <c r="N289" s="2793"/>
      <c r="O289" s="2793"/>
      <c r="P289" s="2793"/>
      <c r="Q289" s="2793"/>
      <c r="R289" s="2793"/>
      <c r="S289" s="2793"/>
      <c r="T289" s="2793"/>
      <c r="U289" s="2793"/>
      <c r="V289" s="2793"/>
      <c r="W289" s="2793"/>
      <c r="X289" s="2793"/>
      <c r="Y289" s="2793"/>
      <c r="Z289" s="2793"/>
      <c r="AA289" s="2793"/>
      <c r="AB289" s="2793"/>
      <c r="AC289" s="2793"/>
      <c r="AD289" s="2793"/>
      <c r="AE289" s="2793"/>
      <c r="AF289" s="2793"/>
      <c r="AG289" s="2793"/>
      <c r="AH289" s="2794"/>
      <c r="AI289" s="2793"/>
      <c r="AJ289" s="2793"/>
      <c r="AK289" s="2793"/>
      <c r="AL289" s="2793"/>
      <c r="AM289" s="2793"/>
      <c r="AN289" s="2793"/>
      <c r="AO289" s="2793"/>
      <c r="AP289" s="2793"/>
      <c r="AQ289" s="2793"/>
      <c r="AR289" s="2783"/>
      <c r="AS289" s="2783"/>
      <c r="AT289" s="2783"/>
      <c r="AU289" s="2783"/>
      <c r="AV289" s="2730"/>
      <c r="AY289" s="2730"/>
    </row>
    <row r="290" spans="1:51">
      <c r="A290" s="2730"/>
      <c r="E290" s="2730"/>
      <c r="F290" s="2730"/>
      <c r="G290" s="2730"/>
      <c r="H290" s="2730"/>
      <c r="I290" s="2730"/>
      <c r="J290" s="2730"/>
      <c r="K290" s="2783"/>
      <c r="L290" s="2783"/>
      <c r="M290" s="2793"/>
      <c r="N290" s="2793"/>
      <c r="O290" s="2793"/>
      <c r="P290" s="2793"/>
      <c r="Q290" s="2793"/>
      <c r="R290" s="2793"/>
      <c r="S290" s="2793"/>
      <c r="T290" s="2793"/>
      <c r="U290" s="2793"/>
      <c r="V290" s="2793"/>
      <c r="W290" s="2793"/>
      <c r="X290" s="2793"/>
      <c r="Y290" s="2793"/>
      <c r="Z290" s="2793"/>
      <c r="AA290" s="2793"/>
      <c r="AB290" s="2793"/>
      <c r="AC290" s="2793"/>
      <c r="AD290" s="2793"/>
      <c r="AE290" s="2793"/>
      <c r="AF290" s="2793"/>
      <c r="AG290" s="2793"/>
      <c r="AH290" s="2794"/>
      <c r="AI290" s="2793"/>
      <c r="AJ290" s="2793"/>
      <c r="AK290" s="2793"/>
      <c r="AL290" s="2793"/>
      <c r="AM290" s="2793"/>
      <c r="AN290" s="2793"/>
      <c r="AO290" s="2793"/>
      <c r="AP290" s="2793"/>
      <c r="AQ290" s="2793"/>
      <c r="AR290" s="2783"/>
      <c r="AS290" s="2783"/>
      <c r="AT290" s="2783"/>
      <c r="AU290" s="2783"/>
      <c r="AV290" s="2730"/>
      <c r="AY290" s="2730"/>
    </row>
    <row r="291" spans="1:51">
      <c r="A291" s="2730"/>
      <c r="E291" s="2730"/>
      <c r="F291" s="2730"/>
      <c r="G291" s="2730"/>
      <c r="H291" s="2730"/>
      <c r="I291" s="2730"/>
      <c r="J291" s="2730"/>
      <c r="K291" s="2783"/>
      <c r="L291" s="2783"/>
      <c r="M291" s="2793"/>
      <c r="N291" s="2793"/>
      <c r="O291" s="2793"/>
      <c r="P291" s="2793"/>
      <c r="Q291" s="2793"/>
      <c r="R291" s="2793"/>
      <c r="S291" s="2793"/>
      <c r="T291" s="2793"/>
      <c r="U291" s="2793"/>
      <c r="V291" s="2793"/>
      <c r="W291" s="2793"/>
      <c r="X291" s="2793"/>
      <c r="Y291" s="2793"/>
      <c r="Z291" s="2793"/>
      <c r="AA291" s="2793"/>
      <c r="AB291" s="2793"/>
      <c r="AC291" s="2793"/>
      <c r="AD291" s="2793"/>
      <c r="AE291" s="2793"/>
      <c r="AF291" s="2793"/>
      <c r="AG291" s="2793"/>
      <c r="AH291" s="2794"/>
      <c r="AI291" s="2793"/>
      <c r="AJ291" s="2793"/>
      <c r="AK291" s="2793"/>
      <c r="AL291" s="2793"/>
      <c r="AM291" s="2793"/>
      <c r="AN291" s="2793"/>
      <c r="AO291" s="2793"/>
      <c r="AP291" s="2793"/>
      <c r="AQ291" s="2793"/>
      <c r="AR291" s="2783"/>
      <c r="AS291" s="2783"/>
      <c r="AT291" s="2783"/>
      <c r="AU291" s="2783"/>
      <c r="AV291" s="2730"/>
      <c r="AY291" s="2730"/>
    </row>
    <row r="292" spans="1:51">
      <c r="A292" s="2730"/>
      <c r="E292" s="2730"/>
      <c r="F292" s="2730"/>
      <c r="G292" s="2730"/>
      <c r="H292" s="2730"/>
      <c r="I292" s="2730"/>
      <c r="J292" s="2730"/>
      <c r="K292" s="2783"/>
      <c r="L292" s="2783"/>
      <c r="M292" s="2793"/>
      <c r="N292" s="2793"/>
      <c r="O292" s="2793"/>
      <c r="P292" s="2793"/>
      <c r="Q292" s="2793"/>
      <c r="R292" s="2793"/>
      <c r="S292" s="2793"/>
      <c r="T292" s="2793"/>
      <c r="U292" s="2793"/>
      <c r="V292" s="2793"/>
      <c r="W292" s="2793"/>
      <c r="X292" s="2793"/>
      <c r="Y292" s="2793"/>
      <c r="Z292" s="2793"/>
      <c r="AA292" s="2793"/>
      <c r="AB292" s="2793"/>
      <c r="AC292" s="2793"/>
      <c r="AD292" s="2793"/>
      <c r="AE292" s="2793"/>
      <c r="AF292" s="2793"/>
      <c r="AG292" s="2793"/>
      <c r="AH292" s="2794"/>
      <c r="AI292" s="2793"/>
      <c r="AJ292" s="2793"/>
      <c r="AK292" s="2793"/>
      <c r="AL292" s="2793"/>
      <c r="AM292" s="2793"/>
      <c r="AN292" s="2793"/>
      <c r="AO292" s="2793"/>
      <c r="AP292" s="2793"/>
      <c r="AQ292" s="2793"/>
      <c r="AR292" s="2783"/>
      <c r="AS292" s="2783"/>
      <c r="AT292" s="2783"/>
      <c r="AU292" s="2783"/>
      <c r="AV292" s="2730"/>
      <c r="AY292" s="2730"/>
    </row>
    <row r="293" spans="1:51">
      <c r="A293" s="2730"/>
      <c r="E293" s="2730"/>
      <c r="F293" s="2730"/>
      <c r="G293" s="2730"/>
      <c r="H293" s="2730"/>
      <c r="I293" s="2730"/>
      <c r="J293" s="2730"/>
      <c r="K293" s="2783"/>
      <c r="L293" s="2783"/>
      <c r="M293" s="2793"/>
      <c r="N293" s="2793"/>
      <c r="O293" s="2793"/>
      <c r="P293" s="2793"/>
      <c r="Q293" s="2793"/>
      <c r="R293" s="2793"/>
      <c r="S293" s="2793"/>
      <c r="T293" s="2793"/>
      <c r="U293" s="2793"/>
      <c r="V293" s="2793"/>
      <c r="W293" s="2793"/>
      <c r="X293" s="2793"/>
      <c r="Y293" s="2793"/>
      <c r="Z293" s="2793"/>
      <c r="AA293" s="2793"/>
      <c r="AB293" s="2793"/>
      <c r="AC293" s="2793"/>
      <c r="AD293" s="2793"/>
      <c r="AE293" s="2793"/>
      <c r="AF293" s="2793"/>
      <c r="AG293" s="2793"/>
      <c r="AH293" s="2794"/>
      <c r="AI293" s="2793"/>
      <c r="AJ293" s="2793"/>
      <c r="AK293" s="2793"/>
      <c r="AL293" s="2793"/>
      <c r="AM293" s="2793"/>
      <c r="AN293" s="2793"/>
      <c r="AO293" s="2793"/>
      <c r="AP293" s="2793"/>
      <c r="AQ293" s="2793"/>
      <c r="AR293" s="2783"/>
      <c r="AS293" s="2783"/>
      <c r="AT293" s="2783"/>
      <c r="AU293" s="2783"/>
      <c r="AV293" s="2730"/>
      <c r="AY293" s="2730"/>
    </row>
    <row r="294" spans="1:51">
      <c r="A294" s="2730"/>
      <c r="E294" s="2730"/>
      <c r="F294" s="2730"/>
      <c r="G294" s="2730"/>
      <c r="H294" s="2730"/>
      <c r="I294" s="2730"/>
      <c r="J294" s="2730"/>
      <c r="K294" s="2783"/>
      <c r="L294" s="2783"/>
      <c r="M294" s="2793"/>
      <c r="N294" s="2793"/>
      <c r="O294" s="2793"/>
      <c r="P294" s="2793"/>
      <c r="Q294" s="2793"/>
      <c r="R294" s="2793"/>
      <c r="S294" s="2793"/>
      <c r="T294" s="2793"/>
      <c r="U294" s="2793"/>
      <c r="V294" s="2793"/>
      <c r="W294" s="2793"/>
      <c r="X294" s="2793"/>
      <c r="Y294" s="2793"/>
      <c r="Z294" s="2793"/>
      <c r="AA294" s="2793"/>
      <c r="AB294" s="2793"/>
      <c r="AC294" s="2793"/>
      <c r="AD294" s="2793"/>
      <c r="AE294" s="2793"/>
      <c r="AF294" s="2793"/>
      <c r="AG294" s="2793"/>
      <c r="AH294" s="2794"/>
      <c r="AI294" s="2793"/>
      <c r="AJ294" s="2793"/>
      <c r="AK294" s="2793"/>
      <c r="AL294" s="2793"/>
      <c r="AM294" s="2793"/>
      <c r="AN294" s="2793"/>
      <c r="AO294" s="2793"/>
      <c r="AP294" s="2793"/>
      <c r="AQ294" s="2793"/>
      <c r="AR294" s="2783"/>
      <c r="AS294" s="2783"/>
      <c r="AT294" s="2783"/>
      <c r="AU294" s="2783"/>
      <c r="AV294" s="2730"/>
      <c r="AY294" s="2730"/>
    </row>
    <row r="295" spans="1:51">
      <c r="A295" s="2730"/>
      <c r="E295" s="2730"/>
      <c r="F295" s="2730"/>
      <c r="G295" s="2730"/>
      <c r="H295" s="2730"/>
      <c r="I295" s="2730"/>
      <c r="J295" s="2730"/>
      <c r="K295" s="2783"/>
      <c r="L295" s="2783"/>
      <c r="M295" s="2793"/>
      <c r="N295" s="2793"/>
      <c r="O295" s="2793"/>
      <c r="P295" s="2793"/>
      <c r="Q295" s="2793"/>
      <c r="R295" s="2793"/>
      <c r="S295" s="2793"/>
      <c r="T295" s="2793"/>
      <c r="U295" s="2793"/>
      <c r="V295" s="2793"/>
      <c r="W295" s="2793"/>
      <c r="X295" s="2793"/>
      <c r="Y295" s="2793"/>
      <c r="Z295" s="2793"/>
      <c r="AA295" s="2793"/>
      <c r="AB295" s="2793"/>
      <c r="AC295" s="2793"/>
      <c r="AD295" s="2793"/>
      <c r="AE295" s="2793"/>
      <c r="AF295" s="2793"/>
      <c r="AG295" s="2793"/>
      <c r="AH295" s="2794"/>
      <c r="AI295" s="2793"/>
      <c r="AJ295" s="2793"/>
      <c r="AK295" s="2793"/>
      <c r="AL295" s="2793"/>
      <c r="AM295" s="2793"/>
      <c r="AN295" s="2793"/>
      <c r="AO295" s="2793"/>
      <c r="AP295" s="2793"/>
      <c r="AQ295" s="2793"/>
      <c r="AR295" s="2783"/>
      <c r="AS295" s="2783"/>
      <c r="AT295" s="2783"/>
      <c r="AU295" s="2783"/>
      <c r="AV295" s="2730"/>
      <c r="AY295" s="2730"/>
    </row>
    <row r="296" spans="1:51">
      <c r="A296" s="2730"/>
      <c r="E296" s="2730"/>
      <c r="F296" s="2730"/>
      <c r="G296" s="2730"/>
      <c r="H296" s="2730"/>
      <c r="I296" s="2730"/>
      <c r="J296" s="2730"/>
      <c r="K296" s="2783"/>
      <c r="L296" s="2783"/>
      <c r="M296" s="2793"/>
      <c r="N296" s="2793"/>
      <c r="O296" s="2793"/>
      <c r="P296" s="2793"/>
      <c r="Q296" s="2793"/>
      <c r="R296" s="2793"/>
      <c r="S296" s="2793"/>
      <c r="T296" s="2793"/>
      <c r="U296" s="2793"/>
      <c r="V296" s="2793"/>
      <c r="W296" s="2793"/>
      <c r="X296" s="2793"/>
      <c r="Y296" s="2793"/>
      <c r="Z296" s="2793"/>
      <c r="AA296" s="2793"/>
      <c r="AB296" s="2793"/>
      <c r="AC296" s="2793"/>
      <c r="AD296" s="2793"/>
      <c r="AE296" s="2793"/>
      <c r="AF296" s="2793"/>
      <c r="AG296" s="2793"/>
      <c r="AH296" s="2794"/>
      <c r="AI296" s="2793"/>
      <c r="AJ296" s="2793"/>
      <c r="AK296" s="2793"/>
      <c r="AL296" s="2793"/>
      <c r="AM296" s="2793"/>
      <c r="AN296" s="2793"/>
      <c r="AO296" s="2793"/>
      <c r="AP296" s="2793"/>
      <c r="AQ296" s="2793"/>
      <c r="AR296" s="2783"/>
      <c r="AS296" s="2783"/>
      <c r="AT296" s="2783"/>
      <c r="AU296" s="2783"/>
      <c r="AV296" s="2730"/>
      <c r="AY296" s="2730"/>
    </row>
    <row r="297" spans="1:51">
      <c r="A297" s="2730"/>
      <c r="E297" s="2730"/>
      <c r="F297" s="2730"/>
      <c r="G297" s="2730"/>
      <c r="H297" s="2730"/>
      <c r="I297" s="2730"/>
      <c r="J297" s="2730"/>
      <c r="K297" s="2783"/>
      <c r="L297" s="2783"/>
      <c r="M297" s="2793"/>
      <c r="N297" s="2793"/>
      <c r="O297" s="2793"/>
      <c r="P297" s="2793"/>
      <c r="Q297" s="2793"/>
      <c r="R297" s="2793"/>
      <c r="S297" s="2793"/>
      <c r="T297" s="2793"/>
      <c r="U297" s="2793"/>
      <c r="V297" s="2793"/>
      <c r="W297" s="2793"/>
      <c r="X297" s="2793"/>
      <c r="Y297" s="2793"/>
      <c r="Z297" s="2793"/>
      <c r="AA297" s="2793"/>
      <c r="AB297" s="2793"/>
      <c r="AC297" s="2793"/>
      <c r="AD297" s="2793"/>
      <c r="AE297" s="2793"/>
      <c r="AF297" s="2793"/>
      <c r="AG297" s="2793"/>
      <c r="AH297" s="2794"/>
      <c r="AI297" s="2793"/>
      <c r="AJ297" s="2793"/>
      <c r="AK297" s="2793"/>
      <c r="AL297" s="2793"/>
      <c r="AM297" s="2793"/>
      <c r="AN297" s="2793"/>
      <c r="AO297" s="2793"/>
      <c r="AP297" s="2793"/>
      <c r="AQ297" s="2793"/>
      <c r="AR297" s="2783"/>
      <c r="AS297" s="2783"/>
      <c r="AT297" s="2783"/>
      <c r="AU297" s="2783"/>
      <c r="AV297" s="2730"/>
      <c r="AY297" s="2730"/>
    </row>
    <row r="298" spans="1:51">
      <c r="A298" s="2730"/>
      <c r="E298" s="2730"/>
      <c r="F298" s="2730"/>
      <c r="G298" s="2730"/>
      <c r="H298" s="2730"/>
      <c r="I298" s="2730"/>
      <c r="J298" s="2730"/>
      <c r="K298" s="2783"/>
      <c r="L298" s="2783"/>
      <c r="M298" s="2793"/>
      <c r="N298" s="2793"/>
      <c r="O298" s="2793"/>
      <c r="P298" s="2793"/>
      <c r="Q298" s="2793"/>
      <c r="R298" s="2793"/>
      <c r="S298" s="2793"/>
      <c r="T298" s="2793"/>
      <c r="U298" s="2793"/>
      <c r="V298" s="2793"/>
      <c r="W298" s="2793"/>
      <c r="X298" s="2793"/>
      <c r="Y298" s="2793"/>
      <c r="Z298" s="2793"/>
      <c r="AA298" s="2793"/>
      <c r="AB298" s="2793"/>
      <c r="AC298" s="2793"/>
      <c r="AD298" s="2793"/>
      <c r="AE298" s="2793"/>
      <c r="AF298" s="2793"/>
      <c r="AG298" s="2793"/>
      <c r="AH298" s="2794"/>
      <c r="AI298" s="2793"/>
      <c r="AJ298" s="2793"/>
      <c r="AK298" s="2793"/>
      <c r="AL298" s="2793"/>
      <c r="AM298" s="2793"/>
      <c r="AN298" s="2793"/>
      <c r="AO298" s="2793"/>
      <c r="AP298" s="2793"/>
      <c r="AQ298" s="2793"/>
      <c r="AR298" s="2783"/>
      <c r="AS298" s="2783"/>
      <c r="AT298" s="2783"/>
      <c r="AU298" s="2783"/>
      <c r="AV298" s="2730"/>
      <c r="AY298" s="2730"/>
    </row>
    <row r="299" spans="1:51">
      <c r="A299" s="2730"/>
      <c r="E299" s="2730"/>
      <c r="F299" s="2730"/>
      <c r="G299" s="2730"/>
      <c r="H299" s="2730"/>
      <c r="I299" s="2730"/>
      <c r="J299" s="2730"/>
      <c r="K299" s="2783"/>
      <c r="L299" s="2783"/>
      <c r="M299" s="2793"/>
      <c r="N299" s="2793"/>
      <c r="O299" s="2793"/>
      <c r="P299" s="2793"/>
      <c r="Q299" s="2793"/>
      <c r="R299" s="2793"/>
      <c r="S299" s="2793"/>
      <c r="T299" s="2793"/>
      <c r="U299" s="2793"/>
      <c r="V299" s="2793"/>
      <c r="W299" s="2793"/>
      <c r="X299" s="2793"/>
      <c r="Y299" s="2793"/>
      <c r="Z299" s="2793"/>
      <c r="AA299" s="2793"/>
      <c r="AB299" s="2793"/>
      <c r="AC299" s="2793"/>
      <c r="AD299" s="2793"/>
      <c r="AE299" s="2793"/>
      <c r="AF299" s="2793"/>
      <c r="AG299" s="2793"/>
      <c r="AH299" s="2794"/>
      <c r="AI299" s="2793"/>
      <c r="AJ299" s="2793"/>
      <c r="AK299" s="2793"/>
      <c r="AL299" s="2793"/>
      <c r="AM299" s="2793"/>
      <c r="AN299" s="2793"/>
      <c r="AO299" s="2793"/>
      <c r="AP299" s="2793"/>
      <c r="AQ299" s="2793"/>
      <c r="AR299" s="2783"/>
      <c r="AS299" s="2783"/>
      <c r="AT299" s="2783"/>
      <c r="AU299" s="2783"/>
      <c r="AV299" s="2730"/>
      <c r="AY299" s="2730"/>
    </row>
    <row r="300" spans="1:51">
      <c r="A300" s="2730"/>
      <c r="E300" s="2730"/>
      <c r="F300" s="2730"/>
      <c r="G300" s="2730"/>
      <c r="H300" s="2730"/>
      <c r="I300" s="2730"/>
      <c r="J300" s="2730"/>
      <c r="K300" s="2783"/>
      <c r="L300" s="2783"/>
      <c r="M300" s="2793"/>
      <c r="N300" s="2793"/>
      <c r="O300" s="2793"/>
      <c r="P300" s="2793"/>
      <c r="Q300" s="2793"/>
      <c r="R300" s="2793"/>
      <c r="S300" s="2793"/>
      <c r="T300" s="2793"/>
      <c r="U300" s="2793"/>
      <c r="V300" s="2793"/>
      <c r="W300" s="2793"/>
      <c r="X300" s="2793"/>
      <c r="Y300" s="2793"/>
      <c r="Z300" s="2793"/>
      <c r="AA300" s="2793"/>
      <c r="AB300" s="2793"/>
      <c r="AC300" s="2793"/>
      <c r="AD300" s="2793"/>
      <c r="AE300" s="2793"/>
      <c r="AF300" s="2793"/>
      <c r="AG300" s="2793"/>
      <c r="AH300" s="2794"/>
      <c r="AI300" s="2793"/>
      <c r="AJ300" s="2793"/>
      <c r="AK300" s="2793"/>
      <c r="AL300" s="2793"/>
      <c r="AM300" s="2793"/>
      <c r="AN300" s="2793"/>
      <c r="AO300" s="2793"/>
      <c r="AP300" s="2793"/>
      <c r="AQ300" s="2793"/>
      <c r="AR300" s="2783"/>
      <c r="AS300" s="2783"/>
      <c r="AT300" s="2783"/>
      <c r="AU300" s="2783"/>
      <c r="AV300" s="2730"/>
      <c r="AY300" s="2730"/>
    </row>
    <row r="301" spans="1:51">
      <c r="A301" s="2730"/>
      <c r="E301" s="2730"/>
      <c r="F301" s="2730"/>
      <c r="G301" s="2730"/>
      <c r="H301" s="2730"/>
      <c r="I301" s="2730"/>
      <c r="J301" s="2730"/>
      <c r="K301" s="2783"/>
      <c r="L301" s="2783"/>
      <c r="M301" s="2793"/>
      <c r="N301" s="2793"/>
      <c r="O301" s="2793"/>
      <c r="P301" s="2793"/>
      <c r="Q301" s="2793"/>
      <c r="R301" s="2793"/>
      <c r="S301" s="2793"/>
      <c r="T301" s="2793"/>
      <c r="U301" s="2793"/>
      <c r="V301" s="2793"/>
      <c r="W301" s="2793"/>
      <c r="X301" s="2793"/>
      <c r="Y301" s="2793"/>
      <c r="Z301" s="2793"/>
      <c r="AA301" s="2793"/>
      <c r="AB301" s="2793"/>
      <c r="AC301" s="2793"/>
      <c r="AD301" s="2793"/>
      <c r="AE301" s="2793"/>
      <c r="AF301" s="2793"/>
      <c r="AG301" s="2793"/>
      <c r="AH301" s="2794"/>
      <c r="AI301" s="2793"/>
      <c r="AJ301" s="2793"/>
      <c r="AK301" s="2793"/>
      <c r="AL301" s="2793"/>
      <c r="AM301" s="2793"/>
      <c r="AN301" s="2793"/>
      <c r="AO301" s="2793"/>
      <c r="AP301" s="2793"/>
      <c r="AQ301" s="2793"/>
      <c r="AR301" s="2783"/>
      <c r="AS301" s="2783"/>
      <c r="AT301" s="2783"/>
      <c r="AU301" s="2783"/>
      <c r="AV301" s="2730"/>
      <c r="AY301" s="2730"/>
    </row>
    <row r="302" spans="1:51">
      <c r="A302" s="2730"/>
      <c r="E302" s="2730"/>
      <c r="F302" s="2730"/>
      <c r="G302" s="2730"/>
      <c r="H302" s="2730"/>
      <c r="I302" s="2730"/>
      <c r="J302" s="2730"/>
      <c r="K302" s="2783"/>
      <c r="L302" s="2783"/>
      <c r="M302" s="2793"/>
      <c r="N302" s="2793"/>
      <c r="O302" s="2793"/>
      <c r="P302" s="2793"/>
      <c r="Q302" s="2793"/>
      <c r="R302" s="2793"/>
      <c r="S302" s="2793"/>
      <c r="T302" s="2793"/>
      <c r="U302" s="2793"/>
      <c r="V302" s="2793"/>
      <c r="W302" s="2793"/>
      <c r="X302" s="2793"/>
      <c r="Y302" s="2793"/>
      <c r="Z302" s="2793"/>
      <c r="AA302" s="2793"/>
      <c r="AB302" s="2793"/>
      <c r="AC302" s="2793"/>
      <c r="AD302" s="2793"/>
      <c r="AE302" s="2793"/>
      <c r="AF302" s="2793"/>
      <c r="AG302" s="2793"/>
      <c r="AH302" s="2794"/>
      <c r="AI302" s="2793"/>
      <c r="AJ302" s="2793"/>
      <c r="AK302" s="2793"/>
      <c r="AL302" s="2793"/>
      <c r="AM302" s="2793"/>
      <c r="AN302" s="2793"/>
      <c r="AO302" s="2793"/>
      <c r="AP302" s="2793"/>
      <c r="AQ302" s="2793"/>
      <c r="AR302" s="2783"/>
      <c r="AS302" s="2783"/>
      <c r="AT302" s="2783"/>
      <c r="AU302" s="2783"/>
      <c r="AV302" s="2730"/>
      <c r="AY302" s="2730"/>
    </row>
    <row r="303" spans="1:51">
      <c r="A303" s="2730"/>
      <c r="E303" s="2730"/>
      <c r="F303" s="2730"/>
      <c r="G303" s="2730"/>
      <c r="H303" s="2730"/>
      <c r="I303" s="2730"/>
      <c r="J303" s="2730"/>
      <c r="K303" s="2783"/>
      <c r="L303" s="2783"/>
      <c r="M303" s="2793"/>
      <c r="N303" s="2793"/>
      <c r="O303" s="2793"/>
      <c r="P303" s="2793"/>
      <c r="Q303" s="2793"/>
      <c r="R303" s="2793"/>
      <c r="S303" s="2793"/>
      <c r="T303" s="2793"/>
      <c r="U303" s="2793"/>
      <c r="V303" s="2793"/>
      <c r="W303" s="2793"/>
      <c r="X303" s="2793"/>
      <c r="Y303" s="2793"/>
      <c r="Z303" s="2793"/>
      <c r="AA303" s="2793"/>
      <c r="AB303" s="2793"/>
      <c r="AC303" s="2793"/>
      <c r="AD303" s="2793"/>
      <c r="AE303" s="2793"/>
      <c r="AF303" s="2793"/>
      <c r="AG303" s="2793"/>
      <c r="AH303" s="2794"/>
      <c r="AI303" s="2793"/>
      <c r="AJ303" s="2793"/>
      <c r="AK303" s="2793"/>
      <c r="AL303" s="2793"/>
      <c r="AM303" s="2793"/>
      <c r="AN303" s="2793"/>
      <c r="AO303" s="2793"/>
      <c r="AP303" s="2793"/>
      <c r="AQ303" s="2793"/>
      <c r="AR303" s="2783"/>
      <c r="AS303" s="2783"/>
      <c r="AT303" s="2783"/>
      <c r="AU303" s="2783"/>
      <c r="AV303" s="2730"/>
      <c r="AY303" s="2730"/>
    </row>
    <row r="304" spans="1:51">
      <c r="A304" s="2730"/>
      <c r="E304" s="2730"/>
      <c r="F304" s="2730"/>
      <c r="G304" s="2730"/>
      <c r="H304" s="2730"/>
      <c r="I304" s="2730"/>
      <c r="J304" s="2730"/>
      <c r="K304" s="2783"/>
      <c r="L304" s="2783"/>
      <c r="M304" s="2793"/>
      <c r="N304" s="2793"/>
      <c r="O304" s="2793"/>
      <c r="P304" s="2793"/>
      <c r="Q304" s="2793"/>
      <c r="R304" s="2793"/>
      <c r="S304" s="2793"/>
      <c r="T304" s="2793"/>
      <c r="U304" s="2793"/>
      <c r="V304" s="2793"/>
      <c r="W304" s="2793"/>
      <c r="X304" s="2793"/>
      <c r="Y304" s="2793"/>
      <c r="Z304" s="2793"/>
      <c r="AA304" s="2793"/>
      <c r="AB304" s="2793"/>
      <c r="AC304" s="2793"/>
      <c r="AD304" s="2793"/>
      <c r="AE304" s="2793"/>
      <c r="AF304" s="2793"/>
      <c r="AG304" s="2793"/>
      <c r="AH304" s="2794"/>
      <c r="AI304" s="2793"/>
      <c r="AJ304" s="2793"/>
      <c r="AK304" s="2793"/>
      <c r="AL304" s="2793"/>
      <c r="AM304" s="2793"/>
      <c r="AN304" s="2793"/>
      <c r="AO304" s="2793"/>
      <c r="AP304" s="2793"/>
      <c r="AQ304" s="2793"/>
      <c r="AR304" s="2783"/>
      <c r="AS304" s="2783"/>
      <c r="AT304" s="2783"/>
      <c r="AU304" s="2783"/>
      <c r="AV304" s="2730"/>
      <c r="AY304" s="2730"/>
    </row>
    <row r="305" spans="1:51">
      <c r="A305" s="2730"/>
      <c r="E305" s="2730"/>
      <c r="F305" s="2730"/>
      <c r="G305" s="2730"/>
      <c r="H305" s="2730"/>
      <c r="I305" s="2730"/>
      <c r="J305" s="2730"/>
      <c r="K305" s="2783"/>
      <c r="L305" s="2783"/>
      <c r="M305" s="2793"/>
      <c r="N305" s="2793"/>
      <c r="O305" s="2793"/>
      <c r="P305" s="2793"/>
      <c r="Q305" s="2793"/>
      <c r="R305" s="2793"/>
      <c r="S305" s="2793"/>
      <c r="T305" s="2793"/>
      <c r="U305" s="2793"/>
      <c r="V305" s="2793"/>
      <c r="W305" s="2793"/>
      <c r="X305" s="2793"/>
      <c r="Y305" s="2793"/>
      <c r="Z305" s="2793"/>
      <c r="AA305" s="2793"/>
      <c r="AB305" s="2793"/>
      <c r="AC305" s="2793"/>
      <c r="AD305" s="2793"/>
      <c r="AE305" s="2793"/>
      <c r="AF305" s="2793"/>
      <c r="AG305" s="2793"/>
      <c r="AH305" s="2794"/>
      <c r="AI305" s="2793"/>
      <c r="AJ305" s="2793"/>
      <c r="AK305" s="2793"/>
      <c r="AL305" s="2793"/>
      <c r="AM305" s="2793"/>
      <c r="AN305" s="2793"/>
      <c r="AO305" s="2793"/>
      <c r="AP305" s="2793"/>
      <c r="AQ305" s="2793"/>
      <c r="AR305" s="2783"/>
      <c r="AS305" s="2783"/>
      <c r="AT305" s="2783"/>
      <c r="AU305" s="2783"/>
      <c r="AV305" s="2730"/>
      <c r="AY305" s="2730"/>
    </row>
    <row r="306" spans="1:51">
      <c r="A306" s="2730"/>
      <c r="E306" s="2730"/>
      <c r="F306" s="2730"/>
      <c r="G306" s="2730"/>
      <c r="H306" s="2730"/>
      <c r="I306" s="2730"/>
      <c r="J306" s="2730"/>
      <c r="K306" s="2783"/>
      <c r="L306" s="2783"/>
      <c r="M306" s="2793"/>
      <c r="N306" s="2793"/>
      <c r="O306" s="2793"/>
      <c r="P306" s="2793"/>
      <c r="Q306" s="2793"/>
      <c r="R306" s="2793"/>
      <c r="S306" s="2793"/>
      <c r="T306" s="2793"/>
      <c r="U306" s="2793"/>
      <c r="V306" s="2793"/>
      <c r="W306" s="2793"/>
      <c r="X306" s="2793"/>
      <c r="Y306" s="2793"/>
      <c r="Z306" s="2793"/>
      <c r="AA306" s="2793"/>
      <c r="AB306" s="2793"/>
      <c r="AC306" s="2793"/>
      <c r="AD306" s="2793"/>
      <c r="AE306" s="2793"/>
      <c r="AF306" s="2793"/>
      <c r="AG306" s="2793"/>
      <c r="AH306" s="2794"/>
      <c r="AI306" s="2793"/>
      <c r="AJ306" s="2793"/>
      <c r="AK306" s="2793"/>
      <c r="AL306" s="2793"/>
      <c r="AM306" s="2793"/>
      <c r="AN306" s="2793"/>
      <c r="AO306" s="2793"/>
      <c r="AP306" s="2793"/>
      <c r="AQ306" s="2793"/>
      <c r="AR306" s="2783"/>
      <c r="AS306" s="2783"/>
      <c r="AT306" s="2783"/>
      <c r="AU306" s="2783"/>
      <c r="AV306" s="2730"/>
      <c r="AY306" s="2730"/>
    </row>
    <row r="307" spans="1:51">
      <c r="A307" s="2730"/>
      <c r="E307" s="2730"/>
      <c r="F307" s="2730"/>
      <c r="G307" s="2730"/>
      <c r="H307" s="2730"/>
      <c r="I307" s="2730"/>
      <c r="J307" s="2730"/>
      <c r="K307" s="2783"/>
      <c r="L307" s="2783"/>
      <c r="M307" s="2793"/>
      <c r="N307" s="2793"/>
      <c r="O307" s="2793"/>
      <c r="P307" s="2793"/>
      <c r="Q307" s="2793"/>
      <c r="R307" s="2793"/>
      <c r="S307" s="2793"/>
      <c r="T307" s="2793"/>
      <c r="U307" s="2793"/>
      <c r="V307" s="2793"/>
      <c r="W307" s="2793"/>
      <c r="X307" s="2793"/>
      <c r="Y307" s="2793"/>
      <c r="Z307" s="2793"/>
      <c r="AA307" s="2793"/>
      <c r="AB307" s="2793"/>
      <c r="AC307" s="2793"/>
      <c r="AD307" s="2793"/>
      <c r="AE307" s="2793"/>
      <c r="AF307" s="2793"/>
      <c r="AG307" s="2793"/>
      <c r="AH307" s="2794"/>
      <c r="AI307" s="2793"/>
      <c r="AJ307" s="2793"/>
      <c r="AK307" s="2793"/>
      <c r="AL307" s="2793"/>
      <c r="AM307" s="2793"/>
      <c r="AN307" s="2793"/>
      <c r="AO307" s="2793"/>
      <c r="AP307" s="2793"/>
      <c r="AQ307" s="2793"/>
      <c r="AR307" s="2783"/>
      <c r="AS307" s="2783"/>
      <c r="AT307" s="2783"/>
      <c r="AU307" s="2783"/>
      <c r="AV307" s="2730"/>
      <c r="AY307" s="2730"/>
    </row>
    <row r="308" spans="1:51">
      <c r="A308" s="2730"/>
      <c r="E308" s="2730"/>
      <c r="F308" s="2730"/>
      <c r="G308" s="2730"/>
      <c r="H308" s="2730"/>
      <c r="I308" s="2730"/>
      <c r="J308" s="2730"/>
      <c r="K308" s="2783"/>
      <c r="L308" s="2783"/>
      <c r="M308" s="2793"/>
      <c r="N308" s="2793"/>
      <c r="O308" s="2793"/>
      <c r="P308" s="2793"/>
      <c r="Q308" s="2793"/>
      <c r="R308" s="2793"/>
      <c r="S308" s="2793"/>
      <c r="T308" s="2793"/>
      <c r="U308" s="2793"/>
      <c r="V308" s="2793"/>
      <c r="W308" s="2793"/>
      <c r="X308" s="2793"/>
      <c r="Y308" s="2793"/>
      <c r="Z308" s="2793"/>
      <c r="AA308" s="2793"/>
      <c r="AB308" s="2793"/>
      <c r="AC308" s="2793"/>
      <c r="AD308" s="2793"/>
      <c r="AE308" s="2793"/>
      <c r="AF308" s="2793"/>
      <c r="AG308" s="2793"/>
      <c r="AH308" s="2794"/>
      <c r="AI308" s="2793"/>
      <c r="AJ308" s="2793"/>
      <c r="AK308" s="2793"/>
      <c r="AL308" s="2793"/>
      <c r="AM308" s="2793"/>
      <c r="AN308" s="2793"/>
      <c r="AO308" s="2793"/>
      <c r="AP308" s="2793"/>
      <c r="AQ308" s="2793"/>
      <c r="AR308" s="2783"/>
      <c r="AS308" s="2783"/>
      <c r="AT308" s="2783"/>
      <c r="AU308" s="2783"/>
      <c r="AV308" s="2730"/>
      <c r="AY308" s="2730"/>
    </row>
    <row r="309" spans="1:51">
      <c r="A309" s="2730"/>
      <c r="E309" s="2730"/>
      <c r="F309" s="2730"/>
      <c r="G309" s="2730"/>
      <c r="H309" s="2730"/>
      <c r="I309" s="2730"/>
      <c r="J309" s="2730"/>
      <c r="K309" s="2783"/>
      <c r="L309" s="2783"/>
      <c r="M309" s="2793"/>
      <c r="N309" s="2793"/>
      <c r="O309" s="2793"/>
      <c r="P309" s="2793"/>
      <c r="Q309" s="2793"/>
      <c r="R309" s="2793"/>
      <c r="S309" s="2793"/>
      <c r="T309" s="2793"/>
      <c r="U309" s="2793"/>
      <c r="V309" s="2793"/>
      <c r="W309" s="2793"/>
      <c r="X309" s="2793"/>
      <c r="Y309" s="2793"/>
      <c r="Z309" s="2793"/>
      <c r="AA309" s="2793"/>
      <c r="AB309" s="2793"/>
      <c r="AC309" s="2793"/>
      <c r="AD309" s="2793"/>
      <c r="AE309" s="2793"/>
      <c r="AF309" s="2793"/>
      <c r="AG309" s="2793"/>
      <c r="AH309" s="2794"/>
      <c r="AI309" s="2793"/>
      <c r="AJ309" s="2793"/>
      <c r="AK309" s="2793"/>
      <c r="AL309" s="2793"/>
      <c r="AM309" s="2793"/>
      <c r="AN309" s="2793"/>
      <c r="AO309" s="2793"/>
      <c r="AP309" s="2793"/>
      <c r="AQ309" s="2793"/>
      <c r="AR309" s="2783"/>
      <c r="AS309" s="2783"/>
      <c r="AT309" s="2783"/>
      <c r="AU309" s="2783"/>
      <c r="AV309" s="2730"/>
      <c r="AY309" s="2730"/>
    </row>
    <row r="310" spans="1:51">
      <c r="A310" s="2730"/>
      <c r="E310" s="2730"/>
      <c r="F310" s="2730"/>
      <c r="G310" s="2730"/>
      <c r="H310" s="2730"/>
      <c r="I310" s="2730"/>
      <c r="J310" s="2730"/>
      <c r="K310" s="2783"/>
      <c r="L310" s="2783"/>
      <c r="M310" s="2793"/>
      <c r="N310" s="2793"/>
      <c r="O310" s="2793"/>
      <c r="P310" s="2793"/>
      <c r="Q310" s="2793"/>
      <c r="R310" s="2793"/>
      <c r="S310" s="2793"/>
      <c r="T310" s="2793"/>
      <c r="U310" s="2793"/>
      <c r="V310" s="2793"/>
      <c r="W310" s="2793"/>
      <c r="X310" s="2793"/>
      <c r="Y310" s="2793"/>
      <c r="Z310" s="2793"/>
      <c r="AA310" s="2793"/>
      <c r="AB310" s="2793"/>
      <c r="AC310" s="2793"/>
      <c r="AD310" s="2793"/>
      <c r="AE310" s="2793"/>
      <c r="AF310" s="2793"/>
      <c r="AG310" s="2793"/>
      <c r="AH310" s="2794"/>
      <c r="AI310" s="2793"/>
      <c r="AJ310" s="2793"/>
      <c r="AK310" s="2793"/>
      <c r="AL310" s="2793"/>
      <c r="AM310" s="2793"/>
      <c r="AN310" s="2793"/>
      <c r="AO310" s="2793"/>
      <c r="AP310" s="2793"/>
      <c r="AQ310" s="2793"/>
      <c r="AR310" s="2783"/>
      <c r="AS310" s="2783"/>
      <c r="AT310" s="2783"/>
      <c r="AU310" s="2783"/>
      <c r="AV310" s="2730"/>
      <c r="AY310" s="2730"/>
    </row>
    <row r="311" spans="1:51">
      <c r="A311" s="2730"/>
      <c r="E311" s="2730"/>
      <c r="F311" s="2730"/>
      <c r="G311" s="2730"/>
      <c r="H311" s="2730"/>
      <c r="I311" s="2730"/>
      <c r="J311" s="2730"/>
      <c r="K311" s="2783"/>
      <c r="L311" s="2783"/>
      <c r="M311" s="2793"/>
      <c r="N311" s="2793"/>
      <c r="O311" s="2793"/>
      <c r="P311" s="2793"/>
      <c r="Q311" s="2793"/>
      <c r="R311" s="2793"/>
      <c r="S311" s="2793"/>
      <c r="T311" s="2793"/>
      <c r="U311" s="2793"/>
      <c r="V311" s="2793"/>
      <c r="W311" s="2793"/>
      <c r="X311" s="2793"/>
      <c r="Y311" s="2793"/>
      <c r="Z311" s="2793"/>
      <c r="AA311" s="2793"/>
      <c r="AB311" s="2793"/>
      <c r="AC311" s="2793"/>
      <c r="AD311" s="2793"/>
      <c r="AE311" s="2793"/>
      <c r="AF311" s="2793"/>
      <c r="AG311" s="2793"/>
      <c r="AH311" s="2794"/>
      <c r="AI311" s="2793"/>
      <c r="AJ311" s="2793"/>
      <c r="AK311" s="2793"/>
      <c r="AL311" s="2793"/>
      <c r="AM311" s="2793"/>
      <c r="AN311" s="2793"/>
      <c r="AO311" s="2793"/>
      <c r="AP311" s="2793"/>
      <c r="AQ311" s="2793"/>
      <c r="AR311" s="2783"/>
      <c r="AS311" s="2783"/>
      <c r="AT311" s="2783"/>
      <c r="AU311" s="2783"/>
      <c r="AV311" s="2730"/>
      <c r="AY311" s="2730"/>
    </row>
    <row r="312" spans="1:51">
      <c r="A312" s="2730"/>
      <c r="E312" s="2730"/>
      <c r="F312" s="2730"/>
      <c r="G312" s="2730"/>
      <c r="H312" s="2730"/>
      <c r="I312" s="2730"/>
      <c r="J312" s="2730"/>
      <c r="K312" s="2783"/>
      <c r="L312" s="2783"/>
      <c r="M312" s="2793"/>
      <c r="N312" s="2793"/>
      <c r="O312" s="2793"/>
      <c r="P312" s="2793"/>
      <c r="Q312" s="2793"/>
      <c r="R312" s="2793"/>
      <c r="S312" s="2793"/>
      <c r="T312" s="2793"/>
      <c r="U312" s="2793"/>
      <c r="V312" s="2793"/>
      <c r="W312" s="2793"/>
      <c r="X312" s="2793"/>
      <c r="Y312" s="2793"/>
      <c r="Z312" s="2793"/>
      <c r="AA312" s="2793"/>
      <c r="AB312" s="2793"/>
      <c r="AC312" s="2793"/>
      <c r="AD312" s="2793"/>
      <c r="AE312" s="2793"/>
      <c r="AF312" s="2793"/>
      <c r="AG312" s="2793"/>
      <c r="AH312" s="2794"/>
      <c r="AI312" s="2793"/>
      <c r="AJ312" s="2793"/>
      <c r="AK312" s="2793"/>
      <c r="AL312" s="2793"/>
      <c r="AM312" s="2793"/>
      <c r="AN312" s="2793"/>
      <c r="AO312" s="2793"/>
      <c r="AP312" s="2793"/>
      <c r="AQ312" s="2793"/>
      <c r="AR312" s="2783"/>
      <c r="AS312" s="2783"/>
      <c r="AT312" s="2783"/>
      <c r="AU312" s="2783"/>
      <c r="AV312" s="2730"/>
      <c r="AY312" s="2730"/>
    </row>
    <row r="313" spans="1:51">
      <c r="A313" s="2730"/>
      <c r="E313" s="2730"/>
      <c r="F313" s="2730"/>
      <c r="G313" s="2730"/>
      <c r="H313" s="2730"/>
      <c r="I313" s="2730"/>
      <c r="J313" s="2730"/>
      <c r="K313" s="2783"/>
      <c r="L313" s="2783"/>
      <c r="M313" s="2793"/>
      <c r="N313" s="2793"/>
      <c r="O313" s="2793"/>
      <c r="P313" s="2793"/>
      <c r="Q313" s="2793"/>
      <c r="R313" s="2793"/>
      <c r="S313" s="2793"/>
      <c r="T313" s="2793"/>
      <c r="U313" s="2793"/>
      <c r="V313" s="2793"/>
      <c r="W313" s="2793"/>
      <c r="X313" s="2793"/>
      <c r="Y313" s="2793"/>
      <c r="Z313" s="2793"/>
      <c r="AA313" s="2793"/>
      <c r="AB313" s="2793"/>
      <c r="AC313" s="2793"/>
      <c r="AD313" s="2793"/>
      <c r="AE313" s="2793"/>
      <c r="AF313" s="2793"/>
      <c r="AG313" s="2793"/>
      <c r="AH313" s="2794"/>
      <c r="AI313" s="2793"/>
      <c r="AJ313" s="2793"/>
      <c r="AK313" s="2793"/>
      <c r="AL313" s="2793"/>
      <c r="AM313" s="2793"/>
      <c r="AN313" s="2793"/>
      <c r="AO313" s="2793"/>
      <c r="AP313" s="2793"/>
      <c r="AQ313" s="2793"/>
      <c r="AR313" s="2783"/>
      <c r="AS313" s="2783"/>
      <c r="AT313" s="2783"/>
      <c r="AU313" s="2783"/>
      <c r="AV313" s="2730"/>
      <c r="AY313" s="2730"/>
    </row>
    <row r="314" spans="1:51">
      <c r="A314" s="2730"/>
      <c r="E314" s="2730"/>
      <c r="F314" s="2730"/>
      <c r="G314" s="2730"/>
      <c r="H314" s="2730"/>
      <c r="I314" s="2730"/>
      <c r="J314" s="2730"/>
      <c r="K314" s="2783"/>
      <c r="L314" s="2783"/>
      <c r="M314" s="2793"/>
      <c r="N314" s="2793"/>
      <c r="O314" s="2793"/>
      <c r="P314" s="2793"/>
      <c r="Q314" s="2793"/>
      <c r="R314" s="2793"/>
      <c r="S314" s="2793"/>
      <c r="T314" s="2793"/>
      <c r="U314" s="2793"/>
      <c r="V314" s="2793"/>
      <c r="W314" s="2793"/>
      <c r="X314" s="2793"/>
      <c r="Y314" s="2793"/>
      <c r="Z314" s="2793"/>
      <c r="AA314" s="2793"/>
      <c r="AB314" s="2793"/>
      <c r="AC314" s="2793"/>
      <c r="AD314" s="2793"/>
      <c r="AE314" s="2793"/>
      <c r="AF314" s="2793"/>
      <c r="AG314" s="2793"/>
      <c r="AH314" s="2794"/>
      <c r="AI314" s="2793"/>
      <c r="AJ314" s="2793"/>
      <c r="AK314" s="2793"/>
      <c r="AL314" s="2793"/>
      <c r="AM314" s="2793"/>
      <c r="AN314" s="2793"/>
      <c r="AO314" s="2793"/>
      <c r="AP314" s="2793"/>
      <c r="AQ314" s="2793"/>
      <c r="AR314" s="2783"/>
      <c r="AS314" s="2783"/>
      <c r="AT314" s="2783"/>
      <c r="AU314" s="2783"/>
      <c r="AV314" s="2730"/>
      <c r="AY314" s="2730"/>
    </row>
    <row r="315" spans="1:51">
      <c r="A315" s="2730"/>
      <c r="E315" s="2730"/>
      <c r="F315" s="2730"/>
      <c r="G315" s="2730"/>
      <c r="H315" s="2730"/>
      <c r="I315" s="2730"/>
      <c r="J315" s="2730"/>
      <c r="K315" s="2783"/>
      <c r="L315" s="2783"/>
      <c r="M315" s="2793"/>
      <c r="N315" s="2793"/>
      <c r="O315" s="2793"/>
      <c r="P315" s="2793"/>
      <c r="Q315" s="2793"/>
      <c r="R315" s="2793"/>
      <c r="S315" s="2793"/>
      <c r="T315" s="2793"/>
      <c r="U315" s="2793"/>
      <c r="V315" s="2793"/>
      <c r="W315" s="2793"/>
      <c r="X315" s="2793"/>
      <c r="Y315" s="2793"/>
      <c r="Z315" s="2793"/>
      <c r="AA315" s="2793"/>
      <c r="AB315" s="2793"/>
      <c r="AC315" s="2793"/>
      <c r="AD315" s="2793"/>
      <c r="AE315" s="2793"/>
      <c r="AF315" s="2793"/>
      <c r="AG315" s="2793"/>
      <c r="AH315" s="2794"/>
      <c r="AI315" s="2793"/>
      <c r="AJ315" s="2793"/>
      <c r="AK315" s="2793"/>
      <c r="AL315" s="2793"/>
      <c r="AM315" s="2793"/>
      <c r="AN315" s="2793"/>
      <c r="AO315" s="2793"/>
      <c r="AP315" s="2793"/>
      <c r="AQ315" s="2793"/>
      <c r="AR315" s="2783"/>
      <c r="AS315" s="2783"/>
      <c r="AT315" s="2783"/>
      <c r="AU315" s="2783"/>
      <c r="AV315" s="2730"/>
      <c r="AY315" s="2730"/>
    </row>
    <row r="316" spans="1:51">
      <c r="A316" s="2730"/>
      <c r="E316" s="2730"/>
      <c r="F316" s="2730"/>
      <c r="G316" s="2730"/>
      <c r="H316" s="2730"/>
      <c r="I316" s="2730"/>
      <c r="J316" s="2730"/>
      <c r="K316" s="2783"/>
      <c r="L316" s="2783"/>
      <c r="M316" s="2793"/>
      <c r="N316" s="2793"/>
      <c r="O316" s="2793"/>
      <c r="P316" s="2793"/>
      <c r="Q316" s="2793"/>
      <c r="R316" s="2793"/>
      <c r="S316" s="2793"/>
      <c r="T316" s="2793"/>
      <c r="U316" s="2793"/>
      <c r="V316" s="2793"/>
      <c r="W316" s="2793"/>
      <c r="X316" s="2793"/>
      <c r="Y316" s="2793"/>
      <c r="Z316" s="2793"/>
      <c r="AA316" s="2793"/>
      <c r="AB316" s="2793"/>
      <c r="AC316" s="2793"/>
      <c r="AD316" s="2793"/>
      <c r="AE316" s="2793"/>
      <c r="AF316" s="2793"/>
      <c r="AG316" s="2793"/>
      <c r="AH316" s="2794"/>
      <c r="AI316" s="2793"/>
      <c r="AJ316" s="2793"/>
      <c r="AK316" s="2793"/>
      <c r="AL316" s="2793"/>
      <c r="AM316" s="2793"/>
      <c r="AN316" s="2793"/>
      <c r="AO316" s="2793"/>
      <c r="AP316" s="2793"/>
      <c r="AQ316" s="2793"/>
      <c r="AR316" s="2783"/>
      <c r="AS316" s="2783"/>
      <c r="AT316" s="2783"/>
      <c r="AU316" s="2783"/>
      <c r="AV316" s="2730"/>
      <c r="AY316" s="2730"/>
    </row>
    <row r="317" spans="1:51">
      <c r="A317" s="2730"/>
      <c r="E317" s="2730"/>
      <c r="F317" s="2730"/>
      <c r="G317" s="2730"/>
      <c r="H317" s="2730"/>
      <c r="I317" s="2730"/>
      <c r="J317" s="2730"/>
      <c r="K317" s="2783"/>
      <c r="L317" s="2783"/>
      <c r="M317" s="2793"/>
      <c r="N317" s="2793"/>
      <c r="O317" s="2793"/>
      <c r="P317" s="2793"/>
      <c r="Q317" s="2793"/>
      <c r="R317" s="2793"/>
      <c r="S317" s="2793"/>
      <c r="T317" s="2793"/>
      <c r="U317" s="2793"/>
      <c r="V317" s="2793"/>
      <c r="W317" s="2793"/>
      <c r="X317" s="2793"/>
      <c r="Y317" s="2793"/>
      <c r="Z317" s="2793"/>
      <c r="AA317" s="2793"/>
      <c r="AB317" s="2793"/>
      <c r="AC317" s="2793"/>
      <c r="AD317" s="2793"/>
      <c r="AE317" s="2793"/>
      <c r="AF317" s="2793"/>
      <c r="AG317" s="2793"/>
      <c r="AH317" s="2794"/>
      <c r="AI317" s="2793"/>
      <c r="AJ317" s="2793"/>
      <c r="AK317" s="2793"/>
      <c r="AL317" s="2793"/>
      <c r="AM317" s="2793"/>
      <c r="AN317" s="2793"/>
      <c r="AO317" s="2793"/>
      <c r="AP317" s="2793"/>
      <c r="AQ317" s="2793"/>
      <c r="AR317" s="2783"/>
      <c r="AS317" s="2783"/>
      <c r="AT317" s="2783"/>
      <c r="AU317" s="2783"/>
      <c r="AV317" s="2730"/>
      <c r="AY317" s="2730"/>
    </row>
    <row r="318" spans="1:51">
      <c r="A318" s="2730"/>
      <c r="E318" s="2730"/>
      <c r="F318" s="2730"/>
      <c r="G318" s="2730"/>
      <c r="H318" s="2730"/>
      <c r="I318" s="2730"/>
      <c r="J318" s="2730"/>
      <c r="K318" s="2783"/>
      <c r="L318" s="2783"/>
      <c r="M318" s="2793"/>
      <c r="N318" s="2793"/>
      <c r="O318" s="2793"/>
      <c r="P318" s="2793"/>
      <c r="Q318" s="2793"/>
      <c r="R318" s="2793"/>
      <c r="S318" s="2793"/>
      <c r="T318" s="2793"/>
      <c r="U318" s="2793"/>
      <c r="V318" s="2793"/>
      <c r="W318" s="2793"/>
      <c r="X318" s="2793"/>
      <c r="Y318" s="2793"/>
      <c r="Z318" s="2793"/>
      <c r="AA318" s="2793"/>
      <c r="AB318" s="2793"/>
      <c r="AC318" s="2793"/>
      <c r="AD318" s="2793"/>
      <c r="AE318" s="2793"/>
      <c r="AF318" s="2793"/>
      <c r="AG318" s="2793"/>
      <c r="AH318" s="2794"/>
      <c r="AI318" s="2793"/>
      <c r="AJ318" s="2793"/>
      <c r="AK318" s="2793"/>
      <c r="AL318" s="2793"/>
      <c r="AM318" s="2793"/>
      <c r="AN318" s="2793"/>
      <c r="AO318" s="2793"/>
      <c r="AP318" s="2793"/>
      <c r="AQ318" s="2793"/>
      <c r="AR318" s="2783"/>
      <c r="AS318" s="2783"/>
      <c r="AT318" s="2783"/>
      <c r="AU318" s="2783"/>
      <c r="AV318" s="2730"/>
      <c r="AY318" s="2730"/>
    </row>
    <row r="319" spans="1:51">
      <c r="A319" s="2730"/>
      <c r="E319" s="2730"/>
      <c r="F319" s="2730"/>
      <c r="G319" s="2730"/>
      <c r="H319" s="2730"/>
      <c r="I319" s="2730"/>
      <c r="J319" s="2730"/>
      <c r="K319" s="2783"/>
      <c r="L319" s="2783"/>
      <c r="M319" s="2793"/>
      <c r="N319" s="2793"/>
      <c r="O319" s="2793"/>
      <c r="P319" s="2793"/>
      <c r="Q319" s="2793"/>
      <c r="R319" s="2793"/>
      <c r="S319" s="2793"/>
      <c r="T319" s="2793"/>
      <c r="U319" s="2793"/>
      <c r="V319" s="2793"/>
      <c r="W319" s="2793"/>
      <c r="X319" s="2793"/>
      <c r="Y319" s="2793"/>
      <c r="Z319" s="2793"/>
      <c r="AA319" s="2793"/>
      <c r="AB319" s="2793"/>
      <c r="AC319" s="2793"/>
      <c r="AD319" s="2793"/>
      <c r="AE319" s="2793"/>
      <c r="AF319" s="2793"/>
      <c r="AG319" s="2793"/>
      <c r="AH319" s="2794"/>
      <c r="AI319" s="2793"/>
      <c r="AJ319" s="2793"/>
      <c r="AK319" s="2793"/>
      <c r="AL319" s="2793"/>
      <c r="AM319" s="2793"/>
      <c r="AN319" s="2793"/>
      <c r="AO319" s="2793"/>
      <c r="AP319" s="2793"/>
      <c r="AQ319" s="2793"/>
      <c r="AR319" s="2783"/>
      <c r="AS319" s="2783"/>
      <c r="AT319" s="2783"/>
      <c r="AU319" s="2783"/>
      <c r="AV319" s="2730"/>
      <c r="AY319" s="2730"/>
    </row>
    <row r="320" spans="1:51">
      <c r="A320" s="2730"/>
      <c r="E320" s="2730"/>
      <c r="F320" s="2730"/>
      <c r="G320" s="2730"/>
      <c r="H320" s="2730"/>
      <c r="I320" s="2730"/>
      <c r="J320" s="2730"/>
      <c r="K320" s="2783"/>
      <c r="L320" s="2783"/>
      <c r="M320" s="2793"/>
      <c r="N320" s="2793"/>
      <c r="O320" s="2793"/>
      <c r="P320" s="2793"/>
      <c r="Q320" s="2793"/>
      <c r="R320" s="2793"/>
      <c r="S320" s="2793"/>
      <c r="T320" s="2793"/>
      <c r="U320" s="2793"/>
      <c r="V320" s="2793"/>
      <c r="W320" s="2793"/>
      <c r="X320" s="2793"/>
      <c r="Y320" s="2793"/>
      <c r="Z320" s="2793"/>
      <c r="AA320" s="2793"/>
      <c r="AB320" s="2793"/>
      <c r="AC320" s="2793"/>
      <c r="AD320" s="2793"/>
      <c r="AE320" s="2793"/>
      <c r="AF320" s="2793"/>
      <c r="AG320" s="2793"/>
      <c r="AH320" s="2794"/>
      <c r="AI320" s="2793"/>
      <c r="AJ320" s="2793"/>
      <c r="AK320" s="2793"/>
      <c r="AL320" s="2793"/>
      <c r="AM320" s="2793"/>
      <c r="AN320" s="2793"/>
      <c r="AO320" s="2793"/>
      <c r="AP320" s="2793"/>
      <c r="AQ320" s="2793"/>
      <c r="AR320" s="2783"/>
      <c r="AS320" s="2783"/>
      <c r="AT320" s="2783"/>
      <c r="AU320" s="2783"/>
      <c r="AV320" s="2730"/>
      <c r="AY320" s="2730"/>
    </row>
    <row r="321" spans="1:51">
      <c r="A321" s="2730"/>
      <c r="E321" s="2730"/>
      <c r="F321" s="2730"/>
      <c r="G321" s="2730"/>
      <c r="H321" s="2730"/>
      <c r="I321" s="2730"/>
      <c r="J321" s="2730"/>
      <c r="K321" s="2783"/>
      <c r="L321" s="2783"/>
      <c r="M321" s="2793"/>
      <c r="N321" s="2793"/>
      <c r="O321" s="2793"/>
      <c r="P321" s="2793"/>
      <c r="Q321" s="2793"/>
      <c r="R321" s="2793"/>
      <c r="S321" s="2793"/>
      <c r="T321" s="2793"/>
      <c r="U321" s="2793"/>
      <c r="V321" s="2793"/>
      <c r="W321" s="2793"/>
      <c r="X321" s="2793"/>
      <c r="Y321" s="2793"/>
      <c r="Z321" s="2793"/>
      <c r="AA321" s="2793"/>
      <c r="AB321" s="2793"/>
      <c r="AC321" s="2793"/>
      <c r="AD321" s="2793"/>
      <c r="AE321" s="2793"/>
      <c r="AF321" s="2793"/>
      <c r="AG321" s="2793"/>
      <c r="AH321" s="2794"/>
      <c r="AI321" s="2793"/>
      <c r="AJ321" s="2793"/>
      <c r="AK321" s="2793"/>
      <c r="AL321" s="2793"/>
      <c r="AM321" s="2793"/>
      <c r="AN321" s="2793"/>
      <c r="AO321" s="2793"/>
      <c r="AP321" s="2793"/>
      <c r="AQ321" s="2793"/>
      <c r="AR321" s="2783"/>
      <c r="AS321" s="2783"/>
      <c r="AT321" s="2783"/>
      <c r="AU321" s="2783"/>
      <c r="AV321" s="2730"/>
      <c r="AY321" s="2730"/>
    </row>
    <row r="322" spans="1:51">
      <c r="A322" s="2730"/>
      <c r="E322" s="2730"/>
      <c r="F322" s="2730"/>
      <c r="G322" s="2730"/>
      <c r="H322" s="2730"/>
      <c r="I322" s="2730"/>
      <c r="J322" s="2730"/>
      <c r="K322" s="2783"/>
      <c r="L322" s="2783"/>
      <c r="M322" s="2793"/>
      <c r="N322" s="2793"/>
      <c r="O322" s="2793"/>
      <c r="P322" s="2793"/>
      <c r="Q322" s="2793"/>
      <c r="R322" s="2793"/>
      <c r="S322" s="2793"/>
      <c r="T322" s="2793"/>
      <c r="U322" s="2793"/>
      <c r="V322" s="2793"/>
      <c r="W322" s="2793"/>
      <c r="X322" s="2793"/>
      <c r="Y322" s="2793"/>
      <c r="Z322" s="2793"/>
      <c r="AA322" s="2793"/>
      <c r="AB322" s="2793"/>
      <c r="AC322" s="2793"/>
      <c r="AD322" s="2793"/>
      <c r="AE322" s="2793"/>
      <c r="AF322" s="2793"/>
      <c r="AG322" s="2793"/>
      <c r="AH322" s="2794"/>
      <c r="AI322" s="2793"/>
      <c r="AJ322" s="2793"/>
      <c r="AK322" s="2793"/>
      <c r="AL322" s="2793"/>
      <c r="AM322" s="2793"/>
      <c r="AN322" s="2793"/>
      <c r="AO322" s="2793"/>
      <c r="AP322" s="2793"/>
      <c r="AQ322" s="2793"/>
      <c r="AR322" s="2783"/>
      <c r="AS322" s="2783"/>
      <c r="AT322" s="2783"/>
      <c r="AU322" s="2783"/>
      <c r="AV322" s="2730"/>
      <c r="AY322" s="2730"/>
    </row>
    <row r="323" spans="1:51">
      <c r="A323" s="2730"/>
      <c r="E323" s="2730"/>
      <c r="F323" s="2730"/>
      <c r="G323" s="2730"/>
      <c r="H323" s="2730"/>
      <c r="I323" s="2730"/>
      <c r="J323" s="2730"/>
      <c r="K323" s="2783"/>
      <c r="L323" s="2783"/>
      <c r="M323" s="2793"/>
      <c r="N323" s="2793"/>
      <c r="O323" s="2793"/>
      <c r="P323" s="2793"/>
      <c r="Q323" s="2793"/>
      <c r="R323" s="2793"/>
      <c r="S323" s="2793"/>
      <c r="T323" s="2793"/>
      <c r="U323" s="2793"/>
      <c r="V323" s="2793"/>
      <c r="W323" s="2793"/>
      <c r="X323" s="2793"/>
      <c r="Y323" s="2793"/>
      <c r="Z323" s="2793"/>
      <c r="AA323" s="2793"/>
      <c r="AB323" s="2793"/>
      <c r="AC323" s="2793"/>
      <c r="AD323" s="2793"/>
      <c r="AE323" s="2793"/>
      <c r="AF323" s="2793"/>
      <c r="AG323" s="2793"/>
      <c r="AH323" s="2794"/>
      <c r="AI323" s="2793"/>
      <c r="AJ323" s="2793"/>
      <c r="AK323" s="2793"/>
      <c r="AL323" s="2793"/>
      <c r="AM323" s="2793"/>
      <c r="AN323" s="2793"/>
      <c r="AO323" s="2793"/>
      <c r="AP323" s="2793"/>
      <c r="AQ323" s="2793"/>
      <c r="AR323" s="2783"/>
      <c r="AS323" s="2783"/>
      <c r="AT323" s="2783"/>
      <c r="AU323" s="2783"/>
      <c r="AV323" s="2730"/>
      <c r="AY323" s="2730"/>
    </row>
    <row r="324" spans="1:51">
      <c r="A324" s="2730"/>
      <c r="E324" s="2730"/>
      <c r="F324" s="2730"/>
      <c r="G324" s="2730"/>
      <c r="H324" s="2730"/>
      <c r="I324" s="2730"/>
      <c r="J324" s="2730"/>
      <c r="K324" s="2783"/>
      <c r="L324" s="2783"/>
      <c r="M324" s="2793"/>
      <c r="N324" s="2793"/>
      <c r="O324" s="2793"/>
      <c r="P324" s="2793"/>
      <c r="Q324" s="2793"/>
      <c r="R324" s="2793"/>
      <c r="S324" s="2793"/>
      <c r="T324" s="2793"/>
      <c r="U324" s="2793"/>
      <c r="V324" s="2793"/>
      <c r="W324" s="2793"/>
      <c r="X324" s="2793"/>
      <c r="Y324" s="2793"/>
      <c r="Z324" s="2793"/>
      <c r="AA324" s="2793"/>
      <c r="AB324" s="2793"/>
      <c r="AC324" s="2793"/>
      <c r="AD324" s="2793"/>
      <c r="AE324" s="2793"/>
      <c r="AF324" s="2793"/>
      <c r="AG324" s="2793"/>
      <c r="AH324" s="2794"/>
      <c r="AI324" s="2793"/>
      <c r="AJ324" s="2793"/>
      <c r="AK324" s="2793"/>
      <c r="AL324" s="2793"/>
      <c r="AM324" s="2793"/>
      <c r="AN324" s="2793"/>
      <c r="AO324" s="2793"/>
      <c r="AP324" s="2793"/>
      <c r="AQ324" s="2793"/>
      <c r="AR324" s="2783"/>
      <c r="AS324" s="2783"/>
      <c r="AT324" s="2783"/>
      <c r="AU324" s="2783"/>
      <c r="AV324" s="2730"/>
      <c r="AY324" s="2730"/>
    </row>
    <row r="325" spans="1:51">
      <c r="A325" s="2730"/>
      <c r="E325" s="2730"/>
      <c r="F325" s="2730"/>
      <c r="G325" s="2730"/>
      <c r="H325" s="2730"/>
      <c r="I325" s="2730"/>
      <c r="J325" s="2730"/>
      <c r="K325" s="2783"/>
      <c r="L325" s="2783"/>
      <c r="M325" s="2793"/>
      <c r="N325" s="2793"/>
      <c r="O325" s="2793"/>
      <c r="P325" s="2793"/>
      <c r="Q325" s="2793"/>
      <c r="R325" s="2793"/>
      <c r="S325" s="2793"/>
      <c r="T325" s="2793"/>
      <c r="U325" s="2793"/>
      <c r="V325" s="2793"/>
      <c r="W325" s="2793"/>
      <c r="X325" s="2793"/>
      <c r="Y325" s="2793"/>
      <c r="Z325" s="2793"/>
      <c r="AA325" s="2793"/>
      <c r="AB325" s="2793"/>
      <c r="AC325" s="2793"/>
      <c r="AD325" s="2793"/>
      <c r="AE325" s="2793"/>
      <c r="AF325" s="2793"/>
      <c r="AG325" s="2793"/>
      <c r="AH325" s="2794"/>
      <c r="AI325" s="2793"/>
      <c r="AJ325" s="2793"/>
      <c r="AK325" s="2793"/>
      <c r="AL325" s="2793"/>
      <c r="AM325" s="2793"/>
      <c r="AN325" s="2793"/>
      <c r="AO325" s="2793"/>
      <c r="AP325" s="2793"/>
      <c r="AQ325" s="2793"/>
      <c r="AR325" s="2783"/>
      <c r="AS325" s="2783"/>
      <c r="AT325" s="2783"/>
      <c r="AU325" s="2783"/>
      <c r="AV325" s="2730"/>
      <c r="AY325" s="2730"/>
    </row>
    <row r="326" spans="1:51">
      <c r="A326" s="2730"/>
      <c r="E326" s="2730"/>
      <c r="F326" s="2730"/>
      <c r="G326" s="2730"/>
      <c r="H326" s="2730"/>
      <c r="I326" s="2730"/>
      <c r="J326" s="2730"/>
      <c r="K326" s="2783"/>
      <c r="L326" s="2783"/>
      <c r="M326" s="2793"/>
      <c r="N326" s="2793"/>
      <c r="O326" s="2793"/>
      <c r="P326" s="2793"/>
      <c r="Q326" s="2793"/>
      <c r="R326" s="2793"/>
      <c r="S326" s="2793"/>
      <c r="T326" s="2793"/>
      <c r="U326" s="2793"/>
      <c r="V326" s="2793"/>
      <c r="W326" s="2793"/>
      <c r="X326" s="2793"/>
      <c r="Y326" s="2793"/>
      <c r="Z326" s="2793"/>
      <c r="AA326" s="2793"/>
      <c r="AB326" s="2793"/>
      <c r="AC326" s="2793"/>
      <c r="AD326" s="2793"/>
      <c r="AE326" s="2793"/>
      <c r="AF326" s="2793"/>
      <c r="AG326" s="2793"/>
      <c r="AH326" s="2794"/>
      <c r="AI326" s="2793"/>
      <c r="AJ326" s="2793"/>
      <c r="AK326" s="2793"/>
      <c r="AL326" s="2793"/>
      <c r="AM326" s="2793"/>
      <c r="AN326" s="2793"/>
      <c r="AO326" s="2793"/>
      <c r="AP326" s="2793"/>
      <c r="AQ326" s="2793"/>
      <c r="AR326" s="2783"/>
      <c r="AS326" s="2783"/>
      <c r="AT326" s="2783"/>
      <c r="AU326" s="2783"/>
      <c r="AV326" s="2730"/>
      <c r="AY326" s="2730"/>
    </row>
    <row r="327" spans="1:51">
      <c r="A327" s="2730"/>
      <c r="E327" s="2730"/>
      <c r="F327" s="2730"/>
      <c r="G327" s="2730"/>
      <c r="H327" s="2730"/>
      <c r="I327" s="2730"/>
      <c r="J327" s="2730"/>
      <c r="K327" s="2783"/>
      <c r="L327" s="2783"/>
      <c r="M327" s="2793"/>
      <c r="N327" s="2793"/>
      <c r="O327" s="2793"/>
      <c r="P327" s="2793"/>
      <c r="Q327" s="2793"/>
      <c r="R327" s="2793"/>
      <c r="S327" s="2793"/>
      <c r="T327" s="2793"/>
      <c r="U327" s="2793"/>
      <c r="V327" s="2793"/>
      <c r="W327" s="2793"/>
      <c r="X327" s="2793"/>
      <c r="Y327" s="2793"/>
      <c r="Z327" s="2793"/>
      <c r="AA327" s="2793"/>
      <c r="AB327" s="2793"/>
      <c r="AC327" s="2793"/>
      <c r="AD327" s="2793"/>
      <c r="AE327" s="2793"/>
      <c r="AF327" s="2793"/>
      <c r="AG327" s="2793"/>
      <c r="AH327" s="2794"/>
      <c r="AI327" s="2793"/>
      <c r="AJ327" s="2793"/>
      <c r="AK327" s="2793"/>
      <c r="AL327" s="2793"/>
      <c r="AM327" s="2793"/>
      <c r="AN327" s="2793"/>
      <c r="AO327" s="2793"/>
      <c r="AP327" s="2793"/>
      <c r="AQ327" s="2793"/>
      <c r="AR327" s="2783"/>
      <c r="AS327" s="2783"/>
      <c r="AT327" s="2783"/>
      <c r="AU327" s="2783"/>
      <c r="AV327" s="2730"/>
      <c r="AY327" s="2730"/>
    </row>
    <row r="328" spans="1:51">
      <c r="A328" s="2730"/>
      <c r="E328" s="2730"/>
      <c r="F328" s="2730"/>
      <c r="G328" s="2730"/>
      <c r="H328" s="2730"/>
      <c r="I328" s="2730"/>
      <c r="J328" s="2730"/>
      <c r="K328" s="2783"/>
      <c r="L328" s="2783"/>
      <c r="M328" s="2793"/>
      <c r="N328" s="2793"/>
      <c r="O328" s="2793"/>
      <c r="P328" s="2793"/>
      <c r="Q328" s="2793"/>
      <c r="R328" s="2793"/>
      <c r="S328" s="2793"/>
      <c r="T328" s="2793"/>
      <c r="U328" s="2793"/>
      <c r="V328" s="2793"/>
      <c r="W328" s="2793"/>
      <c r="X328" s="2793"/>
      <c r="Y328" s="2793"/>
      <c r="Z328" s="2793"/>
      <c r="AA328" s="2793"/>
      <c r="AB328" s="2793"/>
      <c r="AC328" s="2793"/>
      <c r="AD328" s="2793"/>
      <c r="AE328" s="2793"/>
      <c r="AF328" s="2793"/>
      <c r="AG328" s="2793"/>
      <c r="AH328" s="2794"/>
      <c r="AI328" s="2793"/>
      <c r="AJ328" s="2793"/>
      <c r="AK328" s="2793"/>
      <c r="AL328" s="2793"/>
      <c r="AM328" s="2793"/>
      <c r="AN328" s="2793"/>
      <c r="AO328" s="2793"/>
      <c r="AP328" s="2793"/>
      <c r="AQ328" s="2793"/>
      <c r="AR328" s="2783"/>
      <c r="AS328" s="2783"/>
      <c r="AT328" s="2783"/>
      <c r="AU328" s="2783"/>
      <c r="AV328" s="2730"/>
      <c r="AY328" s="2730"/>
    </row>
    <row r="329" spans="1:51">
      <c r="A329" s="2730"/>
      <c r="E329" s="2730"/>
      <c r="F329" s="2730"/>
      <c r="G329" s="2730"/>
      <c r="H329" s="2730"/>
      <c r="I329" s="2730"/>
      <c r="J329" s="2730"/>
      <c r="K329" s="2783"/>
      <c r="L329" s="2783"/>
      <c r="M329" s="2793"/>
      <c r="N329" s="2793"/>
      <c r="O329" s="2793"/>
      <c r="P329" s="2793"/>
      <c r="Q329" s="2793"/>
      <c r="R329" s="2793"/>
      <c r="S329" s="2793"/>
      <c r="T329" s="2793"/>
      <c r="U329" s="2793"/>
      <c r="V329" s="2793"/>
      <c r="W329" s="2793"/>
      <c r="X329" s="2793"/>
      <c r="Y329" s="2793"/>
      <c r="Z329" s="2793"/>
      <c r="AA329" s="2793"/>
      <c r="AB329" s="2793"/>
      <c r="AC329" s="2793"/>
      <c r="AD329" s="2793"/>
      <c r="AE329" s="2793"/>
      <c r="AF329" s="2793"/>
      <c r="AG329" s="2793"/>
      <c r="AH329" s="2794"/>
      <c r="AI329" s="2793"/>
      <c r="AJ329" s="2793"/>
      <c r="AK329" s="2793"/>
      <c r="AL329" s="2793"/>
      <c r="AM329" s="2793"/>
      <c r="AN329" s="2793"/>
      <c r="AO329" s="2793"/>
      <c r="AP329" s="2793"/>
      <c r="AQ329" s="2793"/>
      <c r="AR329" s="2783"/>
      <c r="AS329" s="2783"/>
      <c r="AT329" s="2783"/>
      <c r="AU329" s="2783"/>
      <c r="AV329" s="2730"/>
      <c r="AY329" s="2730"/>
    </row>
    <row r="330" spans="1:51">
      <c r="A330" s="2730"/>
      <c r="E330" s="2730"/>
      <c r="F330" s="2730"/>
      <c r="G330" s="2730"/>
      <c r="H330" s="2730"/>
      <c r="I330" s="2730"/>
      <c r="J330" s="2730"/>
      <c r="K330" s="2783"/>
      <c r="L330" s="2783"/>
      <c r="M330" s="2793"/>
      <c r="N330" s="2793"/>
      <c r="O330" s="2793"/>
      <c r="P330" s="2793"/>
      <c r="Q330" s="2793"/>
      <c r="R330" s="2793"/>
      <c r="S330" s="2793"/>
      <c r="T330" s="2793"/>
      <c r="U330" s="2793"/>
      <c r="V330" s="2793"/>
      <c r="W330" s="2793"/>
      <c r="X330" s="2793"/>
      <c r="Y330" s="2793"/>
      <c r="Z330" s="2793"/>
      <c r="AA330" s="2793"/>
      <c r="AB330" s="2793"/>
      <c r="AC330" s="2793"/>
      <c r="AD330" s="2793"/>
      <c r="AE330" s="2793"/>
      <c r="AF330" s="2793"/>
      <c r="AG330" s="2793"/>
      <c r="AH330" s="2794"/>
      <c r="AI330" s="2793"/>
      <c r="AJ330" s="2793"/>
      <c r="AK330" s="2793"/>
      <c r="AL330" s="2793"/>
      <c r="AM330" s="2793"/>
      <c r="AN330" s="2793"/>
      <c r="AO330" s="2793"/>
      <c r="AP330" s="2793"/>
      <c r="AQ330" s="2793"/>
      <c r="AR330" s="2783"/>
      <c r="AS330" s="2783"/>
      <c r="AT330" s="2783"/>
      <c r="AU330" s="2783"/>
      <c r="AV330" s="2730"/>
      <c r="AY330" s="2730"/>
    </row>
    <row r="331" spans="1:51">
      <c r="A331" s="2730"/>
      <c r="E331" s="2730"/>
      <c r="F331" s="2730"/>
      <c r="G331" s="2730"/>
      <c r="H331" s="2730"/>
      <c r="I331" s="2730"/>
      <c r="J331" s="2730"/>
      <c r="K331" s="2783"/>
      <c r="L331" s="2783"/>
      <c r="M331" s="2793"/>
      <c r="N331" s="2793"/>
      <c r="O331" s="2793"/>
      <c r="P331" s="2793"/>
      <c r="Q331" s="2793"/>
      <c r="R331" s="2793"/>
      <c r="S331" s="2793"/>
      <c r="T331" s="2793"/>
      <c r="U331" s="2793"/>
      <c r="V331" s="2793"/>
      <c r="W331" s="2793"/>
      <c r="X331" s="2793"/>
      <c r="Y331" s="2793"/>
      <c r="Z331" s="2793"/>
      <c r="AA331" s="2793"/>
      <c r="AB331" s="2793"/>
      <c r="AC331" s="2793"/>
      <c r="AD331" s="2793"/>
      <c r="AE331" s="2793"/>
      <c r="AF331" s="2793"/>
      <c r="AG331" s="2793"/>
      <c r="AH331" s="2794"/>
      <c r="AI331" s="2793"/>
      <c r="AJ331" s="2793"/>
      <c r="AK331" s="2793"/>
      <c r="AL331" s="2793"/>
      <c r="AM331" s="2793"/>
      <c r="AN331" s="2793"/>
      <c r="AO331" s="2793"/>
      <c r="AP331" s="2793"/>
      <c r="AQ331" s="2793"/>
      <c r="AR331" s="2783"/>
      <c r="AS331" s="2783"/>
      <c r="AT331" s="2783"/>
      <c r="AU331" s="2783"/>
      <c r="AV331" s="2730"/>
      <c r="AY331" s="2730"/>
    </row>
    <row r="332" spans="1:51">
      <c r="A332" s="2730"/>
      <c r="E332" s="2730"/>
      <c r="F332" s="2730"/>
      <c r="G332" s="2730"/>
      <c r="H332" s="2730"/>
      <c r="I332" s="2730"/>
      <c r="J332" s="2730"/>
      <c r="K332" s="2783"/>
      <c r="L332" s="2783"/>
      <c r="M332" s="2793"/>
      <c r="N332" s="2793"/>
      <c r="O332" s="2793"/>
      <c r="P332" s="2793"/>
      <c r="Q332" s="2793"/>
      <c r="R332" s="2793"/>
      <c r="S332" s="2793"/>
      <c r="T332" s="2793"/>
      <c r="U332" s="2793"/>
      <c r="V332" s="2793"/>
      <c r="W332" s="2793"/>
      <c r="X332" s="2793"/>
      <c r="Y332" s="2793"/>
      <c r="Z332" s="2793"/>
      <c r="AA332" s="2793"/>
      <c r="AB332" s="2793"/>
      <c r="AC332" s="2793"/>
      <c r="AD332" s="2793"/>
      <c r="AE332" s="2793"/>
      <c r="AF332" s="2793"/>
      <c r="AG332" s="2793"/>
      <c r="AH332" s="2794"/>
      <c r="AI332" s="2793"/>
      <c r="AJ332" s="2793"/>
      <c r="AK332" s="2793"/>
      <c r="AL332" s="2793"/>
      <c r="AM332" s="2793"/>
      <c r="AN332" s="2793"/>
      <c r="AO332" s="2793"/>
      <c r="AP332" s="2793"/>
      <c r="AQ332" s="2793"/>
      <c r="AR332" s="2783"/>
      <c r="AS332" s="2783"/>
      <c r="AT332" s="2783"/>
      <c r="AU332" s="2783"/>
      <c r="AV332" s="2730"/>
      <c r="AY332" s="2730"/>
    </row>
    <row r="333" spans="1:51">
      <c r="A333" s="2730"/>
      <c r="E333" s="2730"/>
      <c r="F333" s="2730"/>
      <c r="G333" s="2730"/>
      <c r="H333" s="2730"/>
      <c r="I333" s="2730"/>
      <c r="J333" s="2730"/>
      <c r="K333" s="2783"/>
      <c r="L333" s="2783"/>
      <c r="M333" s="2793"/>
      <c r="N333" s="2793"/>
      <c r="O333" s="2793"/>
      <c r="P333" s="2793"/>
      <c r="Q333" s="2793"/>
      <c r="R333" s="2793"/>
      <c r="S333" s="2793"/>
      <c r="T333" s="2793"/>
      <c r="U333" s="2793"/>
      <c r="V333" s="2793"/>
      <c r="W333" s="2793"/>
      <c r="X333" s="2793"/>
      <c r="Y333" s="2793"/>
      <c r="Z333" s="2793"/>
      <c r="AA333" s="2793"/>
      <c r="AB333" s="2793"/>
      <c r="AC333" s="2793"/>
      <c r="AD333" s="2793"/>
      <c r="AE333" s="2793"/>
      <c r="AF333" s="2793"/>
      <c r="AG333" s="2793"/>
      <c r="AH333" s="2794"/>
      <c r="AI333" s="2793"/>
      <c r="AJ333" s="2793"/>
      <c r="AK333" s="2793"/>
      <c r="AL333" s="2793"/>
      <c r="AM333" s="2793"/>
      <c r="AN333" s="2793"/>
      <c r="AO333" s="2793"/>
      <c r="AP333" s="2793"/>
      <c r="AQ333" s="2793"/>
      <c r="AR333" s="2783"/>
      <c r="AS333" s="2783"/>
      <c r="AT333" s="2783"/>
      <c r="AU333" s="2783"/>
      <c r="AV333" s="2730"/>
      <c r="AY333" s="2730"/>
    </row>
    <row r="334" spans="1:51">
      <c r="A334" s="2730"/>
      <c r="E334" s="2730"/>
      <c r="F334" s="2730"/>
      <c r="G334" s="2730"/>
      <c r="H334" s="2730"/>
      <c r="I334" s="2730"/>
      <c r="J334" s="2730"/>
      <c r="K334" s="2783"/>
      <c r="L334" s="2783"/>
      <c r="M334" s="2793"/>
      <c r="N334" s="2793"/>
      <c r="O334" s="2793"/>
      <c r="P334" s="2793"/>
      <c r="Q334" s="2793"/>
      <c r="R334" s="2793"/>
      <c r="S334" s="2793"/>
      <c r="T334" s="2793"/>
      <c r="U334" s="2793"/>
      <c r="V334" s="2793"/>
      <c r="W334" s="2793"/>
      <c r="X334" s="2793"/>
      <c r="Y334" s="2793"/>
      <c r="Z334" s="2793"/>
      <c r="AA334" s="2793"/>
      <c r="AB334" s="2793"/>
      <c r="AC334" s="2793"/>
      <c r="AD334" s="2793"/>
      <c r="AE334" s="2793"/>
      <c r="AF334" s="2793"/>
      <c r="AG334" s="2793"/>
      <c r="AH334" s="2794"/>
      <c r="AI334" s="2793"/>
      <c r="AJ334" s="2793"/>
      <c r="AK334" s="2793"/>
      <c r="AL334" s="2793"/>
      <c r="AM334" s="2793"/>
      <c r="AN334" s="2793"/>
      <c r="AO334" s="2793"/>
      <c r="AP334" s="2793"/>
      <c r="AQ334" s="2793"/>
      <c r="AR334" s="2783"/>
      <c r="AS334" s="2783"/>
      <c r="AT334" s="2783"/>
      <c r="AU334" s="2783"/>
      <c r="AV334" s="2730"/>
      <c r="AY334" s="2730"/>
    </row>
    <row r="335" spans="1:51">
      <c r="A335" s="2730"/>
      <c r="E335" s="2730"/>
      <c r="F335" s="2730"/>
      <c r="G335" s="2730"/>
      <c r="H335" s="2730"/>
      <c r="I335" s="2730"/>
      <c r="J335" s="2730"/>
      <c r="K335" s="2783"/>
      <c r="L335" s="2783"/>
      <c r="M335" s="2793"/>
      <c r="N335" s="2793"/>
      <c r="O335" s="2793"/>
      <c r="P335" s="2793"/>
      <c r="Q335" s="2793"/>
      <c r="R335" s="2793"/>
      <c r="S335" s="2793"/>
      <c r="T335" s="2793"/>
      <c r="U335" s="2793"/>
      <c r="V335" s="2793"/>
      <c r="W335" s="2793"/>
      <c r="X335" s="2793"/>
      <c r="Y335" s="2793"/>
      <c r="Z335" s="2793"/>
      <c r="AA335" s="2793"/>
      <c r="AB335" s="2793"/>
      <c r="AC335" s="2793"/>
      <c r="AD335" s="2793"/>
      <c r="AE335" s="2793"/>
      <c r="AF335" s="2793"/>
      <c r="AG335" s="2793"/>
      <c r="AH335" s="2794"/>
      <c r="AI335" s="2793"/>
      <c r="AJ335" s="2793"/>
      <c r="AK335" s="2793"/>
      <c r="AL335" s="2793"/>
      <c r="AM335" s="2793"/>
      <c r="AN335" s="2793"/>
      <c r="AO335" s="2793"/>
      <c r="AP335" s="2793"/>
      <c r="AQ335" s="2793"/>
      <c r="AR335" s="2783"/>
      <c r="AS335" s="2783"/>
      <c r="AT335" s="2783"/>
      <c r="AU335" s="2783"/>
      <c r="AV335" s="2730"/>
      <c r="AY335" s="2730"/>
    </row>
    <row r="336" spans="1:51">
      <c r="A336" s="2730"/>
      <c r="E336" s="2730"/>
      <c r="F336" s="2730"/>
      <c r="G336" s="2730"/>
      <c r="H336" s="2730"/>
      <c r="I336" s="2730"/>
      <c r="J336" s="2730"/>
      <c r="K336" s="2783"/>
      <c r="L336" s="2783"/>
      <c r="M336" s="2793"/>
      <c r="N336" s="2793"/>
      <c r="O336" s="2793"/>
      <c r="P336" s="2793"/>
      <c r="Q336" s="2793"/>
      <c r="R336" s="2793"/>
      <c r="S336" s="2793"/>
      <c r="T336" s="2793"/>
      <c r="U336" s="2793"/>
      <c r="V336" s="2793"/>
      <c r="W336" s="2793"/>
      <c r="X336" s="2793"/>
      <c r="Y336" s="2793"/>
      <c r="Z336" s="2793"/>
      <c r="AA336" s="2793"/>
      <c r="AB336" s="2793"/>
      <c r="AC336" s="2793"/>
      <c r="AD336" s="2793"/>
      <c r="AE336" s="2793"/>
      <c r="AF336" s="2793"/>
      <c r="AG336" s="2793"/>
      <c r="AH336" s="2794"/>
      <c r="AI336" s="2793"/>
      <c r="AJ336" s="2793"/>
      <c r="AK336" s="2793"/>
      <c r="AL336" s="2793"/>
      <c r="AM336" s="2793"/>
      <c r="AN336" s="2793"/>
      <c r="AO336" s="2793"/>
      <c r="AP336" s="2793"/>
      <c r="AQ336" s="2793"/>
      <c r="AR336" s="2783"/>
      <c r="AS336" s="2783"/>
      <c r="AT336" s="2783"/>
      <c r="AU336" s="2783"/>
      <c r="AV336" s="2730"/>
      <c r="AY336" s="2730"/>
    </row>
    <row r="337" spans="1:51">
      <c r="A337" s="2730"/>
      <c r="E337" s="2730"/>
      <c r="F337" s="2730"/>
      <c r="G337" s="2730"/>
      <c r="H337" s="2730"/>
      <c r="I337" s="2730"/>
      <c r="J337" s="2730"/>
      <c r="K337" s="2783"/>
      <c r="L337" s="2783"/>
      <c r="M337" s="2793"/>
      <c r="N337" s="2793"/>
      <c r="O337" s="2793"/>
      <c r="P337" s="2793"/>
      <c r="Q337" s="2793"/>
      <c r="R337" s="2793"/>
      <c r="S337" s="2793"/>
      <c r="T337" s="2793"/>
      <c r="U337" s="2793"/>
      <c r="V337" s="2793"/>
      <c r="W337" s="2793"/>
      <c r="X337" s="2793"/>
      <c r="Y337" s="2793"/>
      <c r="Z337" s="2793"/>
      <c r="AA337" s="2793"/>
      <c r="AB337" s="2793"/>
      <c r="AC337" s="2793"/>
      <c r="AD337" s="2793"/>
      <c r="AE337" s="2793"/>
      <c r="AF337" s="2793"/>
      <c r="AG337" s="2793"/>
      <c r="AH337" s="2794"/>
      <c r="AI337" s="2793"/>
      <c r="AJ337" s="2793"/>
      <c r="AK337" s="2793"/>
      <c r="AL337" s="2793"/>
      <c r="AM337" s="2793"/>
      <c r="AN337" s="2793"/>
      <c r="AO337" s="2793"/>
      <c r="AP337" s="2793"/>
      <c r="AQ337" s="2793"/>
      <c r="AR337" s="2783"/>
      <c r="AS337" s="2783"/>
      <c r="AT337" s="2783"/>
      <c r="AU337" s="2783"/>
      <c r="AV337" s="2730"/>
      <c r="AY337" s="2730"/>
    </row>
    <row r="338" spans="1:51">
      <c r="A338" s="2730"/>
      <c r="E338" s="2730"/>
      <c r="F338" s="2730"/>
      <c r="G338" s="2730"/>
      <c r="H338" s="2730"/>
      <c r="I338" s="2730"/>
      <c r="J338" s="2730"/>
      <c r="K338" s="2783"/>
      <c r="L338" s="2783"/>
      <c r="M338" s="2793"/>
      <c r="N338" s="2793"/>
      <c r="O338" s="2793"/>
      <c r="P338" s="2793"/>
      <c r="Q338" s="2793"/>
      <c r="R338" s="2793"/>
      <c r="S338" s="2793"/>
      <c r="T338" s="2793"/>
      <c r="U338" s="2793"/>
      <c r="V338" s="2793"/>
      <c r="W338" s="2793"/>
      <c r="X338" s="2793"/>
      <c r="Y338" s="2793"/>
      <c r="Z338" s="2793"/>
      <c r="AA338" s="2793"/>
      <c r="AB338" s="2793"/>
      <c r="AC338" s="2793"/>
      <c r="AD338" s="2793"/>
      <c r="AE338" s="2793"/>
      <c r="AF338" s="2793"/>
      <c r="AG338" s="2793"/>
      <c r="AH338" s="2794"/>
      <c r="AI338" s="2793"/>
      <c r="AJ338" s="2793"/>
      <c r="AK338" s="2793"/>
      <c r="AL338" s="2793"/>
      <c r="AM338" s="2793"/>
      <c r="AN338" s="2793"/>
      <c r="AO338" s="2793"/>
      <c r="AP338" s="2793"/>
      <c r="AQ338" s="2793"/>
      <c r="AR338" s="2783"/>
      <c r="AS338" s="2783"/>
      <c r="AT338" s="2783"/>
      <c r="AU338" s="2783"/>
      <c r="AV338" s="2730"/>
      <c r="AY338" s="2730"/>
    </row>
    <row r="339" spans="1:51">
      <c r="A339" s="2730"/>
      <c r="E339" s="2730"/>
      <c r="F339" s="2730"/>
      <c r="G339" s="2730"/>
      <c r="H339" s="2730"/>
      <c r="I339" s="2730"/>
      <c r="J339" s="2730"/>
      <c r="K339" s="2783"/>
      <c r="L339" s="2783"/>
      <c r="M339" s="2793"/>
      <c r="N339" s="2793"/>
      <c r="O339" s="2793"/>
      <c r="P339" s="2793"/>
      <c r="Q339" s="2793"/>
      <c r="R339" s="2793"/>
      <c r="S339" s="2793"/>
      <c r="T339" s="2793"/>
      <c r="U339" s="2793"/>
      <c r="V339" s="2793"/>
      <c r="W339" s="2793"/>
      <c r="X339" s="2793"/>
      <c r="Y339" s="2793"/>
      <c r="Z339" s="2793"/>
      <c r="AA339" s="2793"/>
      <c r="AB339" s="2793"/>
      <c r="AC339" s="2793"/>
      <c r="AD339" s="2793"/>
      <c r="AE339" s="2793"/>
      <c r="AF339" s="2793"/>
      <c r="AG339" s="2793"/>
      <c r="AH339" s="2794"/>
      <c r="AI339" s="2793"/>
      <c r="AJ339" s="2793"/>
      <c r="AK339" s="2793"/>
      <c r="AL339" s="2793"/>
      <c r="AM339" s="2793"/>
      <c r="AN339" s="2793"/>
      <c r="AO339" s="2793"/>
      <c r="AP339" s="2793"/>
      <c r="AQ339" s="2793"/>
      <c r="AR339" s="2783"/>
      <c r="AS339" s="2783"/>
      <c r="AT339" s="2783"/>
      <c r="AU339" s="2783"/>
      <c r="AV339" s="2730"/>
      <c r="AY339" s="2730"/>
    </row>
    <row r="340" spans="1:51">
      <c r="A340" s="2730"/>
      <c r="E340" s="2730"/>
      <c r="F340" s="2730"/>
      <c r="G340" s="2730"/>
      <c r="H340" s="2730"/>
      <c r="I340" s="2730"/>
      <c r="J340" s="2730"/>
      <c r="K340" s="2783"/>
      <c r="L340" s="2783"/>
      <c r="M340" s="2793"/>
      <c r="N340" s="2793"/>
      <c r="O340" s="2793"/>
      <c r="P340" s="2793"/>
      <c r="Q340" s="2793"/>
      <c r="R340" s="2793"/>
      <c r="S340" s="2793"/>
      <c r="T340" s="2793"/>
      <c r="U340" s="2793"/>
      <c r="V340" s="2793"/>
      <c r="W340" s="2793"/>
      <c r="X340" s="2793"/>
      <c r="Y340" s="2793"/>
      <c r="Z340" s="2793"/>
      <c r="AA340" s="2793"/>
      <c r="AB340" s="2793"/>
      <c r="AC340" s="2793"/>
      <c r="AD340" s="2793"/>
      <c r="AE340" s="2793"/>
      <c r="AF340" s="2793"/>
      <c r="AG340" s="2793"/>
      <c r="AH340" s="2794"/>
      <c r="AI340" s="2793"/>
      <c r="AJ340" s="2793"/>
      <c r="AK340" s="2793"/>
      <c r="AL340" s="2793"/>
      <c r="AM340" s="2793"/>
      <c r="AN340" s="2793"/>
      <c r="AO340" s="2793"/>
      <c r="AP340" s="2793"/>
      <c r="AQ340" s="2793"/>
      <c r="AR340" s="2783"/>
      <c r="AS340" s="2783"/>
      <c r="AT340" s="2783"/>
      <c r="AU340" s="2783"/>
      <c r="AV340" s="2730"/>
      <c r="AY340" s="2730"/>
    </row>
    <row r="341" spans="1:51">
      <c r="A341" s="2730"/>
      <c r="E341" s="2730"/>
      <c r="F341" s="2730"/>
      <c r="G341" s="2730"/>
      <c r="H341" s="2730"/>
      <c r="I341" s="2730"/>
      <c r="J341" s="2730"/>
      <c r="K341" s="2783"/>
      <c r="L341" s="2783"/>
      <c r="M341" s="2793"/>
      <c r="N341" s="2793"/>
      <c r="O341" s="2793"/>
      <c r="P341" s="2793"/>
      <c r="Q341" s="2793"/>
      <c r="R341" s="2793"/>
      <c r="S341" s="2793"/>
      <c r="T341" s="2793"/>
      <c r="U341" s="2793"/>
      <c r="V341" s="2793"/>
      <c r="W341" s="2793"/>
      <c r="X341" s="2793"/>
      <c r="Y341" s="2793"/>
      <c r="Z341" s="2793"/>
      <c r="AA341" s="2793"/>
      <c r="AB341" s="2793"/>
      <c r="AC341" s="2793"/>
      <c r="AD341" s="2793"/>
      <c r="AE341" s="2793"/>
      <c r="AF341" s="2793"/>
      <c r="AG341" s="2793"/>
      <c r="AH341" s="2794"/>
      <c r="AI341" s="2793"/>
      <c r="AJ341" s="2793"/>
      <c r="AK341" s="2793"/>
      <c r="AL341" s="2793"/>
      <c r="AM341" s="2793"/>
      <c r="AN341" s="2793"/>
      <c r="AO341" s="2793"/>
      <c r="AP341" s="2793"/>
      <c r="AQ341" s="2793"/>
      <c r="AR341" s="2783"/>
      <c r="AS341" s="2783"/>
      <c r="AT341" s="2783"/>
      <c r="AU341" s="2783"/>
      <c r="AV341" s="2730"/>
      <c r="AY341" s="2730"/>
    </row>
    <row r="342" spans="1:51">
      <c r="A342" s="2730"/>
      <c r="E342" s="2730"/>
      <c r="F342" s="2730"/>
      <c r="G342" s="2730"/>
      <c r="H342" s="2730"/>
      <c r="I342" s="2730"/>
      <c r="J342" s="2730"/>
      <c r="K342" s="2783"/>
      <c r="L342" s="2783"/>
      <c r="M342" s="2793"/>
      <c r="N342" s="2793"/>
      <c r="O342" s="2793"/>
      <c r="P342" s="2793"/>
      <c r="Q342" s="2793"/>
      <c r="R342" s="2793"/>
      <c r="S342" s="2793"/>
      <c r="T342" s="2793"/>
      <c r="U342" s="2793"/>
      <c r="V342" s="2793"/>
      <c r="W342" s="2793"/>
      <c r="X342" s="2793"/>
      <c r="Y342" s="2793"/>
      <c r="Z342" s="2793"/>
      <c r="AA342" s="2793"/>
      <c r="AB342" s="2793"/>
      <c r="AC342" s="2793"/>
      <c r="AD342" s="2793"/>
      <c r="AE342" s="2793"/>
      <c r="AF342" s="2793"/>
      <c r="AG342" s="2793"/>
      <c r="AH342" s="2794"/>
      <c r="AI342" s="2793"/>
      <c r="AJ342" s="2793"/>
      <c r="AK342" s="2793"/>
      <c r="AL342" s="2793"/>
      <c r="AM342" s="2793"/>
      <c r="AN342" s="2793"/>
      <c r="AO342" s="2793"/>
      <c r="AP342" s="2793"/>
      <c r="AQ342" s="2793"/>
      <c r="AR342" s="2783"/>
      <c r="AS342" s="2783"/>
      <c r="AT342" s="2783"/>
      <c r="AU342" s="2783"/>
      <c r="AV342" s="2730"/>
      <c r="AY342" s="2730"/>
    </row>
    <row r="343" spans="1:51">
      <c r="A343" s="2730"/>
      <c r="E343" s="2730"/>
      <c r="F343" s="2730"/>
      <c r="G343" s="2730"/>
      <c r="H343" s="2730"/>
      <c r="I343" s="2730"/>
      <c r="J343" s="2730"/>
      <c r="K343" s="2783"/>
      <c r="L343" s="2783"/>
      <c r="M343" s="2793"/>
      <c r="N343" s="2793"/>
      <c r="O343" s="2793"/>
      <c r="P343" s="2793"/>
      <c r="Q343" s="2793"/>
      <c r="R343" s="2793"/>
      <c r="S343" s="2793"/>
      <c r="T343" s="2793"/>
      <c r="U343" s="2793"/>
      <c r="V343" s="2793"/>
      <c r="W343" s="2793"/>
      <c r="X343" s="2793"/>
      <c r="Y343" s="2793"/>
      <c r="Z343" s="2793"/>
      <c r="AA343" s="2793"/>
      <c r="AB343" s="2793"/>
      <c r="AC343" s="2793"/>
      <c r="AD343" s="2793"/>
      <c r="AE343" s="2793"/>
      <c r="AF343" s="2793"/>
      <c r="AG343" s="2793"/>
      <c r="AH343" s="2794"/>
      <c r="AI343" s="2793"/>
      <c r="AJ343" s="2793"/>
      <c r="AK343" s="2793"/>
      <c r="AL343" s="2793"/>
      <c r="AM343" s="2793"/>
      <c r="AN343" s="2793"/>
      <c r="AO343" s="2793"/>
      <c r="AP343" s="2793"/>
      <c r="AQ343" s="2793"/>
      <c r="AR343" s="2783"/>
      <c r="AS343" s="2783"/>
      <c r="AT343" s="2783"/>
      <c r="AU343" s="2783"/>
      <c r="AV343" s="2730"/>
      <c r="AY343" s="2730"/>
    </row>
    <row r="344" spans="1:51">
      <c r="A344" s="2730"/>
      <c r="E344" s="2730"/>
      <c r="F344" s="2730"/>
      <c r="G344" s="2730"/>
      <c r="H344" s="2730"/>
      <c r="I344" s="2730"/>
      <c r="J344" s="2730"/>
      <c r="K344" s="2783"/>
      <c r="L344" s="2783"/>
      <c r="M344" s="2793"/>
      <c r="N344" s="2793"/>
      <c r="O344" s="2793"/>
      <c r="P344" s="2793"/>
      <c r="Q344" s="2793"/>
      <c r="R344" s="2793"/>
      <c r="S344" s="2793"/>
      <c r="T344" s="2793"/>
      <c r="U344" s="2793"/>
      <c r="V344" s="2793"/>
      <c r="W344" s="2793"/>
      <c r="X344" s="2793"/>
      <c r="Y344" s="2793"/>
      <c r="Z344" s="2793"/>
      <c r="AA344" s="2793"/>
      <c r="AB344" s="2793"/>
      <c r="AC344" s="2793"/>
      <c r="AD344" s="2793"/>
      <c r="AE344" s="2793"/>
      <c r="AF344" s="2793"/>
      <c r="AG344" s="2793"/>
      <c r="AH344" s="2794"/>
      <c r="AI344" s="2793"/>
      <c r="AJ344" s="2793"/>
      <c r="AK344" s="2793"/>
      <c r="AL344" s="2793"/>
      <c r="AM344" s="2793"/>
      <c r="AN344" s="2793"/>
      <c r="AO344" s="2793"/>
      <c r="AP344" s="2793"/>
      <c r="AQ344" s="2793"/>
      <c r="AR344" s="2783"/>
      <c r="AS344" s="2783"/>
      <c r="AT344" s="2783"/>
      <c r="AU344" s="2783"/>
      <c r="AV344" s="2730"/>
      <c r="AY344" s="2730"/>
    </row>
    <row r="345" spans="1:51">
      <c r="A345" s="2730"/>
      <c r="E345" s="2730"/>
      <c r="F345" s="2730"/>
      <c r="G345" s="2730"/>
      <c r="H345" s="2730"/>
      <c r="I345" s="2730"/>
      <c r="J345" s="2730"/>
      <c r="K345" s="2783"/>
      <c r="L345" s="2783"/>
      <c r="M345" s="2793"/>
      <c r="N345" s="2793"/>
      <c r="O345" s="2793"/>
      <c r="P345" s="2793"/>
      <c r="Q345" s="2793"/>
      <c r="R345" s="2793"/>
      <c r="S345" s="2793"/>
      <c r="T345" s="2793"/>
      <c r="U345" s="2793"/>
      <c r="V345" s="2793"/>
      <c r="W345" s="2793"/>
      <c r="X345" s="2793"/>
      <c r="Y345" s="2793"/>
      <c r="Z345" s="2793"/>
      <c r="AA345" s="2793"/>
      <c r="AB345" s="2793"/>
      <c r="AC345" s="2793"/>
      <c r="AD345" s="2793"/>
      <c r="AE345" s="2793"/>
      <c r="AF345" s="2793"/>
      <c r="AG345" s="2793"/>
      <c r="AH345" s="2794"/>
      <c r="AI345" s="2793"/>
      <c r="AJ345" s="2793"/>
      <c r="AK345" s="2793"/>
      <c r="AL345" s="2793"/>
      <c r="AM345" s="2793"/>
      <c r="AN345" s="2793"/>
      <c r="AO345" s="2793"/>
      <c r="AP345" s="2793"/>
      <c r="AQ345" s="2793"/>
      <c r="AR345" s="2783"/>
      <c r="AS345" s="2783"/>
      <c r="AT345" s="2783"/>
      <c r="AU345" s="2783"/>
      <c r="AV345" s="2730"/>
      <c r="AY345" s="2730"/>
    </row>
    <row r="346" spans="1:51">
      <c r="A346" s="2730"/>
      <c r="E346" s="2730"/>
      <c r="F346" s="2730"/>
      <c r="G346" s="2730"/>
      <c r="H346" s="2730"/>
      <c r="I346" s="2730"/>
      <c r="J346" s="2730"/>
      <c r="K346" s="2783"/>
      <c r="L346" s="2783"/>
      <c r="M346" s="2793"/>
      <c r="N346" s="2793"/>
      <c r="O346" s="2793"/>
      <c r="P346" s="2793"/>
      <c r="Q346" s="2793"/>
      <c r="R346" s="2793"/>
      <c r="S346" s="2793"/>
      <c r="T346" s="2793"/>
      <c r="U346" s="2793"/>
      <c r="V346" s="2793"/>
      <c r="W346" s="2793"/>
      <c r="X346" s="2793"/>
      <c r="Y346" s="2793"/>
      <c r="Z346" s="2793"/>
      <c r="AA346" s="2793"/>
      <c r="AB346" s="2793"/>
      <c r="AC346" s="2793"/>
      <c r="AD346" s="2793"/>
      <c r="AE346" s="2793"/>
      <c r="AF346" s="2793"/>
      <c r="AG346" s="2793"/>
      <c r="AH346" s="2794"/>
      <c r="AI346" s="2793"/>
      <c r="AJ346" s="2793"/>
      <c r="AK346" s="2793"/>
      <c r="AL346" s="2793"/>
      <c r="AM346" s="2793"/>
      <c r="AN346" s="2793"/>
      <c r="AO346" s="2793"/>
      <c r="AP346" s="2793"/>
      <c r="AQ346" s="2793"/>
      <c r="AR346" s="2783"/>
      <c r="AS346" s="2783"/>
      <c r="AT346" s="2783"/>
      <c r="AU346" s="2783"/>
      <c r="AV346" s="2730"/>
      <c r="AY346" s="2730"/>
    </row>
    <row r="347" spans="1:51">
      <c r="A347" s="2730"/>
      <c r="E347" s="2730"/>
      <c r="F347" s="2730"/>
      <c r="G347" s="2730"/>
      <c r="H347" s="2730"/>
      <c r="I347" s="2730"/>
      <c r="J347" s="2730"/>
      <c r="K347" s="2783"/>
      <c r="L347" s="2783"/>
      <c r="M347" s="2793"/>
      <c r="N347" s="2793"/>
      <c r="O347" s="2793"/>
      <c r="P347" s="2793"/>
      <c r="Q347" s="2793"/>
      <c r="R347" s="2793"/>
      <c r="S347" s="2793"/>
      <c r="T347" s="2793"/>
      <c r="U347" s="2793"/>
      <c r="V347" s="2793"/>
      <c r="W347" s="2793"/>
      <c r="X347" s="2793"/>
      <c r="Y347" s="2793"/>
      <c r="Z347" s="2793"/>
      <c r="AA347" s="2793"/>
      <c r="AB347" s="2793"/>
      <c r="AC347" s="2793"/>
      <c r="AD347" s="2793"/>
      <c r="AE347" s="2793"/>
      <c r="AF347" s="2793"/>
      <c r="AG347" s="2793"/>
      <c r="AH347" s="2794"/>
      <c r="AI347" s="2793"/>
      <c r="AJ347" s="2793"/>
      <c r="AK347" s="2793"/>
      <c r="AL347" s="2793"/>
      <c r="AM347" s="2793"/>
      <c r="AN347" s="2793"/>
      <c r="AO347" s="2793"/>
      <c r="AP347" s="2793"/>
      <c r="AQ347" s="2793"/>
      <c r="AR347" s="2783"/>
      <c r="AS347" s="2783"/>
      <c r="AT347" s="2783"/>
      <c r="AU347" s="2783"/>
      <c r="AV347" s="2730"/>
      <c r="AY347" s="2730"/>
    </row>
    <row r="348" spans="1:51">
      <c r="A348" s="2730"/>
      <c r="E348" s="2730"/>
      <c r="F348" s="2730"/>
      <c r="G348" s="2730"/>
      <c r="H348" s="2730"/>
      <c r="I348" s="2730"/>
      <c r="J348" s="2730"/>
      <c r="K348" s="2783"/>
      <c r="L348" s="2783"/>
      <c r="M348" s="2793"/>
      <c r="N348" s="2793"/>
      <c r="O348" s="2793"/>
      <c r="P348" s="2793"/>
      <c r="Q348" s="2793"/>
      <c r="R348" s="2793"/>
      <c r="S348" s="2793"/>
      <c r="T348" s="2793"/>
      <c r="U348" s="2793"/>
      <c r="V348" s="2793"/>
      <c r="W348" s="2793"/>
      <c r="X348" s="2793"/>
      <c r="Y348" s="2793"/>
      <c r="Z348" s="2793"/>
      <c r="AA348" s="2793"/>
      <c r="AB348" s="2793"/>
      <c r="AC348" s="2793"/>
      <c r="AD348" s="2793"/>
      <c r="AE348" s="2793"/>
      <c r="AF348" s="2793"/>
      <c r="AG348" s="2793"/>
      <c r="AH348" s="2794"/>
      <c r="AI348" s="2793"/>
      <c r="AJ348" s="2793"/>
      <c r="AK348" s="2793"/>
      <c r="AL348" s="2793"/>
      <c r="AM348" s="2793"/>
      <c r="AN348" s="2793"/>
      <c r="AO348" s="2793"/>
      <c r="AP348" s="2793"/>
      <c r="AQ348" s="2793"/>
      <c r="AR348" s="2783"/>
      <c r="AS348" s="2783"/>
      <c r="AT348" s="2783"/>
      <c r="AU348" s="2783"/>
      <c r="AV348" s="2730"/>
      <c r="AY348" s="2730"/>
    </row>
    <row r="349" spans="1:51">
      <c r="A349" s="2730"/>
      <c r="E349" s="2730"/>
      <c r="F349" s="2730"/>
      <c r="G349" s="2730"/>
      <c r="H349" s="2730"/>
      <c r="I349" s="2730"/>
      <c r="J349" s="2730"/>
      <c r="K349" s="2783"/>
      <c r="L349" s="2783"/>
      <c r="M349" s="2793"/>
      <c r="N349" s="2793"/>
      <c r="O349" s="2793"/>
      <c r="P349" s="2793"/>
      <c r="Q349" s="2793"/>
      <c r="R349" s="2793"/>
      <c r="S349" s="2793"/>
      <c r="T349" s="2793"/>
      <c r="U349" s="2793"/>
      <c r="V349" s="2793"/>
      <c r="W349" s="2793"/>
      <c r="X349" s="2793"/>
      <c r="Y349" s="2793"/>
      <c r="Z349" s="2793"/>
      <c r="AA349" s="2793"/>
      <c r="AB349" s="2793"/>
      <c r="AC349" s="2793"/>
      <c r="AD349" s="2793"/>
      <c r="AE349" s="2793"/>
      <c r="AF349" s="2793"/>
      <c r="AG349" s="2793"/>
      <c r="AH349" s="2794"/>
      <c r="AI349" s="2793"/>
      <c r="AJ349" s="2793"/>
      <c r="AK349" s="2793"/>
      <c r="AL349" s="2793"/>
      <c r="AM349" s="2793"/>
      <c r="AN349" s="2793"/>
      <c r="AO349" s="2793"/>
      <c r="AP349" s="2793"/>
      <c r="AQ349" s="2793"/>
      <c r="AR349" s="2783"/>
      <c r="AS349" s="2783"/>
      <c r="AT349" s="2783"/>
      <c r="AU349" s="2783"/>
      <c r="AV349" s="2730"/>
      <c r="AY349" s="2730"/>
    </row>
    <row r="350" spans="1:51">
      <c r="A350" s="2730"/>
      <c r="E350" s="2730"/>
      <c r="F350" s="2730"/>
      <c r="G350" s="2730"/>
      <c r="H350" s="2730"/>
      <c r="I350" s="2730"/>
      <c r="J350" s="2730"/>
      <c r="K350" s="2783"/>
      <c r="L350" s="2783"/>
      <c r="M350" s="2793"/>
      <c r="N350" s="2793"/>
      <c r="O350" s="2793"/>
      <c r="P350" s="2793"/>
      <c r="Q350" s="2793"/>
      <c r="R350" s="2793"/>
      <c r="S350" s="2793"/>
      <c r="T350" s="2793"/>
      <c r="U350" s="2793"/>
      <c r="V350" s="2793"/>
      <c r="W350" s="2793"/>
      <c r="X350" s="2793"/>
      <c r="Y350" s="2793"/>
      <c r="Z350" s="2793"/>
      <c r="AA350" s="2793"/>
      <c r="AB350" s="2793"/>
      <c r="AC350" s="2793"/>
      <c r="AD350" s="2793"/>
      <c r="AE350" s="2793"/>
      <c r="AF350" s="2793"/>
      <c r="AG350" s="2793"/>
      <c r="AH350" s="2794"/>
      <c r="AI350" s="2793"/>
      <c r="AJ350" s="2793"/>
      <c r="AK350" s="2793"/>
      <c r="AL350" s="2793"/>
      <c r="AM350" s="2793"/>
      <c r="AN350" s="2793"/>
      <c r="AO350" s="2793"/>
      <c r="AP350" s="2793"/>
      <c r="AQ350" s="2793"/>
      <c r="AR350" s="2783"/>
      <c r="AS350" s="2783"/>
      <c r="AT350" s="2783"/>
      <c r="AU350" s="2783"/>
      <c r="AV350" s="2730"/>
      <c r="AY350" s="2730"/>
    </row>
    <row r="351" spans="1:51">
      <c r="A351" s="2730"/>
      <c r="E351" s="2730"/>
      <c r="F351" s="2730"/>
      <c r="G351" s="2730"/>
      <c r="H351" s="2730"/>
      <c r="I351" s="2730"/>
      <c r="J351" s="2730"/>
      <c r="K351" s="2783"/>
      <c r="L351" s="2783"/>
      <c r="M351" s="2793"/>
      <c r="N351" s="2793"/>
      <c r="O351" s="2793"/>
      <c r="P351" s="2793"/>
      <c r="Q351" s="2793"/>
      <c r="R351" s="2793"/>
      <c r="S351" s="2793"/>
      <c r="T351" s="2793"/>
      <c r="U351" s="2793"/>
      <c r="V351" s="2793"/>
      <c r="W351" s="2793"/>
      <c r="X351" s="2793"/>
      <c r="Y351" s="2793"/>
      <c r="Z351" s="2793"/>
      <c r="AA351" s="2793"/>
      <c r="AB351" s="2793"/>
      <c r="AC351" s="2793"/>
      <c r="AD351" s="2793"/>
      <c r="AE351" s="2793"/>
      <c r="AF351" s="2793"/>
      <c r="AG351" s="2793"/>
      <c r="AH351" s="2794"/>
      <c r="AI351" s="2793"/>
      <c r="AJ351" s="2793"/>
      <c r="AK351" s="2793"/>
      <c r="AL351" s="2793"/>
      <c r="AM351" s="2793"/>
      <c r="AN351" s="2793"/>
      <c r="AO351" s="2793"/>
      <c r="AP351" s="2793"/>
      <c r="AQ351" s="2793"/>
      <c r="AR351" s="2783"/>
      <c r="AS351" s="2783"/>
      <c r="AT351" s="2783"/>
      <c r="AU351" s="2783"/>
      <c r="AV351" s="2730"/>
      <c r="AY351" s="2730"/>
    </row>
    <row r="352" spans="1:51">
      <c r="A352" s="2730"/>
      <c r="E352" s="2730"/>
      <c r="F352" s="2730"/>
      <c r="G352" s="2730"/>
      <c r="H352" s="2730"/>
      <c r="I352" s="2730"/>
      <c r="J352" s="2730"/>
      <c r="K352" s="2783"/>
      <c r="L352" s="2783"/>
      <c r="M352" s="2793"/>
      <c r="N352" s="2793"/>
      <c r="O352" s="2793"/>
      <c r="P352" s="2793"/>
      <c r="Q352" s="2793"/>
      <c r="R352" s="2793"/>
      <c r="S352" s="2793"/>
      <c r="T352" s="2793"/>
      <c r="U352" s="2793"/>
      <c r="V352" s="2793"/>
      <c r="W352" s="2793"/>
      <c r="X352" s="2793"/>
      <c r="Y352" s="2793"/>
      <c r="Z352" s="2793"/>
      <c r="AA352" s="2793"/>
      <c r="AB352" s="2793"/>
      <c r="AC352" s="2793"/>
      <c r="AD352" s="2793"/>
      <c r="AE352" s="2793"/>
      <c r="AF352" s="2793"/>
      <c r="AG352" s="2793"/>
      <c r="AH352" s="2794"/>
      <c r="AI352" s="2793"/>
      <c r="AJ352" s="2793"/>
      <c r="AK352" s="2793"/>
      <c r="AL352" s="2793"/>
      <c r="AM352" s="2793"/>
      <c r="AN352" s="2793"/>
      <c r="AO352" s="2793"/>
      <c r="AP352" s="2793"/>
      <c r="AQ352" s="2793"/>
      <c r="AR352" s="2783"/>
      <c r="AS352" s="2783"/>
      <c r="AT352" s="2783"/>
      <c r="AU352" s="2783"/>
      <c r="AV352" s="2730"/>
      <c r="AY352" s="2730"/>
    </row>
    <row r="353" spans="1:51">
      <c r="A353" s="2730"/>
      <c r="E353" s="2730"/>
      <c r="F353" s="2730"/>
      <c r="G353" s="2730"/>
      <c r="H353" s="2730"/>
      <c r="I353" s="2730"/>
      <c r="J353" s="2730"/>
      <c r="K353" s="2783"/>
      <c r="L353" s="2783"/>
      <c r="M353" s="2793"/>
      <c r="N353" s="2793"/>
      <c r="O353" s="2793"/>
      <c r="P353" s="2793"/>
      <c r="Q353" s="2793"/>
      <c r="R353" s="2793"/>
      <c r="S353" s="2793"/>
      <c r="T353" s="2793"/>
      <c r="U353" s="2793"/>
      <c r="V353" s="2793"/>
      <c r="W353" s="2793"/>
      <c r="X353" s="2793"/>
      <c r="Y353" s="2793"/>
      <c r="Z353" s="2793"/>
      <c r="AA353" s="2793"/>
      <c r="AB353" s="2793"/>
      <c r="AC353" s="2793"/>
      <c r="AD353" s="2793"/>
      <c r="AE353" s="2793"/>
      <c r="AF353" s="2793"/>
      <c r="AG353" s="2793"/>
      <c r="AH353" s="2794"/>
      <c r="AI353" s="2793"/>
      <c r="AJ353" s="2793"/>
      <c r="AK353" s="2793"/>
      <c r="AL353" s="2793"/>
      <c r="AM353" s="2793"/>
      <c r="AN353" s="2793"/>
      <c r="AO353" s="2793"/>
      <c r="AP353" s="2793"/>
      <c r="AQ353" s="2793"/>
      <c r="AR353" s="2783"/>
      <c r="AS353" s="2783"/>
      <c r="AT353" s="2783"/>
      <c r="AU353" s="2783"/>
      <c r="AV353" s="2730"/>
      <c r="AY353" s="2730"/>
    </row>
    <row r="354" spans="1:51">
      <c r="A354" s="2730"/>
      <c r="E354" s="2730"/>
      <c r="F354" s="2730"/>
      <c r="G354" s="2730"/>
      <c r="H354" s="2730"/>
      <c r="I354" s="2730"/>
      <c r="J354" s="2730"/>
      <c r="K354" s="2783"/>
      <c r="L354" s="2783"/>
      <c r="M354" s="2793"/>
      <c r="N354" s="2793"/>
      <c r="O354" s="2793"/>
      <c r="P354" s="2793"/>
      <c r="Q354" s="2793"/>
      <c r="R354" s="2793"/>
      <c r="S354" s="2793"/>
      <c r="T354" s="2793"/>
      <c r="U354" s="2793"/>
      <c r="V354" s="2793"/>
      <c r="W354" s="2793"/>
      <c r="X354" s="2793"/>
      <c r="Y354" s="2793"/>
      <c r="Z354" s="2793"/>
      <c r="AA354" s="2793"/>
      <c r="AB354" s="2793"/>
      <c r="AC354" s="2793"/>
      <c r="AD354" s="2793"/>
      <c r="AE354" s="2793"/>
      <c r="AF354" s="2793"/>
      <c r="AG354" s="2793"/>
      <c r="AH354" s="2794"/>
      <c r="AI354" s="2793"/>
      <c r="AJ354" s="2793"/>
      <c r="AK354" s="2793"/>
      <c r="AL354" s="2793"/>
      <c r="AM354" s="2793"/>
      <c r="AN354" s="2793"/>
      <c r="AO354" s="2793"/>
      <c r="AP354" s="2793"/>
      <c r="AQ354" s="2793"/>
      <c r="AR354" s="2783"/>
      <c r="AS354" s="2783"/>
      <c r="AT354" s="2783"/>
      <c r="AU354" s="2783"/>
      <c r="AV354" s="2730"/>
      <c r="AY354" s="2730"/>
    </row>
    <row r="355" spans="1:51">
      <c r="A355" s="2730"/>
      <c r="E355" s="2730"/>
      <c r="F355" s="2730"/>
      <c r="G355" s="2730"/>
      <c r="H355" s="2730"/>
      <c r="I355" s="2730"/>
      <c r="J355" s="2730"/>
      <c r="K355" s="2783"/>
      <c r="L355" s="2783"/>
      <c r="M355" s="2793"/>
      <c r="N355" s="2793"/>
      <c r="O355" s="2793"/>
      <c r="P355" s="2793"/>
      <c r="Q355" s="2793"/>
      <c r="R355" s="2793"/>
      <c r="S355" s="2793"/>
      <c r="T355" s="2793"/>
      <c r="U355" s="2793"/>
      <c r="V355" s="2793"/>
      <c r="W355" s="2793"/>
      <c r="X355" s="2793"/>
      <c r="Y355" s="2793"/>
      <c r="Z355" s="2793"/>
      <c r="AA355" s="2793"/>
      <c r="AB355" s="2793"/>
      <c r="AC355" s="2793"/>
      <c r="AD355" s="2793"/>
      <c r="AE355" s="2793"/>
      <c r="AF355" s="2793"/>
      <c r="AG355" s="2793"/>
      <c r="AH355" s="2794"/>
      <c r="AI355" s="2793"/>
      <c r="AJ355" s="2793"/>
      <c r="AK355" s="2793"/>
      <c r="AL355" s="2793"/>
      <c r="AM355" s="2793"/>
      <c r="AN355" s="2793"/>
      <c r="AO355" s="2793"/>
      <c r="AP355" s="2793"/>
      <c r="AQ355" s="2793"/>
      <c r="AR355" s="2783"/>
      <c r="AS355" s="2783"/>
      <c r="AT355" s="2783"/>
      <c r="AU355" s="2783"/>
      <c r="AV355" s="2730"/>
      <c r="AY355" s="2730"/>
    </row>
    <row r="356" spans="1:51">
      <c r="A356" s="2730"/>
      <c r="E356" s="2730"/>
      <c r="F356" s="2730"/>
      <c r="G356" s="2730"/>
      <c r="H356" s="2730"/>
      <c r="I356" s="2730"/>
      <c r="J356" s="2730"/>
      <c r="K356" s="2783"/>
      <c r="L356" s="2783"/>
      <c r="M356" s="2793"/>
      <c r="N356" s="2793"/>
      <c r="O356" s="2793"/>
      <c r="P356" s="2793"/>
      <c r="Q356" s="2793"/>
      <c r="R356" s="2793"/>
      <c r="S356" s="2793"/>
      <c r="T356" s="2793"/>
      <c r="U356" s="2793"/>
      <c r="V356" s="2793"/>
      <c r="W356" s="2793"/>
      <c r="X356" s="2793"/>
      <c r="Y356" s="2793"/>
      <c r="Z356" s="2793"/>
      <c r="AA356" s="2793"/>
      <c r="AB356" s="2793"/>
      <c r="AC356" s="2793"/>
      <c r="AD356" s="2793"/>
      <c r="AE356" s="2793"/>
      <c r="AF356" s="2793"/>
      <c r="AG356" s="2793"/>
      <c r="AH356" s="2794"/>
      <c r="AI356" s="2793"/>
      <c r="AJ356" s="2793"/>
      <c r="AK356" s="2793"/>
      <c r="AL356" s="2793"/>
      <c r="AM356" s="2793"/>
      <c r="AN356" s="2793"/>
      <c r="AO356" s="2793"/>
      <c r="AP356" s="2793"/>
      <c r="AQ356" s="2793"/>
      <c r="AR356" s="2783"/>
      <c r="AS356" s="2783"/>
      <c r="AT356" s="2783"/>
      <c r="AU356" s="2783"/>
      <c r="AV356" s="2730"/>
      <c r="AY356" s="2730"/>
    </row>
    <row r="357" spans="1:51">
      <c r="A357" s="2730"/>
      <c r="E357" s="2730"/>
      <c r="F357" s="2730"/>
      <c r="G357" s="2730"/>
      <c r="H357" s="2730"/>
      <c r="I357" s="2730"/>
      <c r="J357" s="2730"/>
      <c r="K357" s="2783"/>
      <c r="L357" s="2783"/>
      <c r="M357" s="2793"/>
      <c r="N357" s="2793"/>
      <c r="O357" s="2793"/>
      <c r="P357" s="2793"/>
      <c r="Q357" s="2793"/>
      <c r="R357" s="2793"/>
      <c r="S357" s="2793"/>
      <c r="T357" s="2793"/>
      <c r="U357" s="2793"/>
      <c r="V357" s="2793"/>
      <c r="W357" s="2793"/>
      <c r="X357" s="2793"/>
      <c r="Y357" s="2793"/>
      <c r="Z357" s="2793"/>
      <c r="AA357" s="2793"/>
      <c r="AB357" s="2793"/>
      <c r="AC357" s="2793"/>
      <c r="AD357" s="2793"/>
      <c r="AE357" s="2793"/>
      <c r="AF357" s="2793"/>
      <c r="AG357" s="2793"/>
      <c r="AH357" s="2794"/>
      <c r="AI357" s="2793"/>
      <c r="AJ357" s="2793"/>
      <c r="AK357" s="2793"/>
      <c r="AL357" s="2793"/>
      <c r="AM357" s="2793"/>
      <c r="AN357" s="2793"/>
      <c r="AO357" s="2793"/>
      <c r="AP357" s="2793"/>
      <c r="AQ357" s="2793"/>
      <c r="AR357" s="2783"/>
      <c r="AS357" s="2783"/>
      <c r="AT357" s="2783"/>
      <c r="AU357" s="2783"/>
      <c r="AV357" s="2730"/>
      <c r="AY357" s="2730"/>
    </row>
    <row r="358" spans="1:51">
      <c r="A358" s="2730"/>
      <c r="E358" s="2730"/>
      <c r="F358" s="2730"/>
      <c r="G358" s="2730"/>
      <c r="H358" s="2730"/>
      <c r="I358" s="2730"/>
      <c r="J358" s="2730"/>
      <c r="K358" s="2783"/>
      <c r="L358" s="2783"/>
      <c r="M358" s="2793"/>
      <c r="N358" s="2793"/>
      <c r="O358" s="2793"/>
      <c r="P358" s="2793"/>
      <c r="Q358" s="2793"/>
      <c r="R358" s="2793"/>
      <c r="S358" s="2793"/>
      <c r="T358" s="2793"/>
      <c r="U358" s="2793"/>
      <c r="V358" s="2793"/>
      <c r="W358" s="2793"/>
      <c r="X358" s="2793"/>
      <c r="Y358" s="2793"/>
      <c r="Z358" s="2793"/>
      <c r="AA358" s="2793"/>
      <c r="AB358" s="2793"/>
      <c r="AC358" s="2793"/>
      <c r="AD358" s="2793"/>
      <c r="AE358" s="2793"/>
      <c r="AF358" s="2793"/>
      <c r="AG358" s="2793"/>
      <c r="AH358" s="2794"/>
      <c r="AI358" s="2793"/>
      <c r="AJ358" s="2793"/>
      <c r="AK358" s="2793"/>
      <c r="AL358" s="2793"/>
      <c r="AM358" s="2793"/>
      <c r="AN358" s="2793"/>
      <c r="AO358" s="2793"/>
      <c r="AP358" s="2793"/>
      <c r="AQ358" s="2793"/>
      <c r="AR358" s="2783"/>
      <c r="AS358" s="2783"/>
      <c r="AT358" s="2783"/>
      <c r="AU358" s="2783"/>
      <c r="AV358" s="2730"/>
      <c r="AY358" s="2730"/>
    </row>
    <row r="359" spans="1:51">
      <c r="A359" s="2730"/>
      <c r="E359" s="2730"/>
      <c r="F359" s="2730"/>
      <c r="G359" s="2730"/>
      <c r="H359" s="2730"/>
      <c r="I359" s="2730"/>
      <c r="J359" s="2730"/>
      <c r="K359" s="2783"/>
      <c r="L359" s="2783"/>
      <c r="M359" s="2793"/>
      <c r="N359" s="2793"/>
      <c r="O359" s="2793"/>
      <c r="P359" s="2793"/>
      <c r="Q359" s="2793"/>
      <c r="R359" s="2793"/>
      <c r="S359" s="2793"/>
      <c r="T359" s="2793"/>
      <c r="U359" s="2793"/>
      <c r="V359" s="2793"/>
      <c r="W359" s="2793"/>
      <c r="X359" s="2793"/>
      <c r="Y359" s="2793"/>
      <c r="Z359" s="2793"/>
      <c r="AA359" s="2793"/>
      <c r="AB359" s="2793"/>
      <c r="AC359" s="2793"/>
      <c r="AD359" s="2793"/>
      <c r="AE359" s="2793"/>
      <c r="AF359" s="2793"/>
      <c r="AG359" s="2793"/>
      <c r="AH359" s="2794"/>
      <c r="AI359" s="2793"/>
      <c r="AJ359" s="2793"/>
      <c r="AK359" s="2793"/>
      <c r="AL359" s="2793"/>
      <c r="AM359" s="2793"/>
      <c r="AN359" s="2793"/>
      <c r="AO359" s="2793"/>
      <c r="AP359" s="2793"/>
      <c r="AQ359" s="2793"/>
      <c r="AR359" s="2783"/>
      <c r="AS359" s="2783"/>
      <c r="AT359" s="2783"/>
      <c r="AU359" s="2783"/>
      <c r="AV359" s="2730"/>
      <c r="AY359" s="2730"/>
    </row>
    <row r="360" spans="1:51">
      <c r="A360" s="2730"/>
      <c r="E360" s="2730"/>
      <c r="F360" s="2730"/>
      <c r="G360" s="2730"/>
      <c r="H360" s="2730"/>
      <c r="I360" s="2730"/>
      <c r="J360" s="2730"/>
      <c r="K360" s="2783"/>
      <c r="L360" s="2783"/>
      <c r="M360" s="2793"/>
      <c r="N360" s="2793"/>
      <c r="O360" s="2793"/>
      <c r="P360" s="2793"/>
      <c r="Q360" s="2793"/>
      <c r="R360" s="2793"/>
      <c r="S360" s="2793"/>
      <c r="T360" s="2793"/>
      <c r="U360" s="2793"/>
      <c r="V360" s="2793"/>
      <c r="W360" s="2793"/>
      <c r="X360" s="2793"/>
      <c r="Y360" s="2793"/>
      <c r="Z360" s="2793"/>
      <c r="AA360" s="2793"/>
      <c r="AB360" s="2793"/>
      <c r="AC360" s="2793"/>
      <c r="AD360" s="2793"/>
      <c r="AE360" s="2793"/>
      <c r="AF360" s="2793"/>
      <c r="AG360" s="2793"/>
      <c r="AH360" s="2794"/>
      <c r="AI360" s="2793"/>
      <c r="AJ360" s="2793"/>
      <c r="AK360" s="2793"/>
      <c r="AL360" s="2793"/>
      <c r="AM360" s="2793"/>
      <c r="AN360" s="2793"/>
      <c r="AO360" s="2793"/>
      <c r="AP360" s="2793"/>
      <c r="AQ360" s="2793"/>
      <c r="AR360" s="2783"/>
      <c r="AS360" s="2783"/>
      <c r="AT360" s="2783"/>
      <c r="AU360" s="2783"/>
      <c r="AV360" s="2730"/>
      <c r="AY360" s="2730"/>
    </row>
    <row r="361" spans="1:51">
      <c r="A361" s="2730"/>
      <c r="E361" s="2730"/>
      <c r="F361" s="2730"/>
      <c r="G361" s="2730"/>
      <c r="H361" s="2730"/>
      <c r="I361" s="2730"/>
      <c r="J361" s="2730"/>
      <c r="K361" s="2783"/>
      <c r="L361" s="2783"/>
      <c r="M361" s="2793"/>
      <c r="N361" s="2793"/>
      <c r="O361" s="2793"/>
      <c r="P361" s="2793"/>
      <c r="Q361" s="2793"/>
      <c r="R361" s="2793"/>
      <c r="S361" s="2793"/>
      <c r="T361" s="2793"/>
      <c r="U361" s="2793"/>
      <c r="V361" s="2793"/>
      <c r="W361" s="2793"/>
      <c r="X361" s="2793"/>
      <c r="Y361" s="2793"/>
      <c r="Z361" s="2793"/>
      <c r="AA361" s="2793"/>
      <c r="AB361" s="2793"/>
      <c r="AC361" s="2793"/>
      <c r="AD361" s="2793"/>
      <c r="AE361" s="2793"/>
      <c r="AF361" s="2793"/>
      <c r="AG361" s="2793"/>
      <c r="AH361" s="2794"/>
      <c r="AI361" s="2793"/>
      <c r="AJ361" s="2793"/>
      <c r="AK361" s="2793"/>
      <c r="AL361" s="2793"/>
      <c r="AM361" s="2793"/>
      <c r="AN361" s="2793"/>
      <c r="AO361" s="2793"/>
      <c r="AP361" s="2793"/>
      <c r="AQ361" s="2793"/>
      <c r="AR361" s="2783"/>
      <c r="AS361" s="2783"/>
      <c r="AT361" s="2783"/>
      <c r="AU361" s="2783"/>
      <c r="AV361" s="2730"/>
      <c r="AY361" s="2730"/>
    </row>
    <row r="362" spans="1:51">
      <c r="A362" s="2730"/>
      <c r="E362" s="2730"/>
      <c r="F362" s="2730"/>
      <c r="G362" s="2730"/>
      <c r="H362" s="2730"/>
      <c r="I362" s="2730"/>
      <c r="J362" s="2730"/>
      <c r="K362" s="2783"/>
      <c r="L362" s="2783"/>
      <c r="M362" s="2793"/>
      <c r="N362" s="2793"/>
      <c r="O362" s="2793"/>
      <c r="P362" s="2793"/>
      <c r="Q362" s="2793"/>
      <c r="R362" s="2793"/>
      <c r="S362" s="2793"/>
      <c r="T362" s="2793"/>
      <c r="U362" s="2793"/>
      <c r="V362" s="2793"/>
      <c r="W362" s="2793"/>
      <c r="X362" s="2793"/>
      <c r="Y362" s="2793"/>
      <c r="Z362" s="2793"/>
      <c r="AA362" s="2793"/>
      <c r="AB362" s="2793"/>
      <c r="AC362" s="2793"/>
      <c r="AD362" s="2793"/>
      <c r="AE362" s="2793"/>
      <c r="AF362" s="2793"/>
      <c r="AG362" s="2793"/>
      <c r="AH362" s="2794"/>
      <c r="AI362" s="2793"/>
      <c r="AJ362" s="2793"/>
      <c r="AK362" s="2793"/>
      <c r="AL362" s="2793"/>
      <c r="AM362" s="2793"/>
      <c r="AN362" s="2793"/>
      <c r="AO362" s="2793"/>
      <c r="AP362" s="2793"/>
      <c r="AQ362" s="2793"/>
      <c r="AR362" s="2783"/>
      <c r="AS362" s="2783"/>
      <c r="AT362" s="2783"/>
      <c r="AU362" s="2783"/>
      <c r="AV362" s="2730"/>
      <c r="AY362" s="2730"/>
    </row>
    <row r="363" spans="1:51">
      <c r="A363" s="2730"/>
      <c r="E363" s="2730"/>
      <c r="F363" s="2730"/>
      <c r="G363" s="2730"/>
      <c r="H363" s="2730"/>
      <c r="I363" s="2730"/>
      <c r="J363" s="2730"/>
      <c r="K363" s="2783"/>
      <c r="L363" s="2783"/>
      <c r="M363" s="2793"/>
      <c r="N363" s="2793"/>
      <c r="O363" s="2793"/>
      <c r="P363" s="2793"/>
      <c r="Q363" s="2793"/>
      <c r="R363" s="2793"/>
      <c r="S363" s="2793"/>
      <c r="T363" s="2793"/>
      <c r="U363" s="2793"/>
      <c r="V363" s="2793"/>
      <c r="W363" s="2793"/>
      <c r="X363" s="2793"/>
      <c r="Y363" s="2793"/>
      <c r="Z363" s="2793"/>
      <c r="AA363" s="2793"/>
      <c r="AB363" s="2793"/>
      <c r="AC363" s="2793"/>
      <c r="AD363" s="2793"/>
      <c r="AE363" s="2793"/>
      <c r="AF363" s="2793"/>
      <c r="AG363" s="2793"/>
      <c r="AH363" s="2794"/>
      <c r="AI363" s="2793"/>
      <c r="AJ363" s="2793"/>
      <c r="AK363" s="2793"/>
      <c r="AL363" s="2793"/>
      <c r="AM363" s="2793"/>
      <c r="AN363" s="2793"/>
      <c r="AO363" s="2793"/>
      <c r="AP363" s="2793"/>
      <c r="AQ363" s="2793"/>
      <c r="AR363" s="2783"/>
      <c r="AS363" s="2783"/>
      <c r="AT363" s="2783"/>
      <c r="AU363" s="2783"/>
      <c r="AV363" s="2730"/>
      <c r="AY363" s="2730"/>
    </row>
    <row r="364" spans="1:51">
      <c r="A364" s="2730"/>
      <c r="E364" s="2730"/>
      <c r="F364" s="2730"/>
      <c r="G364" s="2730"/>
      <c r="H364" s="2730"/>
      <c r="I364" s="2730"/>
      <c r="J364" s="2730"/>
      <c r="K364" s="2783"/>
      <c r="L364" s="2783"/>
      <c r="M364" s="2793"/>
      <c r="N364" s="2793"/>
      <c r="O364" s="2793"/>
      <c r="P364" s="2793"/>
      <c r="Q364" s="2793"/>
      <c r="R364" s="2793"/>
      <c r="S364" s="2793"/>
      <c r="T364" s="2793"/>
      <c r="U364" s="2793"/>
      <c r="V364" s="2793"/>
      <c r="W364" s="2793"/>
      <c r="X364" s="2793"/>
      <c r="Y364" s="2793"/>
      <c r="Z364" s="2793"/>
      <c r="AA364" s="2793"/>
      <c r="AB364" s="2793"/>
      <c r="AC364" s="2793"/>
      <c r="AD364" s="2793"/>
      <c r="AE364" s="2793"/>
      <c r="AF364" s="2793"/>
      <c r="AG364" s="2793"/>
      <c r="AH364" s="2794"/>
      <c r="AI364" s="2793"/>
      <c r="AJ364" s="2793"/>
      <c r="AK364" s="2793"/>
      <c r="AL364" s="2793"/>
      <c r="AM364" s="2793"/>
      <c r="AN364" s="2793"/>
      <c r="AO364" s="2793"/>
      <c r="AP364" s="2793"/>
      <c r="AQ364" s="2793"/>
      <c r="AR364" s="2783"/>
      <c r="AS364" s="2783"/>
      <c r="AT364" s="2783"/>
      <c r="AU364" s="2783"/>
      <c r="AV364" s="2730"/>
      <c r="AY364" s="2730"/>
    </row>
    <row r="365" spans="1:51">
      <c r="A365" s="2730"/>
      <c r="E365" s="2730"/>
      <c r="F365" s="2730"/>
      <c r="G365" s="2730"/>
      <c r="H365" s="2730"/>
      <c r="I365" s="2730"/>
      <c r="J365" s="2730"/>
      <c r="K365" s="2783"/>
      <c r="L365" s="2783"/>
      <c r="M365" s="2793"/>
      <c r="N365" s="2793"/>
      <c r="O365" s="2793"/>
      <c r="P365" s="2793"/>
      <c r="Q365" s="2793"/>
      <c r="R365" s="2793"/>
      <c r="S365" s="2793"/>
      <c r="T365" s="2793"/>
      <c r="U365" s="2793"/>
      <c r="V365" s="2793"/>
      <c r="W365" s="2793"/>
      <c r="X365" s="2793"/>
      <c r="Y365" s="2793"/>
      <c r="Z365" s="2793"/>
      <c r="AA365" s="2793"/>
      <c r="AB365" s="2793"/>
      <c r="AC365" s="2793"/>
      <c r="AD365" s="2793"/>
      <c r="AE365" s="2793"/>
      <c r="AF365" s="2793"/>
      <c r="AG365" s="2793"/>
      <c r="AH365" s="2794"/>
      <c r="AI365" s="2793"/>
      <c r="AJ365" s="2793"/>
      <c r="AK365" s="2793"/>
      <c r="AL365" s="2793"/>
      <c r="AM365" s="2793"/>
      <c r="AN365" s="2793"/>
      <c r="AO365" s="2793"/>
      <c r="AP365" s="2793"/>
      <c r="AQ365" s="2793"/>
      <c r="AR365" s="2783"/>
      <c r="AS365" s="2783"/>
      <c r="AT365" s="2783"/>
      <c r="AU365" s="2783"/>
      <c r="AV365" s="2730"/>
      <c r="AY365" s="2730"/>
    </row>
    <row r="366" spans="1:51">
      <c r="A366" s="2730"/>
      <c r="E366" s="2730"/>
      <c r="F366" s="2730"/>
      <c r="G366" s="2730"/>
      <c r="H366" s="2730"/>
      <c r="I366" s="2730"/>
      <c r="J366" s="2730"/>
      <c r="K366" s="2783"/>
      <c r="L366" s="2783"/>
      <c r="M366" s="2793"/>
      <c r="N366" s="2793"/>
      <c r="O366" s="2793"/>
      <c r="P366" s="2793"/>
      <c r="Q366" s="2793"/>
      <c r="R366" s="2793"/>
      <c r="S366" s="2793"/>
      <c r="T366" s="2793"/>
      <c r="U366" s="2793"/>
      <c r="V366" s="2793"/>
      <c r="W366" s="2793"/>
      <c r="X366" s="2793"/>
      <c r="Y366" s="2793"/>
      <c r="Z366" s="2793"/>
      <c r="AA366" s="2793"/>
      <c r="AB366" s="2793"/>
      <c r="AC366" s="2793"/>
      <c r="AD366" s="2793"/>
      <c r="AE366" s="2793"/>
      <c r="AF366" s="2793"/>
      <c r="AG366" s="2793"/>
      <c r="AH366" s="2794"/>
      <c r="AI366" s="2793"/>
      <c r="AJ366" s="2793"/>
      <c r="AK366" s="2793"/>
      <c r="AL366" s="2793"/>
      <c r="AM366" s="2793"/>
      <c r="AN366" s="2793"/>
      <c r="AO366" s="2793"/>
      <c r="AP366" s="2793"/>
      <c r="AQ366" s="2793"/>
      <c r="AR366" s="2783"/>
      <c r="AS366" s="2783"/>
      <c r="AT366" s="2783"/>
      <c r="AU366" s="2783"/>
      <c r="AV366" s="2730"/>
      <c r="AY366" s="2730"/>
    </row>
    <row r="367" spans="1:51">
      <c r="A367" s="2730"/>
      <c r="E367" s="2730"/>
      <c r="F367" s="2730"/>
      <c r="G367" s="2730"/>
      <c r="H367" s="2730"/>
      <c r="I367" s="2730"/>
      <c r="J367" s="2730"/>
      <c r="K367" s="2783"/>
      <c r="L367" s="2783"/>
      <c r="M367" s="2793"/>
      <c r="N367" s="2793"/>
      <c r="O367" s="2793"/>
      <c r="P367" s="2793"/>
      <c r="Q367" s="2793"/>
      <c r="R367" s="2793"/>
      <c r="S367" s="2793"/>
      <c r="T367" s="2793"/>
      <c r="U367" s="2793"/>
      <c r="V367" s="2793"/>
      <c r="W367" s="2793"/>
      <c r="X367" s="2793"/>
      <c r="Y367" s="2793"/>
      <c r="Z367" s="2793"/>
      <c r="AA367" s="2793"/>
      <c r="AB367" s="2793"/>
      <c r="AC367" s="2793"/>
      <c r="AD367" s="2793"/>
      <c r="AE367" s="2793"/>
      <c r="AF367" s="2793"/>
      <c r="AG367" s="2793"/>
      <c r="AH367" s="2794"/>
      <c r="AI367" s="2793"/>
      <c r="AJ367" s="2793"/>
      <c r="AK367" s="2793"/>
      <c r="AL367" s="2793"/>
      <c r="AM367" s="2793"/>
      <c r="AN367" s="2793"/>
      <c r="AO367" s="2793"/>
      <c r="AP367" s="2793"/>
      <c r="AQ367" s="2793"/>
      <c r="AR367" s="2783"/>
      <c r="AS367" s="2783"/>
      <c r="AT367" s="2783"/>
      <c r="AU367" s="2783"/>
      <c r="AV367" s="2730"/>
      <c r="AY367" s="2730"/>
    </row>
    <row r="368" spans="1:51">
      <c r="A368" s="2730"/>
      <c r="E368" s="2730"/>
      <c r="F368" s="2730"/>
      <c r="G368" s="2730"/>
      <c r="H368" s="2730"/>
      <c r="I368" s="2730"/>
      <c r="J368" s="2730"/>
      <c r="K368" s="2783"/>
      <c r="L368" s="2783"/>
      <c r="M368" s="2793"/>
      <c r="N368" s="2793"/>
      <c r="O368" s="2793"/>
      <c r="P368" s="2793"/>
      <c r="Q368" s="2793"/>
      <c r="R368" s="2793"/>
      <c r="S368" s="2793"/>
      <c r="T368" s="2793"/>
      <c r="U368" s="2793"/>
      <c r="V368" s="2793"/>
      <c r="W368" s="2793"/>
      <c r="X368" s="2793"/>
      <c r="Y368" s="2793"/>
      <c r="Z368" s="2793"/>
      <c r="AA368" s="2793"/>
      <c r="AB368" s="2793"/>
      <c r="AC368" s="2793"/>
      <c r="AD368" s="2793"/>
      <c r="AE368" s="2793"/>
      <c r="AF368" s="2793"/>
      <c r="AG368" s="2793"/>
      <c r="AH368" s="2794"/>
      <c r="AI368" s="2793"/>
      <c r="AJ368" s="2793"/>
      <c r="AK368" s="2793"/>
      <c r="AL368" s="2793"/>
      <c r="AM368" s="2793"/>
      <c r="AN368" s="2793"/>
      <c r="AO368" s="2793"/>
      <c r="AP368" s="2793"/>
      <c r="AQ368" s="2793"/>
      <c r="AR368" s="2783"/>
      <c r="AS368" s="2783"/>
      <c r="AT368" s="2783"/>
      <c r="AU368" s="2783"/>
      <c r="AV368" s="2730"/>
      <c r="AY368" s="2730"/>
    </row>
    <row r="369" spans="1:51">
      <c r="A369" s="2730"/>
      <c r="E369" s="2730"/>
      <c r="F369" s="2730"/>
      <c r="G369" s="2730"/>
      <c r="H369" s="2730"/>
      <c r="I369" s="2730"/>
      <c r="J369" s="2730"/>
      <c r="K369" s="2783"/>
      <c r="L369" s="2783"/>
      <c r="M369" s="2793"/>
      <c r="N369" s="2793"/>
      <c r="O369" s="2793"/>
      <c r="P369" s="2793"/>
      <c r="Q369" s="2793"/>
      <c r="R369" s="2793"/>
      <c r="S369" s="2793"/>
      <c r="T369" s="2793"/>
      <c r="U369" s="2793"/>
      <c r="V369" s="2793"/>
      <c r="W369" s="2793"/>
      <c r="X369" s="2793"/>
      <c r="Y369" s="2793"/>
      <c r="Z369" s="2793"/>
      <c r="AA369" s="2793"/>
      <c r="AB369" s="2793"/>
      <c r="AC369" s="2793"/>
      <c r="AD369" s="2793"/>
      <c r="AE369" s="2793"/>
      <c r="AF369" s="2793"/>
      <c r="AG369" s="2793"/>
      <c r="AH369" s="2794"/>
      <c r="AI369" s="2793"/>
      <c r="AJ369" s="2793"/>
      <c r="AK369" s="2793"/>
      <c r="AL369" s="2793"/>
      <c r="AM369" s="2793"/>
      <c r="AN369" s="2793"/>
      <c r="AO369" s="2793"/>
      <c r="AP369" s="2793"/>
      <c r="AQ369" s="2793"/>
      <c r="AR369" s="2783"/>
      <c r="AS369" s="2783"/>
      <c r="AT369" s="2783"/>
      <c r="AU369" s="2783"/>
      <c r="AV369" s="2730"/>
      <c r="AY369" s="2730"/>
    </row>
    <row r="370" spans="1:51">
      <c r="A370" s="2730"/>
      <c r="E370" s="2730"/>
      <c r="F370" s="2730"/>
      <c r="G370" s="2730"/>
      <c r="H370" s="2730"/>
      <c r="I370" s="2730"/>
      <c r="J370" s="2730"/>
      <c r="K370" s="2783"/>
      <c r="L370" s="2783"/>
      <c r="M370" s="2793"/>
      <c r="N370" s="2793"/>
      <c r="O370" s="2793"/>
      <c r="P370" s="2793"/>
      <c r="Q370" s="2793"/>
      <c r="R370" s="2793"/>
      <c r="S370" s="2793"/>
      <c r="T370" s="2793"/>
      <c r="U370" s="2793"/>
      <c r="V370" s="2793"/>
      <c r="W370" s="2793"/>
      <c r="X370" s="2793"/>
      <c r="Y370" s="2793"/>
      <c r="Z370" s="2793"/>
      <c r="AA370" s="2793"/>
      <c r="AB370" s="2793"/>
      <c r="AC370" s="2793"/>
      <c r="AD370" s="2793"/>
      <c r="AE370" s="2793"/>
      <c r="AF370" s="2793"/>
      <c r="AG370" s="2793"/>
      <c r="AH370" s="2794"/>
      <c r="AI370" s="2793"/>
      <c r="AJ370" s="2793"/>
      <c r="AK370" s="2793"/>
      <c r="AL370" s="2793"/>
      <c r="AM370" s="2793"/>
      <c r="AN370" s="2793"/>
      <c r="AO370" s="2793"/>
      <c r="AP370" s="2793"/>
      <c r="AQ370" s="2793"/>
      <c r="AR370" s="2783"/>
      <c r="AS370" s="2783"/>
      <c r="AT370" s="2783"/>
      <c r="AU370" s="2783"/>
      <c r="AV370" s="2730"/>
      <c r="AY370" s="2730"/>
    </row>
    <row r="371" spans="1:51">
      <c r="A371" s="2730"/>
      <c r="E371" s="2730"/>
      <c r="F371" s="2730"/>
      <c r="G371" s="2730"/>
      <c r="H371" s="2730"/>
      <c r="I371" s="2730"/>
      <c r="J371" s="2730"/>
      <c r="K371" s="2783"/>
      <c r="L371" s="2783"/>
      <c r="M371" s="2793"/>
      <c r="N371" s="2793"/>
      <c r="O371" s="2793"/>
      <c r="P371" s="2793"/>
      <c r="Q371" s="2793"/>
      <c r="R371" s="2793"/>
      <c r="S371" s="2793"/>
      <c r="T371" s="2793"/>
      <c r="U371" s="2793"/>
      <c r="V371" s="2793"/>
      <c r="W371" s="2793"/>
      <c r="X371" s="2793"/>
      <c r="Y371" s="2793"/>
      <c r="Z371" s="2793"/>
      <c r="AA371" s="2793"/>
      <c r="AB371" s="2793"/>
      <c r="AC371" s="2793"/>
      <c r="AD371" s="2793"/>
      <c r="AE371" s="2793"/>
      <c r="AF371" s="2793"/>
      <c r="AG371" s="2793"/>
      <c r="AH371" s="2794"/>
      <c r="AI371" s="2793"/>
      <c r="AJ371" s="2793"/>
      <c r="AK371" s="2793"/>
      <c r="AL371" s="2793"/>
      <c r="AM371" s="2793"/>
      <c r="AN371" s="2793"/>
      <c r="AO371" s="2793"/>
      <c r="AP371" s="2793"/>
      <c r="AQ371" s="2793"/>
      <c r="AR371" s="2783"/>
      <c r="AS371" s="2783"/>
      <c r="AT371" s="2783"/>
      <c r="AU371" s="2783"/>
      <c r="AV371" s="2730"/>
      <c r="AY371" s="2730"/>
    </row>
    <row r="372" spans="1:51">
      <c r="A372" s="2730"/>
      <c r="E372" s="2730"/>
      <c r="F372" s="2730"/>
      <c r="G372" s="2730"/>
      <c r="H372" s="2730"/>
      <c r="I372" s="2730"/>
      <c r="J372" s="2730"/>
      <c r="K372" s="2783"/>
      <c r="L372" s="2783"/>
      <c r="M372" s="2793"/>
      <c r="N372" s="2793"/>
      <c r="O372" s="2793"/>
      <c r="P372" s="2793"/>
      <c r="Q372" s="2793"/>
      <c r="R372" s="2793"/>
      <c r="S372" s="2793"/>
      <c r="T372" s="2793"/>
      <c r="U372" s="2793"/>
      <c r="V372" s="2793"/>
      <c r="W372" s="2793"/>
      <c r="X372" s="2793"/>
      <c r="Y372" s="2793"/>
      <c r="Z372" s="2793"/>
      <c r="AA372" s="2793"/>
      <c r="AB372" s="2793"/>
      <c r="AC372" s="2793"/>
      <c r="AD372" s="2793"/>
      <c r="AE372" s="2793"/>
      <c r="AF372" s="2793"/>
      <c r="AG372" s="2793"/>
      <c r="AH372" s="2794"/>
      <c r="AI372" s="2793"/>
      <c r="AJ372" s="2793"/>
      <c r="AK372" s="2793"/>
      <c r="AL372" s="2793"/>
      <c r="AM372" s="2793"/>
      <c r="AN372" s="2793"/>
      <c r="AO372" s="2793"/>
      <c r="AP372" s="2793"/>
      <c r="AQ372" s="2793"/>
      <c r="AR372" s="2783"/>
      <c r="AS372" s="2783"/>
      <c r="AT372" s="2783"/>
      <c r="AU372" s="2783"/>
      <c r="AV372" s="2730"/>
      <c r="AY372" s="2730"/>
    </row>
    <row r="373" spans="1:51">
      <c r="A373" s="2730"/>
      <c r="E373" s="2730"/>
      <c r="F373" s="2730"/>
      <c r="G373" s="2730"/>
      <c r="H373" s="2730"/>
      <c r="I373" s="2730"/>
      <c r="J373" s="2730"/>
      <c r="K373" s="2783"/>
      <c r="L373" s="2783"/>
      <c r="M373" s="2793"/>
      <c r="N373" s="2793"/>
      <c r="O373" s="2793"/>
      <c r="P373" s="2793"/>
      <c r="Q373" s="2793"/>
      <c r="R373" s="2793"/>
      <c r="S373" s="2793"/>
      <c r="T373" s="2793"/>
      <c r="U373" s="2793"/>
      <c r="V373" s="2793"/>
      <c r="W373" s="2793"/>
      <c r="X373" s="2793"/>
      <c r="Y373" s="2793"/>
      <c r="Z373" s="2793"/>
      <c r="AA373" s="2793"/>
      <c r="AB373" s="2793"/>
      <c r="AC373" s="2793"/>
      <c r="AD373" s="2793"/>
      <c r="AE373" s="2793"/>
      <c r="AF373" s="2793"/>
      <c r="AG373" s="2793"/>
      <c r="AH373" s="2794"/>
      <c r="AI373" s="2793"/>
      <c r="AJ373" s="2793"/>
      <c r="AK373" s="2793"/>
      <c r="AL373" s="2793"/>
      <c r="AM373" s="2793"/>
      <c r="AN373" s="2793"/>
      <c r="AO373" s="2793"/>
      <c r="AP373" s="2793"/>
      <c r="AQ373" s="2793"/>
      <c r="AR373" s="2783"/>
      <c r="AS373" s="2783"/>
      <c r="AT373" s="2783"/>
      <c r="AU373" s="2783"/>
      <c r="AV373" s="2730"/>
      <c r="AY373" s="2730"/>
    </row>
    <row r="374" spans="1:51">
      <c r="A374" s="2730"/>
      <c r="E374" s="2730"/>
      <c r="F374" s="2730"/>
      <c r="G374" s="2730"/>
      <c r="H374" s="2730"/>
      <c r="I374" s="2730"/>
      <c r="J374" s="2730"/>
      <c r="K374" s="2783"/>
      <c r="L374" s="2783"/>
      <c r="M374" s="2793"/>
      <c r="N374" s="2793"/>
      <c r="O374" s="2793"/>
      <c r="P374" s="2793"/>
      <c r="Q374" s="2793"/>
      <c r="R374" s="2793"/>
      <c r="S374" s="2793"/>
      <c r="T374" s="2793"/>
      <c r="U374" s="2793"/>
      <c r="V374" s="2793"/>
      <c r="W374" s="2793"/>
      <c r="X374" s="2793"/>
      <c r="Y374" s="2793"/>
      <c r="Z374" s="2793"/>
      <c r="AA374" s="2793"/>
      <c r="AB374" s="2793"/>
      <c r="AC374" s="2793"/>
      <c r="AD374" s="2793"/>
      <c r="AE374" s="2793"/>
      <c r="AF374" s="2793"/>
      <c r="AG374" s="2793"/>
      <c r="AH374" s="2794"/>
      <c r="AI374" s="2793"/>
      <c r="AJ374" s="2793"/>
      <c r="AK374" s="2793"/>
      <c r="AL374" s="2793"/>
      <c r="AM374" s="2793"/>
      <c r="AN374" s="2793"/>
      <c r="AO374" s="2793"/>
      <c r="AP374" s="2793"/>
      <c r="AQ374" s="2793"/>
      <c r="AR374" s="2783"/>
      <c r="AS374" s="2783"/>
      <c r="AT374" s="2783"/>
      <c r="AU374" s="2783"/>
      <c r="AV374" s="2730"/>
      <c r="AY374" s="2730"/>
    </row>
    <row r="375" spans="1:51">
      <c r="A375" s="2730"/>
      <c r="E375" s="2730"/>
      <c r="F375" s="2730"/>
      <c r="G375" s="2730"/>
      <c r="H375" s="2730"/>
      <c r="I375" s="2730"/>
      <c r="J375" s="2730"/>
      <c r="K375" s="2783"/>
      <c r="L375" s="2783"/>
      <c r="M375" s="2793"/>
      <c r="N375" s="2793"/>
      <c r="O375" s="2793"/>
      <c r="P375" s="2793"/>
      <c r="Q375" s="2793"/>
      <c r="R375" s="2793"/>
      <c r="S375" s="2793"/>
      <c r="T375" s="2793"/>
      <c r="U375" s="2793"/>
      <c r="V375" s="2793"/>
      <c r="W375" s="2793"/>
      <c r="X375" s="2793"/>
      <c r="Y375" s="2793"/>
      <c r="Z375" s="2793"/>
      <c r="AA375" s="2793"/>
      <c r="AB375" s="2793"/>
      <c r="AC375" s="2793"/>
      <c r="AD375" s="2793"/>
      <c r="AE375" s="2793"/>
      <c r="AF375" s="2793"/>
      <c r="AG375" s="2793"/>
      <c r="AH375" s="2794"/>
      <c r="AI375" s="2793"/>
      <c r="AJ375" s="2793"/>
      <c r="AK375" s="2793"/>
      <c r="AL375" s="2793"/>
      <c r="AM375" s="2793"/>
      <c r="AN375" s="2793"/>
      <c r="AO375" s="2793"/>
      <c r="AP375" s="2793"/>
      <c r="AQ375" s="2793"/>
      <c r="AR375" s="2783"/>
      <c r="AS375" s="2783"/>
      <c r="AT375" s="2783"/>
      <c r="AU375" s="2783"/>
      <c r="AV375" s="2730"/>
      <c r="AY375" s="2730"/>
    </row>
    <row r="376" spans="1:51">
      <c r="A376" s="2730"/>
      <c r="E376" s="2730"/>
      <c r="F376" s="2730"/>
      <c r="G376" s="2730"/>
      <c r="H376" s="2730"/>
      <c r="I376" s="2730"/>
      <c r="J376" s="2730"/>
      <c r="K376" s="2783"/>
      <c r="L376" s="2783"/>
      <c r="M376" s="2793"/>
      <c r="N376" s="2793"/>
      <c r="O376" s="2793"/>
      <c r="P376" s="2793"/>
      <c r="Q376" s="2793"/>
      <c r="R376" s="2793"/>
      <c r="S376" s="2793"/>
      <c r="T376" s="2793"/>
      <c r="U376" s="2793"/>
      <c r="V376" s="2793"/>
      <c r="W376" s="2793"/>
      <c r="X376" s="2793"/>
      <c r="Y376" s="2793"/>
      <c r="Z376" s="2793"/>
      <c r="AA376" s="2793"/>
      <c r="AB376" s="2793"/>
      <c r="AC376" s="2793"/>
      <c r="AD376" s="2793"/>
      <c r="AE376" s="2793"/>
      <c r="AF376" s="2793"/>
      <c r="AG376" s="2793"/>
      <c r="AH376" s="2794"/>
      <c r="AI376" s="2793"/>
      <c r="AJ376" s="2793"/>
      <c r="AK376" s="2793"/>
      <c r="AL376" s="2793"/>
      <c r="AM376" s="2793"/>
      <c r="AN376" s="2793"/>
      <c r="AO376" s="2793"/>
      <c r="AP376" s="2793"/>
      <c r="AQ376" s="2793"/>
      <c r="AR376" s="2783"/>
      <c r="AS376" s="2783"/>
      <c r="AT376" s="2783"/>
      <c r="AU376" s="2783"/>
      <c r="AV376" s="2730"/>
      <c r="AY376" s="2730"/>
    </row>
    <row r="377" spans="1:51">
      <c r="A377" s="2730"/>
      <c r="E377" s="2730"/>
      <c r="F377" s="2730"/>
      <c r="G377" s="2730"/>
      <c r="H377" s="2730"/>
      <c r="I377" s="2730"/>
      <c r="J377" s="2730"/>
      <c r="K377" s="2783"/>
      <c r="L377" s="2783"/>
      <c r="M377" s="2793"/>
      <c r="N377" s="2793"/>
      <c r="O377" s="2793"/>
      <c r="P377" s="2793"/>
      <c r="Q377" s="2793"/>
      <c r="R377" s="2793"/>
      <c r="S377" s="2793"/>
      <c r="T377" s="2793"/>
      <c r="U377" s="2793"/>
      <c r="V377" s="2793"/>
      <c r="W377" s="2793"/>
      <c r="X377" s="2793"/>
      <c r="Y377" s="2793"/>
      <c r="Z377" s="2793"/>
      <c r="AA377" s="2793"/>
      <c r="AB377" s="2793"/>
      <c r="AC377" s="2793"/>
      <c r="AD377" s="2793"/>
      <c r="AE377" s="2793"/>
      <c r="AF377" s="2793"/>
      <c r="AG377" s="2793"/>
      <c r="AH377" s="2794"/>
      <c r="AI377" s="2793"/>
      <c r="AJ377" s="2793"/>
      <c r="AK377" s="2793"/>
      <c r="AL377" s="2793"/>
      <c r="AM377" s="2793"/>
      <c r="AN377" s="2793"/>
      <c r="AO377" s="2793"/>
      <c r="AP377" s="2793"/>
      <c r="AQ377" s="2793"/>
      <c r="AR377" s="2783"/>
      <c r="AS377" s="2783"/>
      <c r="AT377" s="2783"/>
      <c r="AU377" s="2783"/>
      <c r="AV377" s="2730"/>
      <c r="AY377" s="2730"/>
    </row>
    <row r="378" spans="1:51">
      <c r="A378" s="2730"/>
      <c r="E378" s="2730"/>
      <c r="F378" s="2730"/>
      <c r="G378" s="2730"/>
      <c r="H378" s="2730"/>
      <c r="I378" s="2730"/>
      <c r="J378" s="2730"/>
      <c r="K378" s="2783"/>
      <c r="L378" s="2783"/>
      <c r="M378" s="2793"/>
      <c r="N378" s="2793"/>
      <c r="O378" s="2793"/>
      <c r="P378" s="2793"/>
      <c r="Q378" s="2793"/>
      <c r="R378" s="2793"/>
      <c r="S378" s="2793"/>
      <c r="T378" s="2793"/>
      <c r="U378" s="2793"/>
      <c r="V378" s="2793"/>
      <c r="W378" s="2793"/>
      <c r="X378" s="2793"/>
      <c r="Y378" s="2793"/>
      <c r="Z378" s="2793"/>
      <c r="AA378" s="2793"/>
      <c r="AB378" s="2793"/>
      <c r="AC378" s="2793"/>
      <c r="AD378" s="2793"/>
      <c r="AE378" s="2793"/>
      <c r="AF378" s="2793"/>
      <c r="AG378" s="2793"/>
      <c r="AH378" s="2794"/>
      <c r="AI378" s="2793"/>
      <c r="AJ378" s="2793"/>
      <c r="AK378" s="2793"/>
      <c r="AL378" s="2793"/>
      <c r="AM378" s="2793"/>
      <c r="AN378" s="2793"/>
      <c r="AO378" s="2793"/>
      <c r="AP378" s="2793"/>
      <c r="AQ378" s="2793"/>
      <c r="AR378" s="2783"/>
      <c r="AS378" s="2783"/>
      <c r="AT378" s="2783"/>
      <c r="AU378" s="2783"/>
      <c r="AV378" s="2730"/>
      <c r="AY378" s="2730"/>
    </row>
    <row r="379" spans="1:51">
      <c r="A379" s="2730"/>
      <c r="E379" s="2730"/>
      <c r="F379" s="2730"/>
      <c r="G379" s="2730"/>
      <c r="H379" s="2730"/>
      <c r="I379" s="2730"/>
      <c r="J379" s="2730"/>
      <c r="K379" s="2783"/>
      <c r="L379" s="2783"/>
      <c r="M379" s="2793"/>
      <c r="N379" s="2793"/>
      <c r="O379" s="2793"/>
      <c r="P379" s="2793"/>
      <c r="Q379" s="2793"/>
      <c r="R379" s="2793"/>
      <c r="S379" s="2793"/>
      <c r="T379" s="2793"/>
      <c r="U379" s="2793"/>
      <c r="V379" s="2793"/>
      <c r="W379" s="2793"/>
      <c r="X379" s="2793"/>
      <c r="Y379" s="2793"/>
      <c r="Z379" s="2793"/>
      <c r="AA379" s="2793"/>
      <c r="AB379" s="2793"/>
      <c r="AC379" s="2793"/>
      <c r="AD379" s="2793"/>
      <c r="AE379" s="2793"/>
      <c r="AF379" s="2793"/>
      <c r="AG379" s="2793"/>
      <c r="AH379" s="2794"/>
      <c r="AI379" s="2793"/>
      <c r="AJ379" s="2793"/>
      <c r="AK379" s="2793"/>
      <c r="AL379" s="2793"/>
      <c r="AM379" s="2793"/>
      <c r="AN379" s="2793"/>
      <c r="AO379" s="2793"/>
      <c r="AP379" s="2793"/>
      <c r="AQ379" s="2793"/>
      <c r="AR379" s="2783"/>
      <c r="AS379" s="2783"/>
      <c r="AT379" s="2783"/>
      <c r="AU379" s="2783"/>
      <c r="AV379" s="2730"/>
      <c r="AY379" s="2730"/>
    </row>
    <row r="380" spans="1:51">
      <c r="A380" s="2730"/>
      <c r="E380" s="2730"/>
      <c r="F380" s="2730"/>
      <c r="G380" s="2730"/>
      <c r="H380" s="2730"/>
      <c r="I380" s="2730"/>
      <c r="J380" s="2730"/>
      <c r="K380" s="2783"/>
      <c r="L380" s="2783"/>
      <c r="M380" s="2793"/>
      <c r="N380" s="2793"/>
      <c r="O380" s="2793"/>
      <c r="P380" s="2793"/>
      <c r="Q380" s="2793"/>
      <c r="R380" s="2793"/>
      <c r="S380" s="2793"/>
      <c r="T380" s="2793"/>
      <c r="U380" s="2793"/>
      <c r="V380" s="2793"/>
      <c r="W380" s="2793"/>
      <c r="X380" s="2793"/>
      <c r="Y380" s="2793"/>
      <c r="Z380" s="2793"/>
      <c r="AA380" s="2793"/>
      <c r="AB380" s="2793"/>
      <c r="AC380" s="2793"/>
      <c r="AD380" s="2793"/>
      <c r="AE380" s="2793"/>
      <c r="AF380" s="2793"/>
      <c r="AG380" s="2793"/>
      <c r="AH380" s="2794"/>
      <c r="AI380" s="2793"/>
      <c r="AJ380" s="2793"/>
      <c r="AK380" s="2793"/>
      <c r="AL380" s="2793"/>
      <c r="AM380" s="2793"/>
      <c r="AN380" s="2793"/>
      <c r="AO380" s="2793"/>
      <c r="AP380" s="2793"/>
      <c r="AQ380" s="2793"/>
      <c r="AR380" s="2783"/>
      <c r="AS380" s="2783"/>
      <c r="AT380" s="2783"/>
      <c r="AU380" s="2783"/>
      <c r="AV380" s="2730"/>
      <c r="AY380" s="2730"/>
    </row>
    <row r="381" spans="1:51">
      <c r="A381" s="2730"/>
      <c r="E381" s="2730"/>
      <c r="F381" s="2730"/>
      <c r="G381" s="2730"/>
      <c r="H381" s="2730"/>
      <c r="I381" s="2730"/>
      <c r="J381" s="2730"/>
      <c r="K381" s="2783"/>
      <c r="L381" s="2783"/>
      <c r="M381" s="2793"/>
      <c r="N381" s="2793"/>
      <c r="O381" s="2793"/>
      <c r="P381" s="2793"/>
      <c r="Q381" s="2793"/>
      <c r="R381" s="2793"/>
      <c r="S381" s="2793"/>
      <c r="T381" s="2793"/>
      <c r="U381" s="2793"/>
      <c r="V381" s="2793"/>
      <c r="W381" s="2793"/>
      <c r="X381" s="2793"/>
      <c r="Y381" s="2793"/>
      <c r="Z381" s="2793"/>
      <c r="AA381" s="2793"/>
      <c r="AB381" s="2793"/>
      <c r="AC381" s="2793"/>
      <c r="AD381" s="2793"/>
      <c r="AE381" s="2793"/>
      <c r="AF381" s="2793"/>
      <c r="AG381" s="2793"/>
      <c r="AH381" s="2794"/>
      <c r="AI381" s="2793"/>
      <c r="AJ381" s="2793"/>
      <c r="AK381" s="2793"/>
      <c r="AL381" s="2793"/>
      <c r="AM381" s="2793"/>
      <c r="AN381" s="2793"/>
      <c r="AO381" s="2793"/>
      <c r="AP381" s="2793"/>
      <c r="AQ381" s="2793"/>
      <c r="AR381" s="2783"/>
      <c r="AS381" s="2783"/>
      <c r="AT381" s="2783"/>
      <c r="AU381" s="2783"/>
      <c r="AV381" s="2730"/>
      <c r="AY381" s="2730"/>
    </row>
    <row r="382" spans="1:51">
      <c r="A382" s="2730"/>
      <c r="E382" s="2730"/>
      <c r="F382" s="2730"/>
      <c r="G382" s="2730"/>
      <c r="H382" s="2730"/>
      <c r="I382" s="2730"/>
      <c r="J382" s="2730"/>
      <c r="K382" s="2783"/>
      <c r="L382" s="2783"/>
      <c r="M382" s="2793"/>
      <c r="N382" s="2793"/>
      <c r="O382" s="2793"/>
      <c r="P382" s="2793"/>
      <c r="Q382" s="2793"/>
      <c r="R382" s="2793"/>
      <c r="S382" s="2793"/>
      <c r="T382" s="2793"/>
      <c r="U382" s="2793"/>
      <c r="V382" s="2793"/>
      <c r="W382" s="2793"/>
      <c r="X382" s="2793"/>
      <c r="Y382" s="2793"/>
      <c r="Z382" s="2793"/>
      <c r="AA382" s="2793"/>
      <c r="AB382" s="2793"/>
      <c r="AC382" s="2793"/>
      <c r="AD382" s="2793"/>
      <c r="AE382" s="2793"/>
      <c r="AF382" s="2793"/>
      <c r="AG382" s="2793"/>
      <c r="AH382" s="2794"/>
      <c r="AI382" s="2793"/>
      <c r="AJ382" s="2793"/>
      <c r="AK382" s="2793"/>
      <c r="AL382" s="2793"/>
      <c r="AM382" s="2793"/>
      <c r="AN382" s="2793"/>
      <c r="AO382" s="2793"/>
      <c r="AP382" s="2793"/>
      <c r="AQ382" s="2793"/>
      <c r="AR382" s="2783"/>
      <c r="AS382" s="2783"/>
      <c r="AT382" s="2783"/>
      <c r="AU382" s="2783"/>
      <c r="AV382" s="2730"/>
      <c r="AY382" s="2730"/>
    </row>
    <row r="383" spans="1:51">
      <c r="A383" s="2730"/>
      <c r="E383" s="2730"/>
      <c r="F383" s="2730"/>
      <c r="G383" s="2730"/>
      <c r="H383" s="2730"/>
      <c r="I383" s="2730"/>
      <c r="J383" s="2730"/>
      <c r="K383" s="2783"/>
      <c r="L383" s="2783"/>
      <c r="M383" s="2793"/>
      <c r="N383" s="2793"/>
      <c r="O383" s="2793"/>
      <c r="P383" s="2793"/>
      <c r="Q383" s="2793"/>
      <c r="R383" s="2793"/>
      <c r="S383" s="2793"/>
      <c r="T383" s="2793"/>
      <c r="U383" s="2793"/>
      <c r="V383" s="2793"/>
      <c r="W383" s="2793"/>
      <c r="X383" s="2793"/>
      <c r="Y383" s="2793"/>
      <c r="Z383" s="2793"/>
      <c r="AA383" s="2793"/>
      <c r="AB383" s="2793"/>
      <c r="AC383" s="2793"/>
      <c r="AD383" s="2793"/>
      <c r="AE383" s="2793"/>
      <c r="AF383" s="2793"/>
      <c r="AG383" s="2793"/>
      <c r="AH383" s="2794"/>
      <c r="AI383" s="2793"/>
      <c r="AJ383" s="2793"/>
      <c r="AK383" s="2793"/>
      <c r="AL383" s="2793"/>
      <c r="AM383" s="2793"/>
      <c r="AN383" s="2793"/>
      <c r="AO383" s="2793"/>
      <c r="AP383" s="2793"/>
      <c r="AQ383" s="2793"/>
      <c r="AR383" s="2783"/>
      <c r="AS383" s="2783"/>
      <c r="AT383" s="2783"/>
      <c r="AU383" s="2783"/>
      <c r="AV383" s="2730"/>
      <c r="AY383" s="2730"/>
    </row>
    <row r="384" spans="1:51">
      <c r="A384" s="2730"/>
      <c r="E384" s="2730"/>
      <c r="F384" s="2730"/>
      <c r="G384" s="2730"/>
      <c r="H384" s="2730"/>
      <c r="I384" s="2730"/>
      <c r="J384" s="2730"/>
      <c r="K384" s="2783"/>
      <c r="L384" s="2783"/>
      <c r="M384" s="2793"/>
      <c r="N384" s="2793"/>
      <c r="O384" s="2793"/>
      <c r="P384" s="2793"/>
      <c r="Q384" s="2793"/>
      <c r="R384" s="2793"/>
      <c r="S384" s="2793"/>
      <c r="T384" s="2793"/>
      <c r="U384" s="2793"/>
      <c r="V384" s="2793"/>
      <c r="W384" s="2793"/>
      <c r="X384" s="2793"/>
      <c r="Y384" s="2793"/>
      <c r="Z384" s="2793"/>
      <c r="AA384" s="2793"/>
      <c r="AB384" s="2793"/>
      <c r="AC384" s="2793"/>
      <c r="AD384" s="2793"/>
      <c r="AE384" s="2793"/>
      <c r="AF384" s="2793"/>
      <c r="AG384" s="2793"/>
      <c r="AH384" s="2794"/>
      <c r="AI384" s="2793"/>
      <c r="AJ384" s="2793"/>
      <c r="AK384" s="2793"/>
      <c r="AL384" s="2793"/>
      <c r="AM384" s="2793"/>
      <c r="AN384" s="2793"/>
      <c r="AO384" s="2793"/>
      <c r="AP384" s="2793"/>
      <c r="AQ384" s="2793"/>
      <c r="AR384" s="2783"/>
      <c r="AS384" s="2783"/>
      <c r="AT384" s="2783"/>
      <c r="AU384" s="2783"/>
      <c r="AV384" s="2730"/>
      <c r="AY384" s="2730"/>
    </row>
    <row r="385" spans="1:51">
      <c r="A385" s="2730"/>
      <c r="E385" s="2730"/>
      <c r="F385" s="2730"/>
      <c r="G385" s="2730"/>
      <c r="H385" s="2730"/>
      <c r="I385" s="2730"/>
      <c r="J385" s="2730"/>
      <c r="K385" s="2783"/>
      <c r="L385" s="2783"/>
      <c r="M385" s="2793"/>
      <c r="N385" s="2793"/>
      <c r="O385" s="2793"/>
      <c r="P385" s="2793"/>
      <c r="Q385" s="2793"/>
      <c r="R385" s="2793"/>
      <c r="S385" s="2793"/>
      <c r="T385" s="2793"/>
      <c r="U385" s="2793"/>
      <c r="V385" s="2793"/>
      <c r="W385" s="2793"/>
      <c r="X385" s="2793"/>
      <c r="Y385" s="2793"/>
      <c r="Z385" s="2793"/>
      <c r="AA385" s="2793"/>
      <c r="AB385" s="2793"/>
      <c r="AC385" s="2793"/>
      <c r="AD385" s="2793"/>
      <c r="AE385" s="2793"/>
      <c r="AF385" s="2793"/>
      <c r="AG385" s="2793"/>
      <c r="AH385" s="2794"/>
      <c r="AI385" s="2793"/>
      <c r="AJ385" s="2793"/>
      <c r="AK385" s="2793"/>
      <c r="AL385" s="2793"/>
      <c r="AM385" s="2793"/>
      <c r="AN385" s="2793"/>
      <c r="AO385" s="2793"/>
      <c r="AP385" s="2793"/>
      <c r="AQ385" s="2793"/>
      <c r="AR385" s="2783"/>
      <c r="AS385" s="2783"/>
      <c r="AT385" s="2783"/>
      <c r="AU385" s="2783"/>
      <c r="AV385" s="2730"/>
      <c r="AY385" s="2730"/>
    </row>
    <row r="386" spans="1:51">
      <c r="A386" s="2730"/>
      <c r="E386" s="2730"/>
      <c r="F386" s="2730"/>
      <c r="G386" s="2730"/>
      <c r="H386" s="2730"/>
      <c r="I386" s="2730"/>
      <c r="J386" s="2730"/>
      <c r="K386" s="2783"/>
      <c r="L386" s="2783"/>
      <c r="M386" s="2793"/>
      <c r="N386" s="2793"/>
      <c r="O386" s="2793"/>
      <c r="P386" s="2793"/>
      <c r="Q386" s="2793"/>
      <c r="R386" s="2793"/>
      <c r="S386" s="2793"/>
      <c r="T386" s="2793"/>
      <c r="U386" s="2793"/>
      <c r="V386" s="2793"/>
      <c r="W386" s="2793"/>
      <c r="X386" s="2793"/>
      <c r="Y386" s="2793"/>
      <c r="Z386" s="2793"/>
      <c r="AA386" s="2793"/>
      <c r="AB386" s="2793"/>
      <c r="AC386" s="2793"/>
      <c r="AD386" s="2793"/>
      <c r="AE386" s="2793"/>
      <c r="AF386" s="2793"/>
      <c r="AG386" s="2793"/>
      <c r="AH386" s="2794"/>
      <c r="AI386" s="2793"/>
      <c r="AJ386" s="2793"/>
      <c r="AK386" s="2793"/>
      <c r="AL386" s="2793"/>
      <c r="AM386" s="2793"/>
      <c r="AN386" s="2793"/>
      <c r="AO386" s="2793"/>
      <c r="AP386" s="2793"/>
      <c r="AQ386" s="2793"/>
      <c r="AR386" s="2783"/>
      <c r="AS386" s="2783"/>
      <c r="AT386" s="2783"/>
      <c r="AU386" s="2783"/>
      <c r="AV386" s="2730"/>
      <c r="AY386" s="2730"/>
    </row>
    <row r="387" spans="1:51">
      <c r="A387" s="2730"/>
      <c r="E387" s="2730"/>
      <c r="F387" s="2730"/>
      <c r="G387" s="2730"/>
      <c r="H387" s="2730"/>
      <c r="I387" s="2730"/>
      <c r="J387" s="2730"/>
      <c r="K387" s="2783"/>
      <c r="L387" s="2783"/>
      <c r="M387" s="2793"/>
      <c r="N387" s="2793"/>
      <c r="O387" s="2793"/>
      <c r="P387" s="2793"/>
      <c r="Q387" s="2793"/>
      <c r="R387" s="2793"/>
      <c r="S387" s="2793"/>
      <c r="T387" s="2793"/>
      <c r="U387" s="2793"/>
      <c r="V387" s="2793"/>
      <c r="W387" s="2793"/>
      <c r="X387" s="2793"/>
      <c r="Y387" s="2793"/>
      <c r="Z387" s="2793"/>
      <c r="AA387" s="2793"/>
      <c r="AB387" s="2793"/>
      <c r="AC387" s="2793"/>
      <c r="AD387" s="2793"/>
      <c r="AE387" s="2793"/>
      <c r="AF387" s="2793"/>
      <c r="AG387" s="2793"/>
      <c r="AH387" s="2794"/>
      <c r="AI387" s="2793"/>
      <c r="AJ387" s="2793"/>
      <c r="AK387" s="2793"/>
      <c r="AL387" s="2793"/>
      <c r="AM387" s="2793"/>
      <c r="AN387" s="2793"/>
      <c r="AO387" s="2793"/>
      <c r="AP387" s="2793"/>
      <c r="AQ387" s="2793"/>
      <c r="AR387" s="2783"/>
      <c r="AS387" s="2783"/>
      <c r="AT387" s="2783"/>
      <c r="AU387" s="2783"/>
      <c r="AV387" s="2730"/>
      <c r="AY387" s="2730"/>
    </row>
    <row r="388" spans="1:51">
      <c r="A388" s="2730"/>
      <c r="E388" s="2730"/>
      <c r="F388" s="2730"/>
      <c r="G388" s="2730"/>
      <c r="H388" s="2730"/>
      <c r="I388" s="2730"/>
      <c r="J388" s="2730"/>
      <c r="K388" s="2783"/>
      <c r="L388" s="2783"/>
      <c r="M388" s="2793"/>
      <c r="N388" s="2793"/>
      <c r="O388" s="2793"/>
      <c r="P388" s="2793"/>
      <c r="Q388" s="2793"/>
      <c r="R388" s="2793"/>
      <c r="S388" s="2793"/>
      <c r="T388" s="2793"/>
      <c r="U388" s="2793"/>
      <c r="V388" s="2793"/>
      <c r="W388" s="2793"/>
      <c r="X388" s="2793"/>
      <c r="Y388" s="2793"/>
      <c r="Z388" s="2793"/>
      <c r="AA388" s="2793"/>
      <c r="AB388" s="2793"/>
      <c r="AC388" s="2793"/>
      <c r="AD388" s="2793"/>
      <c r="AE388" s="2793"/>
      <c r="AF388" s="2793"/>
      <c r="AG388" s="2793"/>
      <c r="AH388" s="2794"/>
      <c r="AI388" s="2793"/>
      <c r="AJ388" s="2793"/>
      <c r="AK388" s="2793"/>
      <c r="AL388" s="2793"/>
      <c r="AM388" s="2793"/>
      <c r="AN388" s="2793"/>
      <c r="AO388" s="2793"/>
      <c r="AP388" s="2793"/>
      <c r="AQ388" s="2793"/>
      <c r="AR388" s="2783"/>
      <c r="AS388" s="2783"/>
      <c r="AT388" s="2783"/>
      <c r="AU388" s="2783"/>
      <c r="AV388" s="2730"/>
      <c r="AY388" s="2730"/>
    </row>
    <row r="389" spans="1:51">
      <c r="A389" s="2730"/>
      <c r="E389" s="2730"/>
      <c r="F389" s="2730"/>
      <c r="G389" s="2730"/>
      <c r="H389" s="2730"/>
      <c r="I389" s="2730"/>
      <c r="J389" s="2730"/>
      <c r="K389" s="2783"/>
      <c r="L389" s="2783"/>
      <c r="M389" s="2793"/>
      <c r="N389" s="2793"/>
      <c r="O389" s="2793"/>
      <c r="P389" s="2793"/>
      <c r="Q389" s="2793"/>
      <c r="R389" s="2793"/>
      <c r="S389" s="2793"/>
      <c r="T389" s="2793"/>
      <c r="U389" s="2793"/>
      <c r="V389" s="2793"/>
      <c r="W389" s="2793"/>
      <c r="X389" s="2793"/>
      <c r="Y389" s="2793"/>
      <c r="Z389" s="2793"/>
      <c r="AA389" s="2793"/>
      <c r="AB389" s="2793"/>
      <c r="AC389" s="2793"/>
      <c r="AD389" s="2793"/>
      <c r="AE389" s="2793"/>
      <c r="AF389" s="2793"/>
      <c r="AG389" s="2793"/>
      <c r="AH389" s="2794"/>
      <c r="AI389" s="2793"/>
      <c r="AJ389" s="2793"/>
      <c r="AK389" s="2793"/>
      <c r="AL389" s="2793"/>
      <c r="AM389" s="2793"/>
      <c r="AN389" s="2793"/>
      <c r="AO389" s="2793"/>
      <c r="AP389" s="2793"/>
      <c r="AQ389" s="2793"/>
      <c r="AR389" s="2783"/>
      <c r="AS389" s="2783"/>
      <c r="AT389" s="2783"/>
      <c r="AU389" s="2783"/>
      <c r="AV389" s="2730"/>
      <c r="AY389" s="2730"/>
    </row>
    <row r="390" spans="1:51">
      <c r="A390" s="2730"/>
      <c r="E390" s="2730"/>
      <c r="F390" s="2730"/>
      <c r="G390" s="2730"/>
      <c r="H390" s="2730"/>
      <c r="I390" s="2730"/>
      <c r="J390" s="2730"/>
      <c r="K390" s="2783"/>
      <c r="L390" s="2783"/>
      <c r="M390" s="2793"/>
      <c r="N390" s="2793"/>
      <c r="O390" s="2793"/>
      <c r="P390" s="2793"/>
      <c r="Q390" s="2793"/>
      <c r="R390" s="2793"/>
      <c r="S390" s="2793"/>
      <c r="T390" s="2793"/>
      <c r="U390" s="2793"/>
      <c r="V390" s="2793"/>
      <c r="W390" s="2793"/>
      <c r="X390" s="2793"/>
      <c r="Y390" s="2793"/>
      <c r="Z390" s="2793"/>
      <c r="AA390" s="2793"/>
      <c r="AB390" s="2793"/>
      <c r="AC390" s="2793"/>
      <c r="AD390" s="2793"/>
      <c r="AE390" s="2793"/>
      <c r="AF390" s="2793"/>
      <c r="AG390" s="2793"/>
      <c r="AH390" s="2794"/>
      <c r="AI390" s="2793"/>
      <c r="AJ390" s="2793"/>
      <c r="AK390" s="2793"/>
      <c r="AL390" s="2793"/>
      <c r="AM390" s="2793"/>
      <c r="AN390" s="2793"/>
      <c r="AO390" s="2793"/>
      <c r="AP390" s="2793"/>
      <c r="AQ390" s="2793"/>
      <c r="AR390" s="2783"/>
      <c r="AS390" s="2783"/>
      <c r="AT390" s="2783"/>
      <c r="AU390" s="2783"/>
      <c r="AV390" s="2730"/>
      <c r="AY390" s="2730"/>
    </row>
    <row r="391" spans="1:51">
      <c r="A391" s="2730"/>
      <c r="E391" s="2730"/>
      <c r="F391" s="2730"/>
      <c r="G391" s="2730"/>
      <c r="H391" s="2730"/>
      <c r="I391" s="2730"/>
      <c r="J391" s="2730"/>
      <c r="K391" s="2783"/>
      <c r="L391" s="2783"/>
      <c r="M391" s="2793"/>
      <c r="N391" s="2793"/>
      <c r="O391" s="2793"/>
      <c r="P391" s="2793"/>
      <c r="Q391" s="2793"/>
      <c r="R391" s="2793"/>
      <c r="S391" s="2793"/>
      <c r="T391" s="2793"/>
      <c r="U391" s="2793"/>
      <c r="V391" s="2793"/>
      <c r="W391" s="2793"/>
      <c r="X391" s="2793"/>
      <c r="Y391" s="2793"/>
      <c r="Z391" s="2793"/>
      <c r="AA391" s="2793"/>
      <c r="AB391" s="2793"/>
      <c r="AC391" s="2793"/>
      <c r="AD391" s="2793"/>
      <c r="AE391" s="2793"/>
      <c r="AF391" s="2793"/>
      <c r="AG391" s="2793"/>
      <c r="AH391" s="2794"/>
      <c r="AI391" s="2793"/>
      <c r="AJ391" s="2793"/>
      <c r="AK391" s="2793"/>
      <c r="AL391" s="2793"/>
      <c r="AM391" s="2793"/>
      <c r="AN391" s="2793"/>
      <c r="AO391" s="2793"/>
      <c r="AP391" s="2793"/>
      <c r="AQ391" s="2793"/>
      <c r="AR391" s="2783"/>
      <c r="AS391" s="2783"/>
      <c r="AT391" s="2783"/>
      <c r="AU391" s="2783"/>
      <c r="AV391" s="2730"/>
      <c r="AY391" s="2730"/>
    </row>
    <row r="392" spans="1:51">
      <c r="A392" s="2730"/>
      <c r="E392" s="2730"/>
      <c r="F392" s="2730"/>
      <c r="G392" s="2730"/>
      <c r="H392" s="2730"/>
      <c r="I392" s="2730"/>
      <c r="J392" s="2730"/>
      <c r="K392" s="2783"/>
      <c r="L392" s="2783"/>
      <c r="M392" s="2793"/>
      <c r="N392" s="2793"/>
      <c r="O392" s="2793"/>
      <c r="P392" s="2793"/>
      <c r="Q392" s="2793"/>
      <c r="R392" s="2793"/>
      <c r="S392" s="2793"/>
      <c r="T392" s="2793"/>
      <c r="U392" s="2793"/>
      <c r="V392" s="2793"/>
      <c r="W392" s="2793"/>
      <c r="X392" s="2793"/>
      <c r="Y392" s="2793"/>
      <c r="Z392" s="2793"/>
      <c r="AA392" s="2793"/>
      <c r="AB392" s="2793"/>
      <c r="AC392" s="2793"/>
      <c r="AD392" s="2793"/>
      <c r="AE392" s="2793"/>
      <c r="AF392" s="2793"/>
      <c r="AG392" s="2793"/>
      <c r="AH392" s="2794"/>
      <c r="AI392" s="2793"/>
      <c r="AJ392" s="2793"/>
      <c r="AK392" s="2793"/>
      <c r="AL392" s="2793"/>
      <c r="AM392" s="2793"/>
      <c r="AN392" s="2793"/>
      <c r="AO392" s="2793"/>
      <c r="AP392" s="2793"/>
      <c r="AQ392" s="2793"/>
      <c r="AR392" s="2783"/>
      <c r="AS392" s="2783"/>
      <c r="AT392" s="2783"/>
      <c r="AU392" s="2783"/>
      <c r="AV392" s="2730"/>
      <c r="AY392" s="2730"/>
    </row>
    <row r="393" spans="1:51">
      <c r="A393" s="2730"/>
      <c r="E393" s="2730"/>
      <c r="F393" s="2730"/>
      <c r="G393" s="2730"/>
      <c r="H393" s="2730"/>
      <c r="I393" s="2730"/>
      <c r="J393" s="2730"/>
      <c r="K393" s="2783"/>
      <c r="L393" s="2783"/>
      <c r="M393" s="2793"/>
      <c r="N393" s="2793"/>
      <c r="O393" s="2793"/>
      <c r="P393" s="2793"/>
      <c r="Q393" s="2793"/>
      <c r="R393" s="2793"/>
      <c r="S393" s="2793"/>
      <c r="T393" s="2793"/>
      <c r="U393" s="2793"/>
      <c r="V393" s="2793"/>
      <c r="W393" s="2793"/>
      <c r="X393" s="2793"/>
      <c r="Y393" s="2793"/>
      <c r="Z393" s="2793"/>
      <c r="AA393" s="2793"/>
      <c r="AB393" s="2793"/>
      <c r="AC393" s="2793"/>
      <c r="AD393" s="2793"/>
      <c r="AE393" s="2793"/>
      <c r="AF393" s="2793"/>
      <c r="AG393" s="2793"/>
      <c r="AH393" s="2794"/>
      <c r="AI393" s="2793"/>
      <c r="AJ393" s="2793"/>
      <c r="AK393" s="2793"/>
      <c r="AL393" s="2793"/>
      <c r="AM393" s="2793"/>
      <c r="AN393" s="2793"/>
      <c r="AO393" s="2793"/>
      <c r="AP393" s="2793"/>
      <c r="AQ393" s="2793"/>
      <c r="AR393" s="2783"/>
      <c r="AS393" s="2783"/>
      <c r="AT393" s="2783"/>
      <c r="AU393" s="2783"/>
      <c r="AV393" s="2730"/>
      <c r="AY393" s="2730"/>
    </row>
    <row r="394" spans="1:51">
      <c r="A394" s="2730"/>
      <c r="E394" s="2730"/>
      <c r="F394" s="2730"/>
      <c r="G394" s="2730"/>
      <c r="H394" s="2730"/>
      <c r="I394" s="2730"/>
      <c r="J394" s="2730"/>
      <c r="K394" s="2783"/>
      <c r="L394" s="2783"/>
      <c r="M394" s="2793"/>
      <c r="N394" s="2793"/>
      <c r="O394" s="2793"/>
      <c r="P394" s="2793"/>
      <c r="Q394" s="2793"/>
      <c r="R394" s="2793"/>
      <c r="S394" s="2793"/>
      <c r="T394" s="2793"/>
      <c r="U394" s="2793"/>
      <c r="V394" s="2793"/>
      <c r="W394" s="2793"/>
      <c r="X394" s="2793"/>
      <c r="Y394" s="2793"/>
      <c r="Z394" s="2793"/>
      <c r="AA394" s="2793"/>
      <c r="AB394" s="2793"/>
      <c r="AC394" s="2793"/>
      <c r="AD394" s="2793"/>
      <c r="AE394" s="2793"/>
      <c r="AF394" s="2793"/>
      <c r="AG394" s="2793"/>
      <c r="AH394" s="2794"/>
      <c r="AI394" s="2793"/>
      <c r="AJ394" s="2793"/>
      <c r="AK394" s="2793"/>
      <c r="AL394" s="2793"/>
      <c r="AM394" s="2793"/>
      <c r="AN394" s="2793"/>
      <c r="AO394" s="2793"/>
      <c r="AP394" s="2793"/>
      <c r="AQ394" s="2793"/>
      <c r="AR394" s="2783"/>
      <c r="AS394" s="2783"/>
      <c r="AT394" s="2783"/>
      <c r="AU394" s="2783"/>
      <c r="AV394" s="2730"/>
      <c r="AY394" s="2730"/>
    </row>
    <row r="395" spans="1:51">
      <c r="A395" s="2730"/>
      <c r="E395" s="2730"/>
      <c r="F395" s="2730"/>
      <c r="G395" s="2730"/>
      <c r="H395" s="2730"/>
      <c r="I395" s="2730"/>
      <c r="J395" s="2730"/>
      <c r="K395" s="2783"/>
      <c r="L395" s="2783"/>
      <c r="M395" s="2793"/>
      <c r="N395" s="2793"/>
      <c r="O395" s="2793"/>
      <c r="P395" s="2793"/>
      <c r="Q395" s="2793"/>
      <c r="R395" s="2793"/>
      <c r="S395" s="2793"/>
      <c r="T395" s="2793"/>
      <c r="U395" s="2793"/>
      <c r="V395" s="2793"/>
      <c r="W395" s="2793"/>
      <c r="X395" s="2793"/>
      <c r="Y395" s="2793"/>
      <c r="Z395" s="2793"/>
      <c r="AA395" s="2793"/>
      <c r="AB395" s="2793"/>
      <c r="AC395" s="2793"/>
      <c r="AD395" s="2793"/>
      <c r="AE395" s="2793"/>
      <c r="AF395" s="2793"/>
      <c r="AG395" s="2793"/>
      <c r="AH395" s="2794"/>
      <c r="AI395" s="2793"/>
      <c r="AJ395" s="2793"/>
      <c r="AK395" s="2793"/>
      <c r="AL395" s="2793"/>
      <c r="AM395" s="2793"/>
      <c r="AN395" s="2793"/>
      <c r="AO395" s="2793"/>
      <c r="AP395" s="2793"/>
      <c r="AQ395" s="2793"/>
      <c r="AR395" s="2783"/>
      <c r="AS395" s="2783"/>
      <c r="AT395" s="2783"/>
      <c r="AU395" s="2783"/>
      <c r="AV395" s="2730"/>
      <c r="AY395" s="2730"/>
    </row>
    <row r="396" spans="1:51">
      <c r="A396" s="2730"/>
      <c r="E396" s="2730"/>
      <c r="F396" s="2730"/>
      <c r="G396" s="2730"/>
      <c r="H396" s="2730"/>
      <c r="I396" s="2730"/>
      <c r="J396" s="2730"/>
      <c r="K396" s="2783"/>
      <c r="L396" s="2783"/>
      <c r="M396" s="2793"/>
      <c r="N396" s="2793"/>
      <c r="O396" s="2793"/>
      <c r="P396" s="2793"/>
      <c r="Q396" s="2793"/>
      <c r="R396" s="2793"/>
      <c r="S396" s="2793"/>
      <c r="T396" s="2793"/>
      <c r="U396" s="2793"/>
      <c r="V396" s="2793"/>
      <c r="W396" s="2793"/>
      <c r="X396" s="2793"/>
      <c r="Y396" s="2793"/>
      <c r="Z396" s="2793"/>
      <c r="AA396" s="2793"/>
      <c r="AB396" s="2793"/>
      <c r="AC396" s="2793"/>
      <c r="AD396" s="2793"/>
      <c r="AE396" s="2793"/>
      <c r="AF396" s="2793"/>
      <c r="AG396" s="2793"/>
      <c r="AH396" s="2794"/>
      <c r="AI396" s="2793"/>
      <c r="AJ396" s="2793"/>
      <c r="AK396" s="2793"/>
      <c r="AL396" s="2793"/>
      <c r="AM396" s="2793"/>
      <c r="AN396" s="2793"/>
      <c r="AO396" s="2793"/>
      <c r="AP396" s="2793"/>
      <c r="AQ396" s="2793"/>
      <c r="AR396" s="2783"/>
      <c r="AS396" s="2783"/>
      <c r="AT396" s="2783"/>
      <c r="AU396" s="2783"/>
      <c r="AV396" s="2730"/>
      <c r="AY396" s="2730"/>
    </row>
    <row r="397" spans="1:51">
      <c r="A397" s="2730"/>
      <c r="E397" s="2730"/>
      <c r="F397" s="2730"/>
      <c r="G397" s="2730"/>
      <c r="H397" s="2730"/>
      <c r="I397" s="2730"/>
      <c r="J397" s="2730"/>
      <c r="K397" s="2783"/>
      <c r="L397" s="2783"/>
      <c r="M397" s="2793"/>
      <c r="N397" s="2793"/>
      <c r="O397" s="2793"/>
      <c r="P397" s="2793"/>
      <c r="Q397" s="2793"/>
      <c r="R397" s="2793"/>
      <c r="S397" s="2793"/>
      <c r="T397" s="2793"/>
      <c r="U397" s="2793"/>
      <c r="V397" s="2793"/>
      <c r="W397" s="2793"/>
      <c r="X397" s="2793"/>
      <c r="Y397" s="2793"/>
      <c r="Z397" s="2793"/>
      <c r="AA397" s="2793"/>
      <c r="AB397" s="2793"/>
      <c r="AC397" s="2793"/>
      <c r="AD397" s="2793"/>
      <c r="AE397" s="2793"/>
      <c r="AF397" s="2793"/>
      <c r="AG397" s="2793"/>
      <c r="AH397" s="2794"/>
      <c r="AI397" s="2793"/>
      <c r="AJ397" s="2793"/>
      <c r="AK397" s="2793"/>
      <c r="AL397" s="2793"/>
      <c r="AM397" s="2793"/>
      <c r="AN397" s="2793"/>
      <c r="AO397" s="2793"/>
      <c r="AP397" s="2793"/>
      <c r="AQ397" s="2793"/>
      <c r="AR397" s="2783"/>
      <c r="AS397" s="2783"/>
      <c r="AT397" s="2783"/>
      <c r="AU397" s="2783"/>
      <c r="AV397" s="2730"/>
      <c r="AY397" s="2730"/>
    </row>
    <row r="398" spans="1:51">
      <c r="A398" s="2730"/>
      <c r="E398" s="2730"/>
      <c r="F398" s="2730"/>
      <c r="G398" s="2730"/>
      <c r="H398" s="2730"/>
      <c r="I398" s="2730"/>
      <c r="J398" s="2730"/>
      <c r="K398" s="2783"/>
      <c r="L398" s="2783"/>
      <c r="M398" s="2793"/>
      <c r="N398" s="2793"/>
      <c r="O398" s="2793"/>
      <c r="P398" s="2793"/>
      <c r="Q398" s="2793"/>
      <c r="R398" s="2793"/>
      <c r="S398" s="2793"/>
      <c r="T398" s="2793"/>
      <c r="U398" s="2793"/>
      <c r="V398" s="2793"/>
      <c r="W398" s="2793"/>
      <c r="X398" s="2793"/>
      <c r="Y398" s="2793"/>
      <c r="Z398" s="2793"/>
      <c r="AA398" s="2793"/>
      <c r="AB398" s="2793"/>
      <c r="AC398" s="2793"/>
      <c r="AD398" s="2793"/>
      <c r="AE398" s="2793"/>
      <c r="AF398" s="2793"/>
      <c r="AG398" s="2793"/>
      <c r="AH398" s="2794"/>
      <c r="AI398" s="2793"/>
      <c r="AJ398" s="2793"/>
      <c r="AK398" s="2793"/>
      <c r="AL398" s="2793"/>
      <c r="AM398" s="2793"/>
      <c r="AN398" s="2793"/>
      <c r="AO398" s="2793"/>
      <c r="AP398" s="2793"/>
      <c r="AQ398" s="2793"/>
      <c r="AR398" s="2783"/>
      <c r="AS398" s="2783"/>
      <c r="AT398" s="2783"/>
      <c r="AU398" s="2783"/>
      <c r="AV398" s="2730"/>
      <c r="AY398" s="2730"/>
    </row>
    <row r="399" spans="1:51">
      <c r="A399" s="2730"/>
      <c r="E399" s="2730"/>
      <c r="F399" s="2730"/>
      <c r="G399" s="2730"/>
      <c r="H399" s="2730"/>
      <c r="I399" s="2730"/>
      <c r="J399" s="2730"/>
      <c r="K399" s="2783"/>
      <c r="L399" s="2783"/>
      <c r="M399" s="2793"/>
      <c r="N399" s="2793"/>
      <c r="O399" s="2793"/>
      <c r="P399" s="2793"/>
      <c r="Q399" s="2793"/>
      <c r="R399" s="2793"/>
      <c r="S399" s="2793"/>
      <c r="T399" s="2793"/>
      <c r="U399" s="2793"/>
      <c r="V399" s="2793"/>
      <c r="W399" s="2793"/>
      <c r="X399" s="2793"/>
      <c r="Y399" s="2793"/>
      <c r="Z399" s="2793"/>
      <c r="AA399" s="2793"/>
      <c r="AB399" s="2793"/>
      <c r="AC399" s="2793"/>
      <c r="AD399" s="2793"/>
      <c r="AE399" s="2793"/>
      <c r="AF399" s="2793"/>
      <c r="AG399" s="2793"/>
      <c r="AH399" s="2794"/>
      <c r="AI399" s="2793"/>
      <c r="AJ399" s="2793"/>
      <c r="AK399" s="2793"/>
      <c r="AL399" s="2793"/>
      <c r="AM399" s="2793"/>
      <c r="AN399" s="2793"/>
      <c r="AO399" s="2793"/>
      <c r="AP399" s="2793"/>
      <c r="AQ399" s="2793"/>
      <c r="AR399" s="2783"/>
      <c r="AS399" s="2783"/>
      <c r="AT399" s="2783"/>
      <c r="AU399" s="2783"/>
      <c r="AV399" s="2730"/>
      <c r="AY399" s="2730"/>
    </row>
    <row r="400" spans="1:51">
      <c r="A400" s="2730"/>
      <c r="E400" s="2730"/>
      <c r="F400" s="2730"/>
      <c r="G400" s="2730"/>
      <c r="H400" s="2730"/>
      <c r="I400" s="2730"/>
      <c r="J400" s="2730"/>
      <c r="K400" s="2783"/>
      <c r="L400" s="2783"/>
      <c r="M400" s="2793"/>
      <c r="N400" s="2793"/>
      <c r="O400" s="2793"/>
      <c r="P400" s="2793"/>
      <c r="Q400" s="2793"/>
      <c r="R400" s="2793"/>
      <c r="S400" s="2793"/>
      <c r="T400" s="2793"/>
      <c r="U400" s="2793"/>
      <c r="V400" s="2793"/>
      <c r="W400" s="2793"/>
      <c r="X400" s="2793"/>
      <c r="Y400" s="2793"/>
      <c r="Z400" s="2793"/>
      <c r="AA400" s="2793"/>
      <c r="AB400" s="2793"/>
      <c r="AC400" s="2793"/>
      <c r="AD400" s="2793"/>
      <c r="AE400" s="2793"/>
      <c r="AF400" s="2793"/>
      <c r="AG400" s="2793"/>
      <c r="AH400" s="2794"/>
      <c r="AI400" s="2793"/>
      <c r="AJ400" s="2793"/>
      <c r="AK400" s="2793"/>
      <c r="AL400" s="2793"/>
      <c r="AM400" s="2793"/>
      <c r="AN400" s="2793"/>
      <c r="AO400" s="2793"/>
      <c r="AP400" s="2793"/>
      <c r="AQ400" s="2793"/>
      <c r="AR400" s="2783"/>
      <c r="AS400" s="2783"/>
      <c r="AT400" s="2783"/>
      <c r="AU400" s="2783"/>
      <c r="AV400" s="2730"/>
      <c r="AY400" s="2730"/>
    </row>
    <row r="401" spans="1:51">
      <c r="A401" s="2730"/>
      <c r="E401" s="2730"/>
      <c r="F401" s="2730"/>
      <c r="G401" s="2730"/>
      <c r="H401" s="2730"/>
      <c r="I401" s="2730"/>
      <c r="J401" s="2730"/>
      <c r="K401" s="2783"/>
      <c r="L401" s="2783"/>
      <c r="M401" s="2793"/>
      <c r="N401" s="2793"/>
      <c r="O401" s="2793"/>
      <c r="P401" s="2793"/>
      <c r="Q401" s="2793"/>
      <c r="R401" s="2793"/>
      <c r="S401" s="2793"/>
      <c r="T401" s="2793"/>
      <c r="U401" s="2793"/>
      <c r="V401" s="2793"/>
      <c r="W401" s="2793"/>
      <c r="X401" s="2793"/>
      <c r="Y401" s="2793"/>
      <c r="Z401" s="2793"/>
      <c r="AA401" s="2793"/>
      <c r="AB401" s="2793"/>
      <c r="AC401" s="2793"/>
      <c r="AD401" s="2793"/>
      <c r="AE401" s="2793"/>
      <c r="AF401" s="2793"/>
      <c r="AG401" s="2793"/>
      <c r="AH401" s="2794"/>
      <c r="AI401" s="2793"/>
      <c r="AJ401" s="2793"/>
      <c r="AK401" s="2793"/>
      <c r="AL401" s="2793"/>
      <c r="AM401" s="2793"/>
      <c r="AN401" s="2793"/>
      <c r="AO401" s="2793"/>
      <c r="AP401" s="2793"/>
      <c r="AQ401" s="2793"/>
      <c r="AR401" s="2783"/>
      <c r="AS401" s="2783"/>
      <c r="AT401" s="2783"/>
      <c r="AU401" s="2783"/>
      <c r="AV401" s="2730"/>
      <c r="AY401" s="2730"/>
    </row>
    <row r="402" spans="1:51">
      <c r="A402" s="2730"/>
      <c r="E402" s="2730"/>
      <c r="F402" s="2730"/>
      <c r="G402" s="2730"/>
      <c r="H402" s="2730"/>
      <c r="I402" s="2730"/>
      <c r="J402" s="2730"/>
      <c r="K402" s="2783"/>
      <c r="L402" s="2783"/>
      <c r="M402" s="2793"/>
      <c r="N402" s="2793"/>
      <c r="O402" s="2793"/>
      <c r="P402" s="2793"/>
      <c r="Q402" s="2793"/>
      <c r="R402" s="2793"/>
      <c r="S402" s="2793"/>
      <c r="T402" s="2793"/>
      <c r="U402" s="2793"/>
      <c r="V402" s="2793"/>
      <c r="W402" s="2793"/>
      <c r="X402" s="2793"/>
      <c r="Y402" s="2793"/>
      <c r="Z402" s="2793"/>
      <c r="AA402" s="2793"/>
      <c r="AB402" s="2793"/>
      <c r="AC402" s="2793"/>
      <c r="AD402" s="2793"/>
      <c r="AE402" s="2793"/>
      <c r="AF402" s="2793"/>
      <c r="AG402" s="2793"/>
      <c r="AH402" s="2794"/>
      <c r="AI402" s="2793"/>
      <c r="AJ402" s="2793"/>
      <c r="AK402" s="2793"/>
      <c r="AL402" s="2793"/>
      <c r="AM402" s="2793"/>
      <c r="AN402" s="2793"/>
      <c r="AO402" s="2793"/>
      <c r="AP402" s="2793"/>
      <c r="AQ402" s="2793"/>
      <c r="AR402" s="2783"/>
      <c r="AS402" s="2783"/>
      <c r="AT402" s="2783"/>
      <c r="AU402" s="2783"/>
      <c r="AV402" s="2730"/>
      <c r="AY402" s="2730"/>
    </row>
    <row r="403" spans="1:51">
      <c r="A403" s="2730"/>
      <c r="E403" s="2730"/>
      <c r="F403" s="2730"/>
      <c r="G403" s="2730"/>
      <c r="H403" s="2730"/>
      <c r="I403" s="2730"/>
      <c r="J403" s="2730"/>
      <c r="K403" s="2783"/>
      <c r="L403" s="2783"/>
      <c r="M403" s="2793"/>
      <c r="N403" s="2793"/>
      <c r="O403" s="2793"/>
      <c r="P403" s="2793"/>
      <c r="Q403" s="2793"/>
      <c r="R403" s="2793"/>
      <c r="S403" s="2793"/>
      <c r="T403" s="2793"/>
      <c r="U403" s="2793"/>
      <c r="V403" s="2793"/>
      <c r="W403" s="2793"/>
      <c r="X403" s="2793"/>
      <c r="Y403" s="2793"/>
      <c r="Z403" s="2793"/>
      <c r="AA403" s="2793"/>
      <c r="AB403" s="2793"/>
      <c r="AC403" s="2793"/>
      <c r="AD403" s="2793"/>
      <c r="AE403" s="2793"/>
      <c r="AF403" s="2793"/>
      <c r="AG403" s="2793"/>
      <c r="AH403" s="2794"/>
      <c r="AI403" s="2793"/>
      <c r="AJ403" s="2793"/>
      <c r="AK403" s="2793"/>
      <c r="AL403" s="2793"/>
      <c r="AM403" s="2793"/>
      <c r="AN403" s="2793"/>
      <c r="AO403" s="2793"/>
      <c r="AP403" s="2793"/>
      <c r="AQ403" s="2793"/>
      <c r="AR403" s="2783"/>
      <c r="AS403" s="2783"/>
      <c r="AT403" s="2783"/>
      <c r="AU403" s="2783"/>
      <c r="AV403" s="2730"/>
      <c r="AY403" s="2730"/>
    </row>
    <row r="404" spans="1:51">
      <c r="A404" s="2730"/>
      <c r="E404" s="2730"/>
      <c r="F404" s="2730"/>
      <c r="G404" s="2730"/>
      <c r="H404" s="2730"/>
      <c r="I404" s="2730"/>
      <c r="J404" s="2730"/>
      <c r="K404" s="2783"/>
      <c r="L404" s="2783"/>
      <c r="M404" s="2793"/>
      <c r="N404" s="2793"/>
      <c r="O404" s="2793"/>
      <c r="P404" s="2793"/>
      <c r="Q404" s="2793"/>
      <c r="R404" s="2793"/>
      <c r="S404" s="2793"/>
      <c r="T404" s="2793"/>
      <c r="U404" s="2793"/>
      <c r="V404" s="2793"/>
      <c r="W404" s="2793"/>
      <c r="X404" s="2793"/>
      <c r="Y404" s="2793"/>
      <c r="Z404" s="2793"/>
      <c r="AA404" s="2793"/>
      <c r="AB404" s="2793"/>
      <c r="AC404" s="2793"/>
      <c r="AD404" s="2793"/>
      <c r="AE404" s="2793"/>
      <c r="AF404" s="2793"/>
      <c r="AG404" s="2793"/>
      <c r="AH404" s="2794"/>
      <c r="AI404" s="2793"/>
      <c r="AJ404" s="2793"/>
      <c r="AK404" s="2793"/>
      <c r="AL404" s="2793"/>
      <c r="AM404" s="2793"/>
      <c r="AN404" s="2793"/>
      <c r="AO404" s="2793"/>
      <c r="AP404" s="2793"/>
      <c r="AQ404" s="2793"/>
      <c r="AR404" s="2783"/>
      <c r="AS404" s="2783"/>
      <c r="AT404" s="2783"/>
      <c r="AU404" s="2783"/>
      <c r="AV404" s="2730"/>
      <c r="AY404" s="2730"/>
    </row>
    <row r="405" spans="1:51">
      <c r="A405" s="2730"/>
      <c r="E405" s="2730"/>
      <c r="F405" s="2730"/>
      <c r="G405" s="2730"/>
      <c r="H405" s="2730"/>
      <c r="I405" s="2730"/>
      <c r="J405" s="2730"/>
      <c r="K405" s="2783"/>
      <c r="L405" s="2783"/>
      <c r="M405" s="2793"/>
      <c r="N405" s="2793"/>
      <c r="O405" s="2793"/>
      <c r="P405" s="2793"/>
      <c r="Q405" s="2793"/>
      <c r="R405" s="2793"/>
      <c r="S405" s="2793"/>
      <c r="T405" s="2793"/>
      <c r="U405" s="2793"/>
      <c r="V405" s="2793"/>
      <c r="W405" s="2793"/>
      <c r="X405" s="2793"/>
      <c r="Y405" s="2793"/>
      <c r="Z405" s="2793"/>
      <c r="AA405" s="2793"/>
      <c r="AB405" s="2793"/>
      <c r="AC405" s="2793"/>
      <c r="AD405" s="2793"/>
      <c r="AE405" s="2793"/>
      <c r="AF405" s="2793"/>
      <c r="AG405" s="2793"/>
      <c r="AH405" s="2794"/>
      <c r="AI405" s="2793"/>
      <c r="AJ405" s="2793"/>
      <c r="AK405" s="2793"/>
      <c r="AL405" s="2793"/>
      <c r="AM405" s="2793"/>
      <c r="AN405" s="2793"/>
      <c r="AO405" s="2793"/>
      <c r="AP405" s="2793"/>
      <c r="AQ405" s="2793"/>
      <c r="AR405" s="2783"/>
      <c r="AS405" s="2783"/>
      <c r="AT405" s="2783"/>
      <c r="AU405" s="2783"/>
      <c r="AV405" s="2730"/>
      <c r="AY405" s="2730"/>
    </row>
    <row r="406" spans="1:51">
      <c r="A406" s="2730"/>
      <c r="E406" s="2730"/>
      <c r="F406" s="2730"/>
      <c r="G406" s="2730"/>
      <c r="H406" s="2730"/>
      <c r="I406" s="2730"/>
      <c r="J406" s="2730"/>
      <c r="K406" s="2783"/>
      <c r="L406" s="2783"/>
      <c r="M406" s="2793"/>
      <c r="N406" s="2793"/>
      <c r="O406" s="2793"/>
      <c r="P406" s="2793"/>
      <c r="Q406" s="2793"/>
      <c r="R406" s="2793"/>
      <c r="S406" s="2793"/>
      <c r="T406" s="2793"/>
      <c r="U406" s="2793"/>
      <c r="V406" s="2793"/>
      <c r="W406" s="2793"/>
      <c r="X406" s="2793"/>
      <c r="Y406" s="2793"/>
      <c r="Z406" s="2793"/>
      <c r="AA406" s="2793"/>
      <c r="AB406" s="2793"/>
      <c r="AC406" s="2793"/>
      <c r="AD406" s="2793"/>
      <c r="AE406" s="2793"/>
      <c r="AF406" s="2793"/>
      <c r="AG406" s="2793"/>
      <c r="AH406" s="2794"/>
      <c r="AI406" s="2793"/>
      <c r="AJ406" s="2793"/>
      <c r="AK406" s="2793"/>
      <c r="AL406" s="2793"/>
      <c r="AM406" s="2793"/>
      <c r="AN406" s="2793"/>
      <c r="AO406" s="2793"/>
      <c r="AP406" s="2793"/>
      <c r="AQ406" s="2793"/>
      <c r="AR406" s="2783"/>
      <c r="AS406" s="2783"/>
      <c r="AT406" s="2783"/>
      <c r="AU406" s="2783"/>
      <c r="AV406" s="2730"/>
      <c r="AY406" s="2730"/>
    </row>
    <row r="407" spans="1:51">
      <c r="A407" s="2730"/>
      <c r="E407" s="2730"/>
      <c r="F407" s="2730"/>
      <c r="G407" s="2730"/>
      <c r="H407" s="2730"/>
      <c r="I407" s="2730"/>
      <c r="J407" s="2730"/>
      <c r="K407" s="2783"/>
      <c r="L407" s="2783"/>
      <c r="M407" s="2793"/>
      <c r="N407" s="2793"/>
      <c r="O407" s="2793"/>
      <c r="P407" s="2793"/>
      <c r="Q407" s="2793"/>
      <c r="R407" s="2793"/>
      <c r="S407" s="2793"/>
      <c r="T407" s="2793"/>
      <c r="U407" s="2793"/>
      <c r="V407" s="2793"/>
      <c r="W407" s="2793"/>
      <c r="X407" s="2793"/>
      <c r="Y407" s="2793"/>
      <c r="Z407" s="2793"/>
      <c r="AA407" s="2793"/>
      <c r="AB407" s="2793"/>
      <c r="AC407" s="2793"/>
      <c r="AD407" s="2793"/>
      <c r="AE407" s="2793"/>
      <c r="AF407" s="2793"/>
      <c r="AG407" s="2793"/>
      <c r="AH407" s="2794"/>
      <c r="AI407" s="2793"/>
      <c r="AJ407" s="2793"/>
      <c r="AK407" s="2793"/>
      <c r="AL407" s="2793"/>
      <c r="AM407" s="2793"/>
      <c r="AN407" s="2793"/>
      <c r="AO407" s="2793"/>
      <c r="AP407" s="2793"/>
      <c r="AQ407" s="2793"/>
      <c r="AR407" s="2783"/>
      <c r="AS407" s="2783"/>
      <c r="AT407" s="2783"/>
      <c r="AU407" s="2783"/>
      <c r="AV407" s="2730"/>
      <c r="AY407" s="2730"/>
    </row>
    <row r="408" spans="1:51">
      <c r="A408" s="2730"/>
      <c r="E408" s="2730"/>
      <c r="F408" s="2730"/>
      <c r="G408" s="2730"/>
      <c r="H408" s="2730"/>
      <c r="I408" s="2730"/>
      <c r="J408" s="2730"/>
      <c r="K408" s="2783"/>
      <c r="L408" s="2783"/>
      <c r="M408" s="2793"/>
      <c r="N408" s="2793"/>
      <c r="O408" s="2793"/>
      <c r="P408" s="2793"/>
      <c r="Q408" s="2793"/>
      <c r="R408" s="2793"/>
      <c r="S408" s="2793"/>
      <c r="T408" s="2793"/>
      <c r="U408" s="2793"/>
      <c r="V408" s="2793"/>
      <c r="W408" s="2793"/>
      <c r="X408" s="2793"/>
      <c r="Y408" s="2793"/>
      <c r="Z408" s="2793"/>
      <c r="AA408" s="2793"/>
      <c r="AB408" s="2793"/>
      <c r="AC408" s="2793"/>
      <c r="AD408" s="2793"/>
      <c r="AE408" s="2793"/>
      <c r="AF408" s="2793"/>
      <c r="AG408" s="2793"/>
      <c r="AH408" s="2794"/>
      <c r="AI408" s="2793"/>
      <c r="AJ408" s="2793"/>
      <c r="AK408" s="2793"/>
      <c r="AL408" s="2793"/>
      <c r="AM408" s="2793"/>
      <c r="AN408" s="2793"/>
      <c r="AO408" s="2793"/>
      <c r="AP408" s="2793"/>
      <c r="AQ408" s="2793"/>
      <c r="AR408" s="2783"/>
      <c r="AS408" s="2783"/>
      <c r="AT408" s="2783"/>
      <c r="AU408" s="2783"/>
      <c r="AV408" s="2730"/>
      <c r="AY408" s="2730"/>
    </row>
    <row r="409" spans="1:51">
      <c r="A409" s="2730"/>
      <c r="E409" s="2730"/>
      <c r="F409" s="2730"/>
      <c r="G409" s="2730"/>
      <c r="H409" s="2730"/>
      <c r="I409" s="2730"/>
      <c r="J409" s="2730"/>
      <c r="K409" s="2783"/>
      <c r="L409" s="2783"/>
      <c r="M409" s="2793"/>
      <c r="N409" s="2793"/>
      <c r="O409" s="2793"/>
      <c r="P409" s="2793"/>
      <c r="Q409" s="2793"/>
      <c r="R409" s="2793"/>
      <c r="S409" s="2793"/>
      <c r="T409" s="2793"/>
      <c r="U409" s="2793"/>
      <c r="V409" s="2793"/>
      <c r="W409" s="2793"/>
      <c r="X409" s="2793"/>
      <c r="Y409" s="2793"/>
      <c r="Z409" s="2793"/>
      <c r="AA409" s="2793"/>
      <c r="AB409" s="2793"/>
      <c r="AC409" s="2793"/>
      <c r="AD409" s="2793"/>
      <c r="AE409" s="2793"/>
      <c r="AF409" s="2793"/>
      <c r="AG409" s="2793"/>
      <c r="AH409" s="2794"/>
      <c r="AI409" s="2793"/>
      <c r="AJ409" s="2793"/>
      <c r="AK409" s="2793"/>
      <c r="AL409" s="2793"/>
      <c r="AM409" s="2793"/>
      <c r="AN409" s="2793"/>
      <c r="AO409" s="2793"/>
      <c r="AP409" s="2793"/>
      <c r="AQ409" s="2793"/>
      <c r="AR409" s="2783"/>
      <c r="AS409" s="2783"/>
      <c r="AT409" s="2783"/>
      <c r="AU409" s="2783"/>
      <c r="AV409" s="2730"/>
      <c r="AY409" s="2730"/>
    </row>
    <row r="410" spans="1:51">
      <c r="A410" s="2730"/>
      <c r="E410" s="2730"/>
      <c r="F410" s="2730"/>
      <c r="G410" s="2730"/>
      <c r="H410" s="2730"/>
      <c r="I410" s="2730"/>
      <c r="J410" s="2730"/>
      <c r="K410" s="2783"/>
      <c r="L410" s="2783"/>
      <c r="M410" s="2793"/>
      <c r="N410" s="2793"/>
      <c r="O410" s="2793"/>
      <c r="P410" s="2793"/>
      <c r="Q410" s="2793"/>
      <c r="R410" s="2793"/>
      <c r="S410" s="2793"/>
      <c r="T410" s="2793"/>
      <c r="U410" s="2793"/>
      <c r="V410" s="2793"/>
      <c r="W410" s="2793"/>
      <c r="X410" s="2793"/>
      <c r="Y410" s="2793"/>
      <c r="Z410" s="2793"/>
      <c r="AA410" s="2793"/>
      <c r="AB410" s="2793"/>
      <c r="AC410" s="2793"/>
      <c r="AD410" s="2793"/>
      <c r="AE410" s="2793"/>
      <c r="AF410" s="2793"/>
      <c r="AG410" s="2793"/>
      <c r="AH410" s="2794"/>
      <c r="AI410" s="2793"/>
      <c r="AJ410" s="2793"/>
      <c r="AK410" s="2793"/>
      <c r="AL410" s="2793"/>
      <c r="AM410" s="2793"/>
      <c r="AN410" s="2793"/>
      <c r="AO410" s="2793"/>
      <c r="AP410" s="2793"/>
      <c r="AQ410" s="2793"/>
      <c r="AR410" s="2783"/>
      <c r="AS410" s="2783"/>
      <c r="AT410" s="2783"/>
      <c r="AU410" s="2783"/>
      <c r="AV410" s="2730"/>
      <c r="AY410" s="2730"/>
    </row>
    <row r="411" spans="1:51">
      <c r="A411" s="2730"/>
      <c r="E411" s="2730"/>
      <c r="F411" s="2730"/>
      <c r="G411" s="2730"/>
      <c r="H411" s="2730"/>
      <c r="I411" s="2730"/>
      <c r="J411" s="2730"/>
      <c r="K411" s="2783"/>
      <c r="L411" s="2783"/>
      <c r="M411" s="2793"/>
      <c r="N411" s="2793"/>
      <c r="O411" s="2793"/>
      <c r="P411" s="2793"/>
      <c r="Q411" s="2793"/>
      <c r="R411" s="2793"/>
      <c r="S411" s="2793"/>
      <c r="T411" s="2793"/>
      <c r="U411" s="2793"/>
      <c r="V411" s="2793"/>
      <c r="W411" s="2793"/>
      <c r="X411" s="2793"/>
      <c r="Y411" s="2793"/>
      <c r="Z411" s="2793"/>
      <c r="AA411" s="2793"/>
      <c r="AB411" s="2793"/>
      <c r="AC411" s="2793"/>
      <c r="AD411" s="2793"/>
      <c r="AE411" s="2793"/>
      <c r="AF411" s="2793"/>
      <c r="AG411" s="2793"/>
      <c r="AH411" s="2794"/>
      <c r="AI411" s="2793"/>
      <c r="AJ411" s="2793"/>
      <c r="AK411" s="2793"/>
      <c r="AL411" s="2793"/>
      <c r="AM411" s="2793"/>
      <c r="AN411" s="2793"/>
      <c r="AO411" s="2793"/>
      <c r="AP411" s="2793"/>
      <c r="AQ411" s="2793"/>
      <c r="AR411" s="2783"/>
      <c r="AS411" s="2783"/>
      <c r="AT411" s="2783"/>
      <c r="AU411" s="2783"/>
      <c r="AV411" s="2730"/>
      <c r="AY411" s="2730"/>
    </row>
    <row r="412" spans="1:51">
      <c r="A412" s="2730"/>
      <c r="E412" s="2730"/>
      <c r="F412" s="2730"/>
      <c r="G412" s="2730"/>
      <c r="H412" s="2730"/>
      <c r="I412" s="2730"/>
      <c r="J412" s="2730"/>
      <c r="K412" s="2783"/>
      <c r="L412" s="2783"/>
      <c r="M412" s="2793"/>
      <c r="N412" s="2793"/>
      <c r="O412" s="2793"/>
      <c r="P412" s="2793"/>
      <c r="Q412" s="2793"/>
      <c r="R412" s="2793"/>
      <c r="S412" s="2793"/>
      <c r="T412" s="2793"/>
      <c r="U412" s="2793"/>
      <c r="V412" s="2793"/>
      <c r="W412" s="2793"/>
      <c r="X412" s="2793"/>
      <c r="Y412" s="2793"/>
      <c r="Z412" s="2793"/>
      <c r="AA412" s="2793"/>
      <c r="AB412" s="2793"/>
      <c r="AC412" s="2793"/>
      <c r="AD412" s="2793"/>
      <c r="AE412" s="2793"/>
      <c r="AF412" s="2793"/>
      <c r="AG412" s="2793"/>
      <c r="AH412" s="2794"/>
      <c r="AI412" s="2793"/>
      <c r="AJ412" s="2793"/>
      <c r="AK412" s="2793"/>
      <c r="AL412" s="2793"/>
      <c r="AM412" s="2793"/>
      <c r="AN412" s="2793"/>
      <c r="AO412" s="2793"/>
      <c r="AP412" s="2793"/>
      <c r="AQ412" s="2793"/>
      <c r="AR412" s="2783"/>
      <c r="AS412" s="2783"/>
      <c r="AT412" s="2783"/>
      <c r="AU412" s="2783"/>
      <c r="AV412" s="2730"/>
      <c r="AY412" s="2730"/>
    </row>
    <row r="413" spans="1:51">
      <c r="A413" s="2730"/>
      <c r="E413" s="2730"/>
      <c r="F413" s="2730"/>
      <c r="G413" s="2730"/>
      <c r="H413" s="2730"/>
      <c r="I413" s="2730"/>
      <c r="J413" s="2730"/>
      <c r="K413" s="2783"/>
      <c r="L413" s="2783"/>
      <c r="M413" s="2793"/>
      <c r="N413" s="2793"/>
      <c r="O413" s="2793"/>
      <c r="P413" s="2793"/>
      <c r="Q413" s="2793"/>
      <c r="R413" s="2793"/>
      <c r="S413" s="2793"/>
      <c r="T413" s="2793"/>
      <c r="U413" s="2793"/>
      <c r="V413" s="2793"/>
      <c r="W413" s="2793"/>
      <c r="X413" s="2793"/>
      <c r="Y413" s="2793"/>
      <c r="Z413" s="2793"/>
      <c r="AA413" s="2793"/>
      <c r="AB413" s="2793"/>
      <c r="AC413" s="2793"/>
      <c r="AD413" s="2793"/>
      <c r="AE413" s="2793"/>
      <c r="AF413" s="2793"/>
      <c r="AG413" s="2793"/>
      <c r="AH413" s="2794"/>
      <c r="AI413" s="2793"/>
      <c r="AJ413" s="2793"/>
      <c r="AK413" s="2793"/>
      <c r="AL413" s="2793"/>
      <c r="AM413" s="2793"/>
      <c r="AN413" s="2793"/>
      <c r="AO413" s="2793"/>
      <c r="AP413" s="2793"/>
      <c r="AQ413" s="2793"/>
      <c r="AR413" s="2783"/>
      <c r="AS413" s="2783"/>
      <c r="AT413" s="2783"/>
      <c r="AU413" s="2783"/>
      <c r="AV413" s="2730"/>
      <c r="AY413" s="2730"/>
    </row>
    <row r="414" spans="1:51">
      <c r="A414" s="2730"/>
      <c r="E414" s="2730"/>
      <c r="F414" s="2730"/>
      <c r="G414" s="2730"/>
      <c r="H414" s="2730"/>
      <c r="I414" s="2730"/>
      <c r="J414" s="2730"/>
      <c r="K414" s="2783"/>
      <c r="L414" s="2783"/>
      <c r="M414" s="2793"/>
      <c r="N414" s="2793"/>
      <c r="O414" s="2793"/>
      <c r="P414" s="2793"/>
      <c r="Q414" s="2793"/>
      <c r="R414" s="2793"/>
      <c r="S414" s="2793"/>
      <c r="T414" s="2793"/>
      <c r="U414" s="2793"/>
      <c r="V414" s="2793"/>
      <c r="W414" s="2793"/>
      <c r="X414" s="2793"/>
      <c r="Y414" s="2793"/>
      <c r="Z414" s="2793"/>
      <c r="AA414" s="2793"/>
      <c r="AB414" s="2793"/>
      <c r="AC414" s="2793"/>
      <c r="AD414" s="2793"/>
      <c r="AE414" s="2793"/>
      <c r="AF414" s="2793"/>
      <c r="AG414" s="2793"/>
      <c r="AH414" s="2794"/>
      <c r="AI414" s="2793"/>
      <c r="AJ414" s="2793"/>
      <c r="AK414" s="2793"/>
      <c r="AL414" s="2793"/>
      <c r="AM414" s="2793"/>
      <c r="AN414" s="2793"/>
      <c r="AO414" s="2793"/>
      <c r="AP414" s="2793"/>
      <c r="AQ414" s="2793"/>
      <c r="AR414" s="2783"/>
      <c r="AS414" s="2783"/>
      <c r="AT414" s="2783"/>
      <c r="AU414" s="2783"/>
      <c r="AV414" s="2730"/>
      <c r="AY414" s="2730"/>
    </row>
    <row r="415" spans="1:51">
      <c r="A415" s="2730"/>
      <c r="E415" s="2730"/>
      <c r="F415" s="2730"/>
      <c r="G415" s="2730"/>
      <c r="H415" s="2730"/>
      <c r="I415" s="2730"/>
      <c r="J415" s="2730"/>
      <c r="K415" s="2783"/>
      <c r="L415" s="2783"/>
      <c r="M415" s="2793"/>
      <c r="N415" s="2793"/>
      <c r="O415" s="2793"/>
      <c r="P415" s="2793"/>
      <c r="Q415" s="2793"/>
      <c r="R415" s="2793"/>
      <c r="S415" s="2793"/>
      <c r="T415" s="2793"/>
      <c r="U415" s="2793"/>
      <c r="V415" s="2793"/>
      <c r="W415" s="2793"/>
      <c r="X415" s="2793"/>
      <c r="Y415" s="2793"/>
      <c r="Z415" s="2793"/>
      <c r="AA415" s="2793"/>
      <c r="AB415" s="2793"/>
      <c r="AC415" s="2793"/>
      <c r="AD415" s="2793"/>
      <c r="AE415" s="2793"/>
      <c r="AF415" s="2793"/>
      <c r="AG415" s="2793"/>
      <c r="AH415" s="2794"/>
      <c r="AI415" s="2793"/>
      <c r="AJ415" s="2793"/>
      <c r="AK415" s="2793"/>
      <c r="AL415" s="2793"/>
      <c r="AM415" s="2793"/>
      <c r="AN415" s="2793"/>
      <c r="AO415" s="2793"/>
      <c r="AP415" s="2793"/>
      <c r="AQ415" s="2793"/>
      <c r="AR415" s="2783"/>
      <c r="AS415" s="2783"/>
      <c r="AT415" s="2783"/>
      <c r="AU415" s="2783"/>
      <c r="AV415" s="2730"/>
      <c r="AY415" s="2730"/>
    </row>
    <row r="416" spans="1:51">
      <c r="A416" s="2730"/>
      <c r="E416" s="2730"/>
      <c r="F416" s="2730"/>
      <c r="G416" s="2730"/>
      <c r="H416" s="2730"/>
      <c r="I416" s="2730"/>
      <c r="J416" s="2730"/>
      <c r="K416" s="2783"/>
      <c r="L416" s="2783"/>
      <c r="M416" s="2793"/>
      <c r="N416" s="2793"/>
      <c r="O416" s="2793"/>
      <c r="P416" s="2793"/>
      <c r="Q416" s="2793"/>
      <c r="R416" s="2793"/>
      <c r="S416" s="2793"/>
      <c r="T416" s="2793"/>
      <c r="U416" s="2793"/>
      <c r="V416" s="2793"/>
      <c r="W416" s="2793"/>
      <c r="X416" s="2793"/>
      <c r="Y416" s="2793"/>
      <c r="Z416" s="2793"/>
      <c r="AA416" s="2793"/>
      <c r="AB416" s="2793"/>
      <c r="AC416" s="2793"/>
      <c r="AD416" s="2793"/>
      <c r="AE416" s="2793"/>
      <c r="AF416" s="2793"/>
      <c r="AG416" s="2793"/>
      <c r="AH416" s="2794"/>
      <c r="AI416" s="2793"/>
      <c r="AJ416" s="2793"/>
      <c r="AK416" s="2793"/>
      <c r="AL416" s="2793"/>
      <c r="AM416" s="2793"/>
      <c r="AN416" s="2793"/>
      <c r="AO416" s="2793"/>
      <c r="AP416" s="2793"/>
      <c r="AQ416" s="2793"/>
      <c r="AR416" s="2783"/>
      <c r="AS416" s="2783"/>
      <c r="AT416" s="2783"/>
      <c r="AU416" s="2783"/>
      <c r="AV416" s="2730"/>
      <c r="AY416" s="2730"/>
    </row>
    <row r="417" spans="1:51">
      <c r="A417" s="2730"/>
      <c r="E417" s="2730"/>
      <c r="F417" s="2730"/>
      <c r="G417" s="2730"/>
      <c r="H417" s="2730"/>
      <c r="I417" s="2730"/>
      <c r="J417" s="2730"/>
      <c r="K417" s="2783"/>
      <c r="L417" s="2783"/>
      <c r="M417" s="2793"/>
      <c r="N417" s="2793"/>
      <c r="O417" s="2793"/>
      <c r="P417" s="2793"/>
      <c r="Q417" s="2793"/>
      <c r="R417" s="2793"/>
      <c r="S417" s="2793"/>
      <c r="T417" s="2793"/>
      <c r="U417" s="2793"/>
      <c r="V417" s="2793"/>
      <c r="W417" s="2793"/>
      <c r="X417" s="2793"/>
      <c r="Y417" s="2793"/>
      <c r="Z417" s="2793"/>
      <c r="AA417" s="2793"/>
      <c r="AB417" s="2793"/>
      <c r="AC417" s="2793"/>
      <c r="AD417" s="2793"/>
      <c r="AE417" s="2793"/>
      <c r="AF417" s="2793"/>
      <c r="AG417" s="2793"/>
      <c r="AH417" s="2794"/>
      <c r="AI417" s="2793"/>
      <c r="AJ417" s="2793"/>
      <c r="AK417" s="2793"/>
      <c r="AL417" s="2793"/>
      <c r="AM417" s="2793"/>
      <c r="AN417" s="2793"/>
      <c r="AO417" s="2793"/>
      <c r="AP417" s="2793"/>
      <c r="AQ417" s="2793"/>
      <c r="AR417" s="2783"/>
      <c r="AS417" s="2783"/>
      <c r="AT417" s="2783"/>
      <c r="AU417" s="2783"/>
      <c r="AV417" s="2730"/>
      <c r="AY417" s="2730"/>
    </row>
    <row r="418" spans="1:51">
      <c r="A418" s="2730"/>
      <c r="E418" s="2730"/>
      <c r="F418" s="2730"/>
      <c r="G418" s="2730"/>
      <c r="H418" s="2730"/>
      <c r="I418" s="2730"/>
      <c r="J418" s="2730"/>
      <c r="K418" s="2783"/>
      <c r="L418" s="2783"/>
      <c r="M418" s="2793"/>
      <c r="N418" s="2793"/>
      <c r="O418" s="2793"/>
      <c r="P418" s="2793"/>
      <c r="Q418" s="2793"/>
      <c r="R418" s="2793"/>
      <c r="S418" s="2793"/>
      <c r="T418" s="2793"/>
      <c r="U418" s="2793"/>
      <c r="V418" s="2793"/>
      <c r="W418" s="2793"/>
      <c r="X418" s="2793"/>
      <c r="Y418" s="2793"/>
      <c r="Z418" s="2793"/>
      <c r="AA418" s="2793"/>
      <c r="AB418" s="2793"/>
      <c r="AC418" s="2793"/>
      <c r="AD418" s="2793"/>
      <c r="AE418" s="2793"/>
      <c r="AF418" s="2793"/>
      <c r="AG418" s="2793"/>
      <c r="AH418" s="2794"/>
      <c r="AI418" s="2793"/>
      <c r="AJ418" s="2793"/>
      <c r="AK418" s="2793"/>
      <c r="AL418" s="2793"/>
      <c r="AM418" s="2793"/>
      <c r="AN418" s="2793"/>
      <c r="AO418" s="2793"/>
      <c r="AP418" s="2793"/>
      <c r="AQ418" s="2793"/>
      <c r="AR418" s="2783"/>
      <c r="AS418" s="2783"/>
      <c r="AT418" s="2783"/>
      <c r="AU418" s="2783"/>
      <c r="AV418" s="2730"/>
      <c r="AY418" s="2730"/>
    </row>
    <row r="419" spans="1:51">
      <c r="A419" s="2730"/>
      <c r="E419" s="2730"/>
      <c r="F419" s="2730"/>
      <c r="G419" s="2730"/>
      <c r="H419" s="2730"/>
      <c r="I419" s="2730"/>
      <c r="J419" s="2730"/>
      <c r="K419" s="2783"/>
      <c r="L419" s="2783"/>
      <c r="M419" s="2793"/>
      <c r="N419" s="2793"/>
      <c r="O419" s="2793"/>
      <c r="P419" s="2793"/>
      <c r="Q419" s="2793"/>
      <c r="R419" s="2793"/>
      <c r="S419" s="2793"/>
      <c r="T419" s="2793"/>
      <c r="U419" s="2793"/>
      <c r="V419" s="2793"/>
      <c r="W419" s="2793"/>
      <c r="X419" s="2793"/>
      <c r="Y419" s="2793"/>
      <c r="Z419" s="2793"/>
      <c r="AA419" s="2793"/>
      <c r="AB419" s="2793"/>
      <c r="AC419" s="2793"/>
      <c r="AD419" s="2793"/>
      <c r="AE419" s="2793"/>
      <c r="AF419" s="2793"/>
      <c r="AG419" s="2793"/>
      <c r="AH419" s="2794"/>
      <c r="AI419" s="2793"/>
      <c r="AJ419" s="2793"/>
      <c r="AK419" s="2793"/>
      <c r="AL419" s="2793"/>
      <c r="AM419" s="2793"/>
      <c r="AN419" s="2793"/>
      <c r="AO419" s="2793"/>
      <c r="AP419" s="2793"/>
      <c r="AQ419" s="2793"/>
      <c r="AR419" s="2783"/>
      <c r="AS419" s="2783"/>
      <c r="AT419" s="2783"/>
      <c r="AU419" s="2783"/>
      <c r="AV419" s="2730"/>
      <c r="AY419" s="2730"/>
    </row>
    <row r="420" spans="1:51">
      <c r="A420" s="2730"/>
      <c r="E420" s="2730"/>
      <c r="F420" s="2730"/>
      <c r="G420" s="2730"/>
      <c r="H420" s="2730"/>
      <c r="I420" s="2730"/>
      <c r="J420" s="2730"/>
      <c r="K420" s="2783"/>
      <c r="L420" s="2783"/>
      <c r="M420" s="2793"/>
      <c r="N420" s="2793"/>
      <c r="O420" s="2793"/>
      <c r="P420" s="2793"/>
      <c r="Q420" s="2793"/>
      <c r="R420" s="2793"/>
      <c r="S420" s="2793"/>
      <c r="T420" s="2793"/>
      <c r="U420" s="2793"/>
      <c r="V420" s="2793"/>
      <c r="W420" s="2793"/>
      <c r="X420" s="2793"/>
      <c r="Y420" s="2793"/>
      <c r="Z420" s="2793"/>
      <c r="AA420" s="2793"/>
      <c r="AB420" s="2793"/>
      <c r="AC420" s="2793"/>
      <c r="AD420" s="2793"/>
      <c r="AE420" s="2793"/>
      <c r="AF420" s="2793"/>
      <c r="AG420" s="2793"/>
      <c r="AH420" s="2794"/>
      <c r="AI420" s="2793"/>
      <c r="AJ420" s="2793"/>
      <c r="AK420" s="2793"/>
      <c r="AL420" s="2793"/>
      <c r="AM420" s="2793"/>
      <c r="AN420" s="2793"/>
      <c r="AO420" s="2793"/>
      <c r="AP420" s="2793"/>
      <c r="AQ420" s="2793"/>
      <c r="AR420" s="2783"/>
      <c r="AS420" s="2783"/>
      <c r="AT420" s="2783"/>
      <c r="AU420" s="2783"/>
      <c r="AV420" s="2730"/>
      <c r="AY420" s="2730"/>
    </row>
    <row r="421" spans="1:51">
      <c r="A421" s="2730"/>
      <c r="E421" s="2730"/>
      <c r="F421" s="2730"/>
      <c r="G421" s="2730"/>
      <c r="H421" s="2730"/>
      <c r="I421" s="2730"/>
      <c r="J421" s="2730"/>
      <c r="K421" s="2783"/>
      <c r="L421" s="2783"/>
      <c r="M421" s="2793"/>
      <c r="N421" s="2793"/>
      <c r="O421" s="2793"/>
      <c r="P421" s="2793"/>
      <c r="Q421" s="2793"/>
      <c r="R421" s="2793"/>
      <c r="S421" s="2793"/>
      <c r="T421" s="2793"/>
      <c r="U421" s="2793"/>
      <c r="V421" s="2793"/>
      <c r="W421" s="2793"/>
      <c r="X421" s="2793"/>
      <c r="Y421" s="2793"/>
      <c r="Z421" s="2793"/>
      <c r="AA421" s="2793"/>
      <c r="AB421" s="2793"/>
      <c r="AC421" s="2793"/>
      <c r="AD421" s="2793"/>
      <c r="AE421" s="2793"/>
      <c r="AF421" s="2793"/>
      <c r="AG421" s="2793"/>
      <c r="AH421" s="2794"/>
      <c r="AI421" s="2793"/>
      <c r="AJ421" s="2793"/>
      <c r="AK421" s="2793"/>
      <c r="AL421" s="2793"/>
      <c r="AM421" s="2793"/>
      <c r="AN421" s="2793"/>
      <c r="AO421" s="2793"/>
      <c r="AP421" s="2793"/>
      <c r="AQ421" s="2793"/>
      <c r="AR421" s="2783"/>
      <c r="AS421" s="2783"/>
      <c r="AT421" s="2783"/>
      <c r="AU421" s="2783"/>
      <c r="AV421" s="2730"/>
      <c r="AY421" s="2730"/>
    </row>
    <row r="422" spans="1:51">
      <c r="A422" s="2730"/>
      <c r="E422" s="2730"/>
      <c r="F422" s="2730"/>
      <c r="G422" s="2730"/>
      <c r="H422" s="2730"/>
      <c r="I422" s="2730"/>
      <c r="J422" s="2730"/>
      <c r="K422" s="2783"/>
      <c r="L422" s="2783"/>
      <c r="M422" s="2793"/>
      <c r="N422" s="2793"/>
      <c r="O422" s="2793"/>
      <c r="P422" s="2793"/>
      <c r="Q422" s="2793"/>
      <c r="R422" s="2793"/>
      <c r="S422" s="2793"/>
      <c r="T422" s="2793"/>
      <c r="U422" s="2793"/>
      <c r="V422" s="2793"/>
      <c r="W422" s="2793"/>
      <c r="X422" s="2793"/>
      <c r="Y422" s="2793"/>
      <c r="Z422" s="2793"/>
      <c r="AA422" s="2793"/>
      <c r="AB422" s="2793"/>
      <c r="AC422" s="2793"/>
      <c r="AD422" s="2793"/>
      <c r="AE422" s="2793"/>
      <c r="AF422" s="2793"/>
      <c r="AG422" s="2793"/>
      <c r="AH422" s="2794"/>
      <c r="AI422" s="2793"/>
      <c r="AJ422" s="2793"/>
      <c r="AK422" s="2793"/>
      <c r="AL422" s="2793"/>
      <c r="AM422" s="2793"/>
      <c r="AN422" s="2793"/>
      <c r="AO422" s="2793"/>
      <c r="AP422" s="2793"/>
      <c r="AQ422" s="2793"/>
      <c r="AR422" s="2783"/>
      <c r="AS422" s="2783"/>
      <c r="AT422" s="2783"/>
      <c r="AU422" s="2783"/>
      <c r="AV422" s="2730"/>
      <c r="AY422" s="2730"/>
    </row>
    <row r="423" spans="1:51">
      <c r="A423" s="2730"/>
      <c r="E423" s="2730"/>
      <c r="F423" s="2730"/>
      <c r="G423" s="2730"/>
      <c r="H423" s="2730"/>
      <c r="I423" s="2730"/>
      <c r="J423" s="2730"/>
      <c r="K423" s="2783"/>
      <c r="L423" s="2783"/>
      <c r="M423" s="2793"/>
      <c r="N423" s="2793"/>
      <c r="O423" s="2793"/>
      <c r="P423" s="2793"/>
      <c r="Q423" s="2793"/>
      <c r="R423" s="2793"/>
      <c r="S423" s="2793"/>
      <c r="T423" s="2793"/>
      <c r="U423" s="2793"/>
      <c r="V423" s="2793"/>
      <c r="W423" s="2793"/>
      <c r="X423" s="2793"/>
      <c r="Y423" s="2793"/>
      <c r="Z423" s="2793"/>
      <c r="AA423" s="2793"/>
      <c r="AB423" s="2793"/>
      <c r="AC423" s="2793"/>
      <c r="AD423" s="2793"/>
      <c r="AE423" s="2793"/>
      <c r="AF423" s="2793"/>
      <c r="AG423" s="2793"/>
      <c r="AH423" s="2794"/>
      <c r="AI423" s="2793"/>
      <c r="AJ423" s="2793"/>
      <c r="AK423" s="2793"/>
      <c r="AL423" s="2793"/>
      <c r="AM423" s="2793"/>
      <c r="AN423" s="2793"/>
      <c r="AO423" s="2793"/>
      <c r="AP423" s="2793"/>
      <c r="AQ423" s="2793"/>
      <c r="AR423" s="2783"/>
      <c r="AS423" s="2783"/>
      <c r="AT423" s="2783"/>
      <c r="AU423" s="2783"/>
      <c r="AV423" s="2730"/>
      <c r="AY423" s="2730"/>
    </row>
    <row r="424" spans="1:51">
      <c r="A424" s="2730"/>
      <c r="E424" s="2730"/>
      <c r="F424" s="2730"/>
      <c r="G424" s="2730"/>
      <c r="H424" s="2730"/>
      <c r="I424" s="2730"/>
      <c r="J424" s="2730"/>
      <c r="K424" s="2783"/>
      <c r="L424" s="2783"/>
      <c r="M424" s="2793"/>
      <c r="N424" s="2793"/>
      <c r="O424" s="2793"/>
      <c r="P424" s="2793"/>
      <c r="Q424" s="2793"/>
      <c r="R424" s="2793"/>
      <c r="S424" s="2793"/>
      <c r="T424" s="2793"/>
      <c r="U424" s="2793"/>
      <c r="V424" s="2793"/>
      <c r="W424" s="2793"/>
      <c r="X424" s="2793"/>
      <c r="Y424" s="2793"/>
      <c r="Z424" s="2793"/>
      <c r="AA424" s="2793"/>
      <c r="AB424" s="2793"/>
      <c r="AC424" s="2793"/>
      <c r="AD424" s="2793"/>
      <c r="AE424" s="2793"/>
      <c r="AF424" s="2793"/>
      <c r="AG424" s="2793"/>
      <c r="AH424" s="2794"/>
      <c r="AI424" s="2793"/>
      <c r="AJ424" s="2793"/>
      <c r="AK424" s="2793"/>
      <c r="AL424" s="2793"/>
      <c r="AM424" s="2793"/>
      <c r="AN424" s="2793"/>
      <c r="AO424" s="2793"/>
      <c r="AP424" s="2793"/>
      <c r="AQ424" s="2793"/>
      <c r="AR424" s="2783"/>
      <c r="AS424" s="2783"/>
      <c r="AT424" s="2783"/>
      <c r="AU424" s="2783"/>
      <c r="AV424" s="2730"/>
      <c r="AY424" s="2730"/>
    </row>
    <row r="425" spans="1:51">
      <c r="A425" s="2730"/>
      <c r="E425" s="2730"/>
      <c r="F425" s="2730"/>
      <c r="G425" s="2730"/>
      <c r="H425" s="2730"/>
      <c r="I425" s="2730"/>
      <c r="J425" s="2730"/>
      <c r="K425" s="2783"/>
      <c r="L425" s="2783"/>
      <c r="M425" s="2793"/>
      <c r="N425" s="2793"/>
      <c r="O425" s="2793"/>
      <c r="P425" s="2793"/>
      <c r="Q425" s="2793"/>
      <c r="R425" s="2793"/>
      <c r="S425" s="2793"/>
      <c r="T425" s="2793"/>
      <c r="U425" s="2793"/>
      <c r="V425" s="2793"/>
      <c r="W425" s="2793"/>
      <c r="X425" s="2793"/>
      <c r="Y425" s="2793"/>
      <c r="Z425" s="2793"/>
      <c r="AA425" s="2793"/>
      <c r="AB425" s="2793"/>
      <c r="AC425" s="2793"/>
      <c r="AD425" s="2793"/>
      <c r="AE425" s="2793"/>
      <c r="AF425" s="2793"/>
      <c r="AG425" s="2793"/>
      <c r="AH425" s="2794"/>
      <c r="AI425" s="2793"/>
      <c r="AJ425" s="2793"/>
      <c r="AK425" s="2793"/>
      <c r="AL425" s="2793"/>
      <c r="AM425" s="2793"/>
      <c r="AN425" s="2793"/>
      <c r="AO425" s="2793"/>
      <c r="AP425" s="2793"/>
      <c r="AQ425" s="2793"/>
      <c r="AR425" s="2783"/>
      <c r="AS425" s="2783"/>
      <c r="AT425" s="2783"/>
      <c r="AU425" s="2783"/>
      <c r="AV425" s="2730"/>
      <c r="AY425" s="2730"/>
    </row>
    <row r="426" spans="1:51">
      <c r="A426" s="2730"/>
      <c r="E426" s="2730"/>
      <c r="F426" s="2730"/>
      <c r="G426" s="2730"/>
      <c r="H426" s="2730"/>
      <c r="I426" s="2730"/>
      <c r="J426" s="2730"/>
      <c r="K426" s="2783"/>
      <c r="L426" s="2783"/>
      <c r="M426" s="2793"/>
      <c r="N426" s="2793"/>
      <c r="O426" s="2793"/>
      <c r="P426" s="2793"/>
      <c r="Q426" s="2793"/>
      <c r="R426" s="2793"/>
      <c r="S426" s="2793"/>
      <c r="T426" s="2793"/>
      <c r="U426" s="2793"/>
      <c r="V426" s="2793"/>
      <c r="W426" s="2793"/>
      <c r="X426" s="2793"/>
      <c r="Y426" s="2793"/>
      <c r="Z426" s="2793"/>
      <c r="AA426" s="2793"/>
      <c r="AB426" s="2793"/>
      <c r="AC426" s="2793"/>
      <c r="AD426" s="2793"/>
      <c r="AE426" s="2793"/>
      <c r="AF426" s="2793"/>
      <c r="AG426" s="2793"/>
      <c r="AH426" s="2794"/>
      <c r="AI426" s="2793"/>
      <c r="AJ426" s="2793"/>
      <c r="AK426" s="2793"/>
      <c r="AL426" s="2793"/>
      <c r="AM426" s="2793"/>
      <c r="AN426" s="2793"/>
      <c r="AO426" s="2793"/>
      <c r="AP426" s="2793"/>
      <c r="AQ426" s="2793"/>
      <c r="AR426" s="2783"/>
      <c r="AS426" s="2783"/>
      <c r="AT426" s="2783"/>
      <c r="AU426" s="2783"/>
      <c r="AV426" s="2730"/>
      <c r="AY426" s="2730"/>
    </row>
    <row r="427" spans="1:51">
      <c r="A427" s="2730"/>
      <c r="E427" s="2730"/>
      <c r="F427" s="2730"/>
      <c r="G427" s="2730"/>
      <c r="H427" s="2730"/>
      <c r="I427" s="2730"/>
      <c r="J427" s="2730"/>
      <c r="K427" s="2783"/>
      <c r="L427" s="2783"/>
      <c r="M427" s="2793"/>
      <c r="N427" s="2793"/>
      <c r="O427" s="2793"/>
      <c r="P427" s="2793"/>
      <c r="Q427" s="2793"/>
      <c r="R427" s="2793"/>
      <c r="S427" s="2793"/>
      <c r="T427" s="2793"/>
      <c r="U427" s="2793"/>
      <c r="V427" s="2793"/>
      <c r="W427" s="2793"/>
      <c r="X427" s="2793"/>
      <c r="Y427" s="2793"/>
      <c r="Z427" s="2793"/>
      <c r="AA427" s="2793"/>
      <c r="AB427" s="2793"/>
      <c r="AC427" s="2793"/>
      <c r="AD427" s="2793"/>
      <c r="AE427" s="2793"/>
      <c r="AF427" s="2793"/>
      <c r="AG427" s="2793"/>
      <c r="AH427" s="2794"/>
      <c r="AI427" s="2793"/>
      <c r="AJ427" s="2793"/>
      <c r="AK427" s="2793"/>
      <c r="AL427" s="2793"/>
      <c r="AM427" s="2793"/>
      <c r="AN427" s="2793"/>
      <c r="AO427" s="2793"/>
      <c r="AP427" s="2793"/>
      <c r="AQ427" s="2793"/>
      <c r="AR427" s="2783"/>
      <c r="AS427" s="2783"/>
      <c r="AT427" s="2783"/>
      <c r="AU427" s="2783"/>
      <c r="AV427" s="2730"/>
      <c r="AY427" s="2730"/>
    </row>
    <row r="428" spans="1:51">
      <c r="A428" s="2730"/>
      <c r="E428" s="2730"/>
      <c r="F428" s="2730"/>
      <c r="G428" s="2730"/>
      <c r="H428" s="2730"/>
      <c r="I428" s="2730"/>
      <c r="J428" s="2730"/>
      <c r="K428" s="2783"/>
      <c r="L428" s="2783"/>
      <c r="M428" s="2793"/>
      <c r="N428" s="2793"/>
      <c r="O428" s="2793"/>
      <c r="P428" s="2793"/>
      <c r="Q428" s="2793"/>
      <c r="R428" s="2793"/>
      <c r="S428" s="2793"/>
      <c r="T428" s="2793"/>
      <c r="U428" s="2793"/>
      <c r="V428" s="2793"/>
      <c r="W428" s="2793"/>
      <c r="X428" s="2793"/>
      <c r="Y428" s="2793"/>
      <c r="Z428" s="2793"/>
      <c r="AA428" s="2793"/>
      <c r="AB428" s="2793"/>
      <c r="AC428" s="2793"/>
      <c r="AD428" s="2793"/>
      <c r="AE428" s="2793"/>
      <c r="AF428" s="2793"/>
      <c r="AG428" s="2793"/>
      <c r="AH428" s="2794"/>
      <c r="AI428" s="2793"/>
      <c r="AJ428" s="2793"/>
      <c r="AK428" s="2793"/>
      <c r="AL428" s="2793"/>
      <c r="AM428" s="2793"/>
      <c r="AN428" s="2793"/>
      <c r="AO428" s="2793"/>
      <c r="AP428" s="2793"/>
      <c r="AQ428" s="2793"/>
      <c r="AR428" s="2783"/>
      <c r="AS428" s="2783"/>
      <c r="AT428" s="2783"/>
      <c r="AU428" s="2783"/>
      <c r="AV428" s="2730"/>
      <c r="AY428" s="2730"/>
    </row>
    <row r="429" spans="1:51">
      <c r="A429" s="2730"/>
      <c r="E429" s="2730"/>
      <c r="F429" s="2730"/>
      <c r="G429" s="2730"/>
      <c r="H429" s="2730"/>
      <c r="I429" s="2730"/>
      <c r="J429" s="2730"/>
      <c r="K429" s="2783"/>
      <c r="L429" s="2783"/>
      <c r="M429" s="2793"/>
      <c r="N429" s="2793"/>
      <c r="O429" s="2793"/>
      <c r="P429" s="2793"/>
      <c r="Q429" s="2793"/>
      <c r="R429" s="2793"/>
      <c r="S429" s="2793"/>
      <c r="T429" s="2793"/>
      <c r="U429" s="2793"/>
      <c r="V429" s="2793"/>
      <c r="W429" s="2793"/>
      <c r="X429" s="2793"/>
      <c r="Y429" s="2793"/>
      <c r="Z429" s="2793"/>
      <c r="AA429" s="2793"/>
      <c r="AB429" s="2793"/>
      <c r="AC429" s="2793"/>
      <c r="AD429" s="2793"/>
      <c r="AE429" s="2793"/>
      <c r="AF429" s="2793"/>
      <c r="AG429" s="2793"/>
      <c r="AH429" s="2794"/>
      <c r="AI429" s="2793"/>
      <c r="AJ429" s="2793"/>
      <c r="AK429" s="2793"/>
      <c r="AL429" s="2793"/>
      <c r="AM429" s="2793"/>
      <c r="AN429" s="2793"/>
      <c r="AO429" s="2793"/>
      <c r="AP429" s="2793"/>
      <c r="AQ429" s="2793"/>
      <c r="AR429" s="2783"/>
      <c r="AS429" s="2783"/>
      <c r="AT429" s="2783"/>
      <c r="AU429" s="2783"/>
      <c r="AV429" s="2730"/>
      <c r="AY429" s="2730"/>
    </row>
    <row r="430" spans="1:51">
      <c r="A430" s="2730"/>
      <c r="E430" s="2730"/>
      <c r="F430" s="2730"/>
      <c r="G430" s="2730"/>
      <c r="H430" s="2730"/>
      <c r="I430" s="2730"/>
      <c r="J430" s="2730"/>
      <c r="K430" s="2783"/>
      <c r="L430" s="2783"/>
      <c r="M430" s="2793"/>
      <c r="N430" s="2793"/>
      <c r="O430" s="2793"/>
      <c r="P430" s="2793"/>
      <c r="Q430" s="2793"/>
      <c r="R430" s="2793"/>
      <c r="S430" s="2793"/>
      <c r="T430" s="2793"/>
      <c r="U430" s="2793"/>
      <c r="V430" s="2793"/>
      <c r="W430" s="2793"/>
      <c r="X430" s="2793"/>
      <c r="Y430" s="2793"/>
      <c r="Z430" s="2793"/>
      <c r="AA430" s="2793"/>
      <c r="AB430" s="2793"/>
      <c r="AC430" s="2793"/>
      <c r="AD430" s="2793"/>
      <c r="AE430" s="2793"/>
      <c r="AF430" s="2793"/>
      <c r="AG430" s="2793"/>
      <c r="AH430" s="2794"/>
      <c r="AI430" s="2793"/>
      <c r="AJ430" s="2793"/>
      <c r="AK430" s="2793"/>
      <c r="AL430" s="2793"/>
      <c r="AM430" s="2793"/>
      <c r="AN430" s="2793"/>
      <c r="AO430" s="2793"/>
      <c r="AP430" s="2793"/>
      <c r="AQ430" s="2793"/>
      <c r="AR430" s="2783"/>
      <c r="AS430" s="2783"/>
      <c r="AT430" s="2783"/>
      <c r="AU430" s="2783"/>
      <c r="AV430" s="2730"/>
      <c r="AY430" s="2730"/>
    </row>
    <row r="431" spans="1:51">
      <c r="A431" s="2730"/>
      <c r="E431" s="2730"/>
      <c r="F431" s="2730"/>
      <c r="G431" s="2730"/>
      <c r="H431" s="2730"/>
      <c r="I431" s="2730"/>
      <c r="J431" s="2730"/>
      <c r="K431" s="2783"/>
      <c r="L431" s="2783"/>
      <c r="M431" s="2793"/>
      <c r="N431" s="2793"/>
      <c r="O431" s="2793"/>
      <c r="P431" s="2793"/>
      <c r="Q431" s="2793"/>
      <c r="R431" s="2793"/>
      <c r="S431" s="2793"/>
      <c r="T431" s="2793"/>
      <c r="U431" s="2793"/>
      <c r="V431" s="2793"/>
      <c r="W431" s="2793"/>
      <c r="X431" s="2793"/>
      <c r="Y431" s="2793"/>
      <c r="Z431" s="2793"/>
      <c r="AA431" s="2793"/>
      <c r="AB431" s="2793"/>
      <c r="AC431" s="2793"/>
      <c r="AD431" s="2793"/>
      <c r="AE431" s="2793"/>
      <c r="AF431" s="2793"/>
      <c r="AG431" s="2793"/>
      <c r="AH431" s="2794"/>
      <c r="AI431" s="2793"/>
      <c r="AJ431" s="2793"/>
      <c r="AK431" s="2793"/>
      <c r="AL431" s="2793"/>
      <c r="AM431" s="2793"/>
      <c r="AN431" s="2793"/>
      <c r="AO431" s="2793"/>
      <c r="AP431" s="2793"/>
      <c r="AQ431" s="2793"/>
      <c r="AR431" s="2783"/>
      <c r="AS431" s="2783"/>
      <c r="AT431" s="2783"/>
      <c r="AU431" s="2783"/>
      <c r="AV431" s="2730"/>
      <c r="AY431" s="2730"/>
    </row>
    <row r="432" spans="1:51">
      <c r="A432" s="2730"/>
      <c r="E432" s="2730"/>
      <c r="F432" s="2730"/>
      <c r="G432" s="2730"/>
      <c r="H432" s="2730"/>
      <c r="I432" s="2730"/>
      <c r="J432" s="2730"/>
      <c r="K432" s="2783"/>
      <c r="L432" s="2783"/>
      <c r="M432" s="2793"/>
      <c r="N432" s="2793"/>
      <c r="O432" s="2793"/>
      <c r="P432" s="2793"/>
      <c r="Q432" s="2793"/>
      <c r="R432" s="2793"/>
      <c r="S432" s="2793"/>
      <c r="T432" s="2793"/>
      <c r="U432" s="2793"/>
      <c r="V432" s="2793"/>
      <c r="W432" s="2793"/>
      <c r="X432" s="2793"/>
      <c r="Y432" s="2793"/>
      <c r="Z432" s="2793"/>
      <c r="AA432" s="2793"/>
      <c r="AB432" s="2793"/>
      <c r="AC432" s="2793"/>
      <c r="AD432" s="2793"/>
      <c r="AE432" s="2793"/>
      <c r="AF432" s="2793"/>
      <c r="AG432" s="2793"/>
      <c r="AH432" s="2794"/>
      <c r="AI432" s="2793"/>
      <c r="AJ432" s="2793"/>
      <c r="AK432" s="2793"/>
      <c r="AL432" s="2793"/>
      <c r="AM432" s="2793"/>
      <c r="AN432" s="2793"/>
      <c r="AO432" s="2793"/>
      <c r="AP432" s="2793"/>
      <c r="AQ432" s="2793"/>
      <c r="AR432" s="2783"/>
      <c r="AS432" s="2783"/>
      <c r="AT432" s="2783"/>
      <c r="AU432" s="2783"/>
      <c r="AV432" s="2730"/>
      <c r="AY432" s="2730"/>
    </row>
    <row r="433" spans="1:51">
      <c r="A433" s="2730"/>
      <c r="E433" s="2730"/>
      <c r="F433" s="2730"/>
      <c r="G433" s="2730"/>
      <c r="H433" s="2730"/>
      <c r="I433" s="2730"/>
      <c r="J433" s="2730"/>
      <c r="K433" s="2783"/>
      <c r="L433" s="2783"/>
      <c r="M433" s="2793"/>
      <c r="N433" s="2793"/>
      <c r="O433" s="2793"/>
      <c r="P433" s="2793"/>
      <c r="Q433" s="2793"/>
      <c r="R433" s="2793"/>
      <c r="S433" s="2793"/>
      <c r="T433" s="2793"/>
      <c r="U433" s="2793"/>
      <c r="V433" s="2793"/>
      <c r="W433" s="2793"/>
      <c r="X433" s="2793"/>
      <c r="Y433" s="2793"/>
      <c r="Z433" s="2793"/>
      <c r="AA433" s="2793"/>
      <c r="AB433" s="2793"/>
      <c r="AC433" s="2793"/>
      <c r="AD433" s="2793"/>
      <c r="AE433" s="2793"/>
      <c r="AF433" s="2793"/>
      <c r="AG433" s="2793"/>
      <c r="AH433" s="2794"/>
      <c r="AI433" s="2793"/>
      <c r="AJ433" s="2793"/>
      <c r="AK433" s="2793"/>
      <c r="AL433" s="2793"/>
      <c r="AM433" s="2793"/>
      <c r="AN433" s="2793"/>
      <c r="AO433" s="2793"/>
      <c r="AP433" s="2793"/>
      <c r="AQ433" s="2793"/>
      <c r="AR433" s="2783"/>
      <c r="AS433" s="2783"/>
      <c r="AT433" s="2783"/>
      <c r="AU433" s="2783"/>
      <c r="AV433" s="2730"/>
      <c r="AY433" s="2730"/>
    </row>
    <row r="434" spans="1:51">
      <c r="A434" s="2730"/>
      <c r="E434" s="2730"/>
      <c r="F434" s="2730"/>
      <c r="G434" s="2730"/>
      <c r="H434" s="2730"/>
      <c r="I434" s="2730"/>
      <c r="J434" s="2730"/>
      <c r="K434" s="2783"/>
      <c r="L434" s="2783"/>
      <c r="M434" s="2793"/>
      <c r="N434" s="2793"/>
      <c r="O434" s="2793"/>
      <c r="P434" s="2793"/>
      <c r="Q434" s="2793"/>
      <c r="R434" s="2793"/>
      <c r="S434" s="2793"/>
      <c r="T434" s="2793"/>
      <c r="U434" s="2793"/>
      <c r="V434" s="2793"/>
      <c r="W434" s="2793"/>
      <c r="X434" s="2793"/>
      <c r="Y434" s="2793"/>
      <c r="Z434" s="2793"/>
      <c r="AA434" s="2793"/>
      <c r="AB434" s="2793"/>
      <c r="AC434" s="2793"/>
      <c r="AD434" s="2793"/>
      <c r="AE434" s="2793"/>
      <c r="AF434" s="2793"/>
      <c r="AG434" s="2793"/>
      <c r="AH434" s="2794"/>
      <c r="AI434" s="2793"/>
      <c r="AJ434" s="2793"/>
      <c r="AK434" s="2793"/>
      <c r="AL434" s="2793"/>
      <c r="AM434" s="2793"/>
      <c r="AN434" s="2793"/>
      <c r="AO434" s="2793"/>
      <c r="AP434" s="2793"/>
      <c r="AQ434" s="2793"/>
      <c r="AR434" s="2783"/>
      <c r="AS434" s="2783"/>
      <c r="AT434" s="2783"/>
      <c r="AU434" s="2783"/>
      <c r="AV434" s="2730"/>
      <c r="AY434" s="2730"/>
    </row>
    <row r="435" spans="1:51">
      <c r="A435" s="2730"/>
      <c r="E435" s="2730"/>
      <c r="F435" s="2730"/>
      <c r="G435" s="2730"/>
      <c r="H435" s="2730"/>
      <c r="I435" s="2730"/>
      <c r="J435" s="2730"/>
      <c r="K435" s="2783"/>
      <c r="L435" s="2783"/>
      <c r="M435" s="2793"/>
      <c r="N435" s="2793"/>
      <c r="O435" s="2793"/>
      <c r="P435" s="2793"/>
      <c r="Q435" s="2793"/>
      <c r="R435" s="2793"/>
      <c r="S435" s="2793"/>
      <c r="T435" s="2793"/>
      <c r="U435" s="2793"/>
      <c r="V435" s="2793"/>
      <c r="W435" s="2793"/>
      <c r="X435" s="2793"/>
      <c r="Y435" s="2793"/>
      <c r="Z435" s="2793"/>
      <c r="AA435" s="2793"/>
      <c r="AB435" s="2793"/>
      <c r="AC435" s="2793"/>
      <c r="AD435" s="2793"/>
      <c r="AE435" s="2793"/>
      <c r="AF435" s="2793"/>
      <c r="AG435" s="2793"/>
      <c r="AH435" s="2794"/>
      <c r="AI435" s="2793"/>
      <c r="AJ435" s="2793"/>
      <c r="AK435" s="2793"/>
      <c r="AL435" s="2793"/>
      <c r="AM435" s="2793"/>
      <c r="AN435" s="2793"/>
      <c r="AO435" s="2793"/>
      <c r="AP435" s="2793"/>
      <c r="AQ435" s="2793"/>
      <c r="AR435" s="2783"/>
      <c r="AS435" s="2783"/>
      <c r="AT435" s="2783"/>
      <c r="AU435" s="2783"/>
      <c r="AV435" s="2730"/>
      <c r="AY435" s="2730"/>
    </row>
    <row r="436" spans="1:51">
      <c r="A436" s="2730"/>
      <c r="E436" s="2730"/>
      <c r="F436" s="2730"/>
      <c r="G436" s="2730"/>
      <c r="H436" s="2730"/>
      <c r="I436" s="2730"/>
      <c r="J436" s="2730"/>
      <c r="K436" s="2783"/>
      <c r="L436" s="2783"/>
      <c r="M436" s="2793"/>
      <c r="N436" s="2793"/>
      <c r="O436" s="2793"/>
      <c r="P436" s="2793"/>
      <c r="Q436" s="2793"/>
      <c r="R436" s="2793"/>
      <c r="S436" s="2793"/>
      <c r="T436" s="2793"/>
      <c r="U436" s="2793"/>
      <c r="V436" s="2793"/>
      <c r="W436" s="2793"/>
      <c r="X436" s="2793"/>
      <c r="Y436" s="2793"/>
      <c r="Z436" s="2793"/>
      <c r="AA436" s="2793"/>
      <c r="AB436" s="2793"/>
      <c r="AC436" s="2793"/>
      <c r="AD436" s="2793"/>
      <c r="AE436" s="2793"/>
      <c r="AF436" s="2793"/>
      <c r="AG436" s="2793"/>
      <c r="AH436" s="2794"/>
      <c r="AI436" s="2793"/>
      <c r="AJ436" s="2793"/>
      <c r="AK436" s="2793"/>
      <c r="AL436" s="2793"/>
      <c r="AM436" s="2793"/>
      <c r="AN436" s="2793"/>
      <c r="AO436" s="2793"/>
      <c r="AP436" s="2793"/>
      <c r="AQ436" s="2793"/>
      <c r="AR436" s="2783"/>
      <c r="AS436" s="2783"/>
      <c r="AT436" s="2783"/>
      <c r="AU436" s="2783"/>
      <c r="AV436" s="2730"/>
      <c r="AY436" s="2730"/>
    </row>
    <row r="437" spans="1:51">
      <c r="A437" s="2730"/>
      <c r="E437" s="2730"/>
      <c r="F437" s="2730"/>
      <c r="G437" s="2730"/>
      <c r="H437" s="2730"/>
      <c r="I437" s="2730"/>
      <c r="J437" s="2730"/>
      <c r="K437" s="2783"/>
      <c r="L437" s="2783"/>
      <c r="M437" s="2793"/>
      <c r="N437" s="2793"/>
      <c r="O437" s="2793"/>
      <c r="P437" s="2793"/>
      <c r="Q437" s="2793"/>
      <c r="R437" s="2793"/>
      <c r="S437" s="2793"/>
      <c r="T437" s="2793"/>
      <c r="U437" s="2793"/>
      <c r="V437" s="2793"/>
      <c r="W437" s="2793"/>
      <c r="X437" s="2793"/>
      <c r="Y437" s="2793"/>
      <c r="Z437" s="2793"/>
      <c r="AA437" s="2793"/>
      <c r="AB437" s="2793"/>
      <c r="AC437" s="2793"/>
      <c r="AD437" s="2793"/>
      <c r="AE437" s="2793"/>
      <c r="AF437" s="2793"/>
      <c r="AG437" s="2793"/>
      <c r="AH437" s="2794"/>
      <c r="AI437" s="2793"/>
      <c r="AJ437" s="2793"/>
      <c r="AK437" s="2793"/>
      <c r="AL437" s="2793"/>
      <c r="AM437" s="2793"/>
      <c r="AN437" s="2793"/>
      <c r="AO437" s="2793"/>
      <c r="AP437" s="2793"/>
      <c r="AQ437" s="2793"/>
      <c r="AR437" s="2783"/>
      <c r="AS437" s="2783"/>
      <c r="AT437" s="2783"/>
      <c r="AU437" s="2783"/>
      <c r="AV437" s="2730"/>
      <c r="AY437" s="2730"/>
    </row>
    <row r="438" spans="1:51">
      <c r="A438" s="2730"/>
      <c r="E438" s="2730"/>
      <c r="F438" s="2730"/>
      <c r="G438" s="2730"/>
      <c r="H438" s="2730"/>
      <c r="I438" s="2730"/>
      <c r="J438" s="2730"/>
      <c r="K438" s="2783"/>
      <c r="L438" s="2783"/>
      <c r="M438" s="2793"/>
      <c r="N438" s="2793"/>
      <c r="O438" s="2793"/>
      <c r="P438" s="2793"/>
      <c r="Q438" s="2793"/>
      <c r="R438" s="2793"/>
      <c r="S438" s="2793"/>
      <c r="T438" s="2793"/>
      <c r="U438" s="2793"/>
      <c r="V438" s="2793"/>
      <c r="W438" s="2793"/>
      <c r="X438" s="2793"/>
      <c r="Y438" s="2793"/>
      <c r="Z438" s="2793"/>
      <c r="AA438" s="2793"/>
      <c r="AB438" s="2793"/>
      <c r="AC438" s="2793"/>
      <c r="AD438" s="2793"/>
      <c r="AE438" s="2793"/>
      <c r="AF438" s="2793"/>
      <c r="AG438" s="2793"/>
      <c r="AH438" s="2794"/>
      <c r="AI438" s="2793"/>
      <c r="AJ438" s="2793"/>
      <c r="AK438" s="2793"/>
      <c r="AL438" s="2793"/>
      <c r="AM438" s="2793"/>
      <c r="AN438" s="2793"/>
      <c r="AO438" s="2793"/>
      <c r="AP438" s="2793"/>
      <c r="AQ438" s="2793"/>
      <c r="AR438" s="2783"/>
      <c r="AS438" s="2783"/>
      <c r="AT438" s="2783"/>
      <c r="AU438" s="2783"/>
      <c r="AV438" s="2730"/>
      <c r="AY438" s="2730"/>
    </row>
    <row r="439" spans="1:51">
      <c r="A439" s="2730"/>
      <c r="E439" s="2730"/>
      <c r="F439" s="2730"/>
      <c r="G439" s="2730"/>
      <c r="H439" s="2730"/>
      <c r="I439" s="2730"/>
      <c r="J439" s="2730"/>
      <c r="K439" s="2783"/>
      <c r="L439" s="2783"/>
      <c r="M439" s="2793"/>
      <c r="N439" s="2793"/>
      <c r="O439" s="2793"/>
      <c r="P439" s="2793"/>
      <c r="Q439" s="2793"/>
      <c r="R439" s="2793"/>
      <c r="S439" s="2793"/>
      <c r="T439" s="2793"/>
      <c r="U439" s="2793"/>
      <c r="V439" s="2793"/>
      <c r="W439" s="2793"/>
      <c r="X439" s="2793"/>
      <c r="Y439" s="2793"/>
      <c r="Z439" s="2793"/>
      <c r="AA439" s="2793"/>
      <c r="AB439" s="2793"/>
      <c r="AC439" s="2793"/>
      <c r="AD439" s="2793"/>
      <c r="AE439" s="2793"/>
      <c r="AF439" s="2793"/>
      <c r="AG439" s="2793"/>
      <c r="AH439" s="2794"/>
      <c r="AI439" s="2793"/>
      <c r="AJ439" s="2793"/>
      <c r="AK439" s="2793"/>
      <c r="AL439" s="2793"/>
      <c r="AM439" s="2793"/>
      <c r="AN439" s="2793"/>
      <c r="AO439" s="2793"/>
      <c r="AP439" s="2793"/>
      <c r="AQ439" s="2793"/>
      <c r="AR439" s="2783"/>
      <c r="AS439" s="2783"/>
      <c r="AT439" s="2783"/>
      <c r="AU439" s="2783"/>
      <c r="AV439" s="2730"/>
      <c r="AY439" s="2730"/>
    </row>
    <row r="440" spans="1:51">
      <c r="A440" s="2730"/>
      <c r="E440" s="2730"/>
      <c r="F440" s="2730"/>
      <c r="G440" s="2730"/>
      <c r="H440" s="2730"/>
      <c r="I440" s="2730"/>
      <c r="J440" s="2730"/>
      <c r="K440" s="2783"/>
      <c r="L440" s="2783"/>
      <c r="M440" s="2793"/>
      <c r="N440" s="2793"/>
      <c r="O440" s="2793"/>
      <c r="P440" s="2793"/>
      <c r="Q440" s="2793"/>
      <c r="R440" s="2793"/>
      <c r="S440" s="2793"/>
      <c r="T440" s="2793"/>
      <c r="U440" s="2793"/>
      <c r="V440" s="2793"/>
      <c r="W440" s="2793"/>
      <c r="X440" s="2793"/>
      <c r="Y440" s="2793"/>
      <c r="Z440" s="2793"/>
      <c r="AA440" s="2793"/>
      <c r="AB440" s="2793"/>
      <c r="AC440" s="2793"/>
      <c r="AD440" s="2793"/>
      <c r="AE440" s="2793"/>
      <c r="AF440" s="2793"/>
      <c r="AG440" s="2793"/>
      <c r="AH440" s="2794"/>
      <c r="AI440" s="2793"/>
      <c r="AJ440" s="2793"/>
      <c r="AK440" s="2793"/>
      <c r="AL440" s="2793"/>
      <c r="AM440" s="2793"/>
      <c r="AN440" s="2793"/>
      <c r="AO440" s="2793"/>
      <c r="AP440" s="2793"/>
      <c r="AQ440" s="2793"/>
      <c r="AR440" s="2783"/>
      <c r="AS440" s="2783"/>
      <c r="AT440" s="2783"/>
      <c r="AU440" s="2783"/>
      <c r="AV440" s="2730"/>
      <c r="AY440" s="2730"/>
    </row>
    <row r="441" spans="1:51">
      <c r="A441" s="2730"/>
      <c r="E441" s="2730"/>
      <c r="F441" s="2730"/>
      <c r="G441" s="2730"/>
      <c r="H441" s="2730"/>
      <c r="I441" s="2730"/>
      <c r="J441" s="2730"/>
      <c r="K441" s="2783"/>
      <c r="L441" s="2783"/>
      <c r="M441" s="2793"/>
      <c r="N441" s="2793"/>
      <c r="O441" s="2793"/>
      <c r="P441" s="2793"/>
      <c r="Q441" s="2793"/>
      <c r="R441" s="2793"/>
      <c r="S441" s="2793"/>
      <c r="T441" s="2793"/>
      <c r="U441" s="2793"/>
      <c r="V441" s="2793"/>
      <c r="W441" s="2793"/>
      <c r="X441" s="2793"/>
      <c r="Y441" s="2793"/>
      <c r="Z441" s="2793"/>
      <c r="AA441" s="2793"/>
      <c r="AB441" s="2793"/>
      <c r="AC441" s="2793"/>
      <c r="AD441" s="2793"/>
      <c r="AE441" s="2793"/>
      <c r="AF441" s="2793"/>
      <c r="AG441" s="2793"/>
      <c r="AH441" s="2794"/>
      <c r="AI441" s="2793"/>
      <c r="AJ441" s="2793"/>
      <c r="AK441" s="2793"/>
      <c r="AL441" s="2793"/>
      <c r="AM441" s="2793"/>
      <c r="AN441" s="2793"/>
      <c r="AO441" s="2793"/>
      <c r="AP441" s="2793"/>
      <c r="AQ441" s="2793"/>
      <c r="AR441" s="2783"/>
      <c r="AS441" s="2783"/>
      <c r="AT441" s="2783"/>
      <c r="AU441" s="2783"/>
      <c r="AV441" s="2730"/>
      <c r="AY441" s="2730"/>
    </row>
    <row r="442" spans="1:51">
      <c r="A442" s="2730"/>
      <c r="E442" s="2730"/>
      <c r="F442" s="2730"/>
      <c r="G442" s="2730"/>
      <c r="H442" s="2730"/>
      <c r="I442" s="2730"/>
      <c r="J442" s="2730"/>
      <c r="K442" s="2783"/>
      <c r="L442" s="2783"/>
      <c r="M442" s="2793"/>
      <c r="N442" s="2793"/>
      <c r="O442" s="2793"/>
      <c r="P442" s="2793"/>
      <c r="Q442" s="2793"/>
      <c r="R442" s="2793"/>
      <c r="S442" s="2793"/>
      <c r="T442" s="2793"/>
      <c r="U442" s="2793"/>
      <c r="V442" s="2793"/>
      <c r="W442" s="2793"/>
      <c r="X442" s="2793"/>
      <c r="Y442" s="2793"/>
      <c r="Z442" s="2793"/>
      <c r="AA442" s="2793"/>
      <c r="AB442" s="2793"/>
      <c r="AC442" s="2793"/>
      <c r="AD442" s="2793"/>
      <c r="AE442" s="2793"/>
      <c r="AF442" s="2793"/>
      <c r="AG442" s="2793"/>
      <c r="AH442" s="2794"/>
      <c r="AI442" s="2793"/>
      <c r="AJ442" s="2793"/>
      <c r="AK442" s="2793"/>
      <c r="AL442" s="2793"/>
      <c r="AM442" s="2793"/>
      <c r="AN442" s="2793"/>
      <c r="AO442" s="2793"/>
      <c r="AP442" s="2793"/>
      <c r="AQ442" s="2793"/>
      <c r="AR442" s="2783"/>
      <c r="AS442" s="2783"/>
      <c r="AT442" s="2783"/>
      <c r="AU442" s="2783"/>
      <c r="AV442" s="2730"/>
      <c r="AY442" s="2730"/>
    </row>
    <row r="443" spans="1:51">
      <c r="A443" s="2730"/>
      <c r="E443" s="2730"/>
      <c r="F443" s="2730"/>
      <c r="G443" s="2730"/>
      <c r="H443" s="2730"/>
      <c r="I443" s="2730"/>
      <c r="J443" s="2730"/>
      <c r="K443" s="2783"/>
      <c r="L443" s="2783"/>
      <c r="M443" s="2793"/>
      <c r="N443" s="2793"/>
      <c r="O443" s="2793"/>
      <c r="P443" s="2793"/>
      <c r="Q443" s="2793"/>
      <c r="R443" s="2793"/>
      <c r="S443" s="2793"/>
      <c r="T443" s="2793"/>
      <c r="U443" s="2793"/>
      <c r="V443" s="2793"/>
      <c r="W443" s="2793"/>
      <c r="X443" s="2793"/>
      <c r="Y443" s="2793"/>
      <c r="Z443" s="2793"/>
      <c r="AA443" s="2793"/>
      <c r="AB443" s="2793"/>
      <c r="AC443" s="2793"/>
      <c r="AD443" s="2793"/>
      <c r="AE443" s="2793"/>
      <c r="AF443" s="2793"/>
      <c r="AG443" s="2793"/>
      <c r="AH443" s="2794"/>
      <c r="AI443" s="2793"/>
      <c r="AJ443" s="2793"/>
      <c r="AK443" s="2793"/>
      <c r="AL443" s="2793"/>
      <c r="AM443" s="2793"/>
      <c r="AN443" s="2793"/>
      <c r="AO443" s="2793"/>
      <c r="AP443" s="2793"/>
      <c r="AQ443" s="2793"/>
      <c r="AR443" s="2783"/>
      <c r="AS443" s="2783"/>
      <c r="AT443" s="2783"/>
      <c r="AU443" s="2783"/>
      <c r="AV443" s="2730"/>
      <c r="AY443" s="2730"/>
    </row>
    <row r="444" spans="1:51">
      <c r="A444" s="2730"/>
      <c r="E444" s="2730"/>
      <c r="F444" s="2730"/>
      <c r="G444" s="2730"/>
      <c r="H444" s="2730"/>
      <c r="I444" s="2730"/>
      <c r="J444" s="2730"/>
      <c r="K444" s="2783"/>
      <c r="L444" s="2783"/>
      <c r="M444" s="2793"/>
      <c r="N444" s="2793"/>
      <c r="O444" s="2793"/>
      <c r="P444" s="2793"/>
      <c r="Q444" s="2793"/>
      <c r="R444" s="2793"/>
      <c r="S444" s="2793"/>
      <c r="T444" s="2793"/>
      <c r="U444" s="2793"/>
      <c r="V444" s="2793"/>
      <c r="W444" s="2793"/>
      <c r="X444" s="2793"/>
      <c r="Y444" s="2793"/>
      <c r="Z444" s="2793"/>
      <c r="AA444" s="2793"/>
      <c r="AB444" s="2793"/>
      <c r="AC444" s="2793"/>
      <c r="AD444" s="2793"/>
      <c r="AE444" s="2793"/>
      <c r="AF444" s="2793"/>
      <c r="AG444" s="2793"/>
      <c r="AH444" s="2794"/>
      <c r="AI444" s="2793"/>
      <c r="AJ444" s="2793"/>
      <c r="AK444" s="2793"/>
      <c r="AL444" s="2793"/>
      <c r="AM444" s="2793"/>
      <c r="AN444" s="2793"/>
      <c r="AO444" s="2793"/>
      <c r="AP444" s="2793"/>
      <c r="AQ444" s="2793"/>
      <c r="AR444" s="2783"/>
      <c r="AS444" s="2783"/>
      <c r="AT444" s="2783"/>
      <c r="AU444" s="2783"/>
      <c r="AV444" s="2730"/>
      <c r="AY444" s="2730"/>
    </row>
    <row r="445" spans="1:51">
      <c r="A445" s="2730"/>
      <c r="E445" s="2730"/>
      <c r="F445" s="2730"/>
      <c r="G445" s="2730"/>
      <c r="H445" s="2730"/>
      <c r="I445" s="2730"/>
      <c r="J445" s="2730"/>
      <c r="K445" s="2783"/>
      <c r="L445" s="2783"/>
      <c r="M445" s="2793"/>
      <c r="N445" s="2793"/>
      <c r="O445" s="2793"/>
      <c r="P445" s="2793"/>
      <c r="Q445" s="2793"/>
      <c r="R445" s="2793"/>
      <c r="S445" s="2793"/>
      <c r="T445" s="2793"/>
      <c r="U445" s="2793"/>
      <c r="V445" s="2793"/>
      <c r="W445" s="2793"/>
      <c r="X445" s="2793"/>
      <c r="Y445" s="2793"/>
      <c r="Z445" s="2793"/>
      <c r="AA445" s="2793"/>
      <c r="AB445" s="2793"/>
      <c r="AC445" s="2793"/>
      <c r="AD445" s="2793"/>
      <c r="AE445" s="2793"/>
      <c r="AF445" s="2793"/>
      <c r="AG445" s="2793"/>
      <c r="AH445" s="2794"/>
      <c r="AI445" s="2793"/>
      <c r="AJ445" s="2793"/>
      <c r="AK445" s="2793"/>
      <c r="AL445" s="2793"/>
      <c r="AM445" s="2793"/>
      <c r="AN445" s="2793"/>
      <c r="AO445" s="2793"/>
      <c r="AP445" s="2793"/>
      <c r="AQ445" s="2793"/>
      <c r="AR445" s="2783"/>
      <c r="AS445" s="2783"/>
      <c r="AT445" s="2783"/>
      <c r="AU445" s="2783"/>
      <c r="AV445" s="2730"/>
      <c r="AY445" s="2730"/>
    </row>
    <row r="446" spans="1:51">
      <c r="A446" s="2730"/>
      <c r="E446" s="2730"/>
      <c r="F446" s="2730"/>
      <c r="G446" s="2730"/>
      <c r="H446" s="2730"/>
      <c r="I446" s="2730"/>
      <c r="J446" s="2730"/>
      <c r="K446" s="2783"/>
      <c r="L446" s="2783"/>
      <c r="M446" s="2793"/>
      <c r="N446" s="2793"/>
      <c r="O446" s="2793"/>
      <c r="P446" s="2793"/>
      <c r="Q446" s="2793"/>
      <c r="R446" s="2793"/>
      <c r="S446" s="2793"/>
      <c r="T446" s="2793"/>
      <c r="U446" s="2793"/>
      <c r="V446" s="2793"/>
      <c r="W446" s="2793"/>
      <c r="X446" s="2793"/>
      <c r="Y446" s="2793"/>
      <c r="Z446" s="2793"/>
      <c r="AA446" s="2793"/>
      <c r="AB446" s="2793"/>
      <c r="AC446" s="2793"/>
      <c r="AD446" s="2793"/>
      <c r="AE446" s="2793"/>
      <c r="AF446" s="2793"/>
      <c r="AG446" s="2793"/>
      <c r="AH446" s="2794"/>
      <c r="AI446" s="2793"/>
      <c r="AJ446" s="2793"/>
      <c r="AK446" s="2793"/>
      <c r="AL446" s="2793"/>
      <c r="AM446" s="2793"/>
      <c r="AN446" s="2793"/>
      <c r="AO446" s="2793"/>
      <c r="AP446" s="2793"/>
      <c r="AQ446" s="2793"/>
      <c r="AR446" s="2783"/>
      <c r="AS446" s="2783"/>
      <c r="AT446" s="2783"/>
      <c r="AU446" s="2783"/>
      <c r="AV446" s="2730"/>
      <c r="AY446" s="2730"/>
    </row>
    <row r="447" spans="1:51">
      <c r="A447" s="2730"/>
      <c r="E447" s="2730"/>
      <c r="F447" s="2730"/>
      <c r="G447" s="2730"/>
      <c r="H447" s="2730"/>
      <c r="I447" s="2730"/>
      <c r="J447" s="2730"/>
      <c r="K447" s="2783"/>
      <c r="L447" s="2783"/>
      <c r="M447" s="2793"/>
      <c r="N447" s="2793"/>
      <c r="O447" s="2793"/>
      <c r="P447" s="2793"/>
      <c r="Q447" s="2793"/>
      <c r="R447" s="2793"/>
      <c r="S447" s="2793"/>
      <c r="T447" s="2793"/>
      <c r="U447" s="2793"/>
      <c r="V447" s="2793"/>
      <c r="W447" s="2793"/>
      <c r="X447" s="2793"/>
      <c r="Y447" s="2793"/>
      <c r="Z447" s="2793"/>
      <c r="AA447" s="2793"/>
      <c r="AB447" s="2793"/>
      <c r="AC447" s="2793"/>
      <c r="AD447" s="2793"/>
      <c r="AE447" s="2793"/>
      <c r="AF447" s="2793"/>
      <c r="AG447" s="2793"/>
      <c r="AH447" s="2794"/>
      <c r="AI447" s="2793"/>
      <c r="AJ447" s="2793"/>
      <c r="AK447" s="2793"/>
      <c r="AL447" s="2793"/>
      <c r="AM447" s="2793"/>
      <c r="AN447" s="2793"/>
      <c r="AO447" s="2793"/>
      <c r="AP447" s="2793"/>
      <c r="AQ447" s="2793"/>
      <c r="AR447" s="2783"/>
      <c r="AS447" s="2783"/>
      <c r="AT447" s="2783"/>
      <c r="AU447" s="2783"/>
      <c r="AV447" s="2730"/>
      <c r="AY447" s="2730"/>
    </row>
    <row r="448" spans="1:51">
      <c r="A448" s="2730"/>
      <c r="E448" s="2730"/>
      <c r="F448" s="2730"/>
      <c r="G448" s="2730"/>
      <c r="H448" s="2730"/>
      <c r="I448" s="2730"/>
      <c r="J448" s="2730"/>
      <c r="K448" s="2783"/>
      <c r="L448" s="2783"/>
      <c r="M448" s="2793"/>
      <c r="N448" s="2793"/>
      <c r="O448" s="2793"/>
      <c r="P448" s="2793"/>
      <c r="Q448" s="2793"/>
      <c r="R448" s="2793"/>
      <c r="S448" s="2793"/>
      <c r="T448" s="2793"/>
      <c r="U448" s="2793"/>
      <c r="V448" s="2793"/>
      <c r="W448" s="2793"/>
      <c r="X448" s="2793"/>
      <c r="Y448" s="2793"/>
      <c r="Z448" s="2793"/>
      <c r="AA448" s="2793"/>
      <c r="AB448" s="2793"/>
      <c r="AC448" s="2793"/>
      <c r="AD448" s="2793"/>
      <c r="AE448" s="2793"/>
      <c r="AF448" s="2793"/>
      <c r="AG448" s="2793"/>
      <c r="AH448" s="2794"/>
      <c r="AI448" s="2793"/>
      <c r="AJ448" s="2793"/>
      <c r="AK448" s="2793"/>
      <c r="AL448" s="2793"/>
      <c r="AM448" s="2793"/>
      <c r="AN448" s="2793"/>
      <c r="AO448" s="2793"/>
      <c r="AP448" s="2793"/>
      <c r="AQ448" s="2793"/>
      <c r="AR448" s="2783"/>
      <c r="AS448" s="2783"/>
      <c r="AT448" s="2783"/>
      <c r="AU448" s="2783"/>
      <c r="AV448" s="2730"/>
      <c r="AY448" s="2730"/>
    </row>
    <row r="449" spans="1:51">
      <c r="A449" s="2730"/>
      <c r="E449" s="2730"/>
      <c r="F449" s="2730"/>
      <c r="G449" s="2730"/>
      <c r="H449" s="2730"/>
      <c r="I449" s="2730"/>
      <c r="J449" s="2730"/>
      <c r="K449" s="2783"/>
      <c r="L449" s="2783"/>
      <c r="M449" s="2793"/>
      <c r="N449" s="2793"/>
      <c r="O449" s="2793"/>
      <c r="P449" s="2793"/>
      <c r="Q449" s="2793"/>
      <c r="R449" s="2793"/>
      <c r="S449" s="2793"/>
      <c r="T449" s="2793"/>
      <c r="U449" s="2793"/>
      <c r="V449" s="2793"/>
      <c r="W449" s="2793"/>
      <c r="X449" s="2793"/>
      <c r="Y449" s="2793"/>
      <c r="Z449" s="2793"/>
      <c r="AA449" s="2793"/>
      <c r="AB449" s="2793"/>
      <c r="AC449" s="2793"/>
      <c r="AD449" s="2793"/>
      <c r="AE449" s="2793"/>
      <c r="AF449" s="2793"/>
      <c r="AG449" s="2793"/>
      <c r="AH449" s="2794"/>
      <c r="AI449" s="2793"/>
      <c r="AJ449" s="2793"/>
      <c r="AK449" s="2793"/>
      <c r="AL449" s="2793"/>
      <c r="AM449" s="2793"/>
      <c r="AN449" s="2793"/>
      <c r="AO449" s="2793"/>
      <c r="AP449" s="2793"/>
      <c r="AQ449" s="2793"/>
      <c r="AR449" s="2783"/>
      <c r="AS449" s="2783"/>
      <c r="AT449" s="2783"/>
      <c r="AU449" s="2783"/>
      <c r="AV449" s="2730"/>
      <c r="AY449" s="2730"/>
    </row>
    <row r="450" spans="1:51">
      <c r="A450" s="2730"/>
      <c r="E450" s="2730"/>
      <c r="F450" s="2730"/>
      <c r="G450" s="2730"/>
      <c r="H450" s="2730"/>
      <c r="I450" s="2730"/>
      <c r="J450" s="2730"/>
      <c r="K450" s="2783"/>
      <c r="L450" s="2783"/>
      <c r="M450" s="2793"/>
      <c r="N450" s="2793"/>
      <c r="O450" s="2793"/>
      <c r="P450" s="2793"/>
      <c r="Q450" s="2793"/>
      <c r="R450" s="2793"/>
      <c r="S450" s="2793"/>
      <c r="T450" s="2793"/>
      <c r="U450" s="2793"/>
      <c r="V450" s="2793"/>
      <c r="W450" s="2793"/>
      <c r="X450" s="2793"/>
      <c r="Y450" s="2793"/>
      <c r="Z450" s="2793"/>
      <c r="AA450" s="2793"/>
      <c r="AB450" s="2793"/>
      <c r="AC450" s="2793"/>
      <c r="AD450" s="2793"/>
      <c r="AE450" s="2793"/>
      <c r="AF450" s="2793"/>
      <c r="AG450" s="2793"/>
      <c r="AH450" s="2794"/>
      <c r="AI450" s="2793"/>
      <c r="AJ450" s="2793"/>
      <c r="AK450" s="2793"/>
      <c r="AL450" s="2793"/>
      <c r="AM450" s="2793"/>
      <c r="AN450" s="2793"/>
      <c r="AO450" s="2793"/>
      <c r="AP450" s="2793"/>
      <c r="AQ450" s="2793"/>
      <c r="AR450" s="2783"/>
      <c r="AS450" s="2783"/>
      <c r="AT450" s="2783"/>
      <c r="AU450" s="2783"/>
      <c r="AV450" s="2730"/>
      <c r="AY450" s="2730"/>
    </row>
    <row r="451" spans="1:51">
      <c r="A451" s="2730"/>
      <c r="E451" s="2730"/>
      <c r="F451" s="2730"/>
      <c r="G451" s="2730"/>
      <c r="H451" s="2730"/>
      <c r="I451" s="2730"/>
      <c r="J451" s="2730"/>
      <c r="K451" s="2783"/>
      <c r="L451" s="2783"/>
      <c r="M451" s="2793"/>
      <c r="N451" s="2793"/>
      <c r="O451" s="2793"/>
      <c r="P451" s="2793"/>
      <c r="Q451" s="2793"/>
      <c r="R451" s="2793"/>
      <c r="S451" s="2793"/>
      <c r="T451" s="2793"/>
      <c r="U451" s="2793"/>
      <c r="V451" s="2793"/>
      <c r="W451" s="2793"/>
      <c r="X451" s="2793"/>
      <c r="Y451" s="2793"/>
      <c r="Z451" s="2793"/>
      <c r="AA451" s="2793"/>
      <c r="AB451" s="2793"/>
      <c r="AC451" s="2793"/>
      <c r="AD451" s="2793"/>
      <c r="AE451" s="2793"/>
      <c r="AF451" s="2793"/>
      <c r="AG451" s="2793"/>
      <c r="AH451" s="2794"/>
      <c r="AI451" s="2793"/>
      <c r="AJ451" s="2793"/>
      <c r="AK451" s="2793"/>
      <c r="AL451" s="2793"/>
      <c r="AM451" s="2793"/>
      <c r="AN451" s="2793"/>
      <c r="AO451" s="2793"/>
      <c r="AP451" s="2793"/>
      <c r="AQ451" s="2793"/>
      <c r="AR451" s="2783"/>
      <c r="AS451" s="2783"/>
      <c r="AT451" s="2783"/>
      <c r="AU451" s="2783"/>
      <c r="AV451" s="2730"/>
      <c r="AY451" s="2730"/>
    </row>
    <row r="452" spans="1:51">
      <c r="A452" s="2730"/>
      <c r="E452" s="2730"/>
      <c r="F452" s="2730"/>
      <c r="G452" s="2730"/>
      <c r="H452" s="2730"/>
      <c r="I452" s="2730"/>
      <c r="J452" s="2730"/>
      <c r="K452" s="2783"/>
      <c r="L452" s="2783"/>
      <c r="M452" s="2793"/>
      <c r="N452" s="2793"/>
      <c r="O452" s="2793"/>
      <c r="P452" s="2793"/>
      <c r="Q452" s="2793"/>
      <c r="R452" s="2793"/>
      <c r="S452" s="2793"/>
      <c r="T452" s="2793"/>
      <c r="U452" s="2793"/>
      <c r="V452" s="2793"/>
      <c r="W452" s="2793"/>
      <c r="X452" s="2793"/>
      <c r="Y452" s="2793"/>
      <c r="Z452" s="2793"/>
      <c r="AA452" s="2793"/>
      <c r="AB452" s="2793"/>
      <c r="AC452" s="2793"/>
      <c r="AD452" s="2793"/>
      <c r="AE452" s="2793"/>
      <c r="AF452" s="2793"/>
      <c r="AG452" s="2793"/>
      <c r="AH452" s="2794"/>
      <c r="AI452" s="2793"/>
      <c r="AJ452" s="2793"/>
      <c r="AK452" s="2793"/>
      <c r="AL452" s="2793"/>
      <c r="AM452" s="2793"/>
      <c r="AN452" s="2793"/>
      <c r="AO452" s="2793"/>
      <c r="AP452" s="2793"/>
      <c r="AQ452" s="2793"/>
      <c r="AR452" s="2783"/>
      <c r="AS452" s="2783"/>
      <c r="AT452" s="2783"/>
      <c r="AU452" s="2783"/>
      <c r="AV452" s="2730"/>
      <c r="AY452" s="2730"/>
    </row>
    <row r="453" spans="1:51">
      <c r="A453" s="2730"/>
      <c r="E453" s="2730"/>
      <c r="F453" s="2730"/>
      <c r="G453" s="2730"/>
      <c r="H453" s="2730"/>
      <c r="I453" s="2730"/>
      <c r="J453" s="2730"/>
      <c r="K453" s="2783"/>
      <c r="L453" s="2783"/>
      <c r="M453" s="2793"/>
      <c r="N453" s="2793"/>
      <c r="O453" s="2793"/>
      <c r="P453" s="2793"/>
      <c r="Q453" s="2793"/>
      <c r="R453" s="2793"/>
      <c r="S453" s="2793"/>
      <c r="T453" s="2793"/>
      <c r="U453" s="2793"/>
      <c r="V453" s="2793"/>
      <c r="W453" s="2793"/>
      <c r="X453" s="2793"/>
      <c r="Y453" s="2793"/>
      <c r="Z453" s="2793"/>
      <c r="AA453" s="2793"/>
      <c r="AB453" s="2793"/>
      <c r="AC453" s="2793"/>
      <c r="AD453" s="2793"/>
      <c r="AE453" s="2793"/>
      <c r="AF453" s="2793"/>
      <c r="AG453" s="2793"/>
      <c r="AH453" s="2794"/>
      <c r="AI453" s="2793"/>
      <c r="AJ453" s="2793"/>
      <c r="AK453" s="2793"/>
      <c r="AL453" s="2793"/>
      <c r="AM453" s="2793"/>
      <c r="AN453" s="2793"/>
      <c r="AO453" s="2793"/>
      <c r="AP453" s="2793"/>
      <c r="AQ453" s="2793"/>
      <c r="AR453" s="2783"/>
      <c r="AS453" s="2783"/>
      <c r="AT453" s="2783"/>
      <c r="AU453" s="2783"/>
      <c r="AV453" s="2730"/>
      <c r="AY453" s="2730"/>
    </row>
    <row r="454" spans="1:51">
      <c r="A454" s="2730"/>
      <c r="E454" s="2730"/>
      <c r="F454" s="2730"/>
      <c r="G454" s="2730"/>
      <c r="H454" s="2730"/>
      <c r="I454" s="2730"/>
      <c r="J454" s="2730"/>
      <c r="K454" s="2783"/>
      <c r="L454" s="2783"/>
      <c r="M454" s="2793"/>
      <c r="N454" s="2793"/>
      <c r="O454" s="2793"/>
      <c r="P454" s="2793"/>
      <c r="Q454" s="2793"/>
      <c r="R454" s="2793"/>
      <c r="S454" s="2793"/>
      <c r="T454" s="2793"/>
      <c r="U454" s="2793"/>
      <c r="V454" s="2793"/>
      <c r="W454" s="2793"/>
      <c r="X454" s="2793"/>
      <c r="Y454" s="2793"/>
      <c r="Z454" s="2793"/>
      <c r="AA454" s="2793"/>
      <c r="AB454" s="2793"/>
      <c r="AC454" s="2793"/>
      <c r="AD454" s="2793"/>
      <c r="AE454" s="2793"/>
      <c r="AF454" s="2793"/>
      <c r="AG454" s="2793"/>
      <c r="AH454" s="2794"/>
      <c r="AI454" s="2793"/>
      <c r="AJ454" s="2793"/>
      <c r="AK454" s="2793"/>
      <c r="AL454" s="2793"/>
      <c r="AM454" s="2793"/>
      <c r="AN454" s="2793"/>
      <c r="AO454" s="2793"/>
      <c r="AP454" s="2793"/>
      <c r="AQ454" s="2793"/>
      <c r="AR454" s="2783"/>
      <c r="AS454" s="2783"/>
      <c r="AT454" s="2783"/>
      <c r="AU454" s="2783"/>
      <c r="AV454" s="2730"/>
      <c r="AY454" s="2730"/>
    </row>
    <row r="455" spans="1:51">
      <c r="A455" s="2730"/>
      <c r="E455" s="2730"/>
      <c r="F455" s="2730"/>
      <c r="G455" s="2730"/>
      <c r="H455" s="2730"/>
      <c r="I455" s="2730"/>
      <c r="J455" s="2730"/>
      <c r="K455" s="2783"/>
      <c r="L455" s="2783"/>
      <c r="M455" s="2793"/>
      <c r="N455" s="2793"/>
      <c r="O455" s="2793"/>
      <c r="P455" s="2793"/>
      <c r="Q455" s="2793"/>
      <c r="R455" s="2793"/>
      <c r="S455" s="2793"/>
      <c r="T455" s="2793"/>
      <c r="U455" s="2793"/>
      <c r="V455" s="2793"/>
      <c r="W455" s="2793"/>
      <c r="X455" s="2793"/>
      <c r="Y455" s="2793"/>
      <c r="Z455" s="2793"/>
      <c r="AA455" s="2793"/>
      <c r="AB455" s="2793"/>
      <c r="AC455" s="2793"/>
      <c r="AD455" s="2793"/>
      <c r="AE455" s="2793"/>
      <c r="AF455" s="2793"/>
      <c r="AG455" s="2793"/>
      <c r="AH455" s="2794"/>
      <c r="AI455" s="2793"/>
      <c r="AJ455" s="2793"/>
      <c r="AK455" s="2793"/>
      <c r="AL455" s="2793"/>
      <c r="AM455" s="2793"/>
      <c r="AN455" s="2793"/>
      <c r="AO455" s="2793"/>
      <c r="AP455" s="2793"/>
      <c r="AQ455" s="2793"/>
      <c r="AR455" s="2783"/>
      <c r="AS455" s="2783"/>
      <c r="AT455" s="2783"/>
      <c r="AU455" s="2783"/>
      <c r="AV455" s="2730"/>
      <c r="AY455" s="2730"/>
    </row>
    <row r="456" spans="1:51">
      <c r="A456" s="2730"/>
      <c r="E456" s="2730"/>
      <c r="F456" s="2730"/>
      <c r="G456" s="2730"/>
      <c r="H456" s="2730"/>
      <c r="I456" s="2730"/>
      <c r="J456" s="2730"/>
      <c r="K456" s="2783"/>
      <c r="L456" s="2783"/>
      <c r="M456" s="2793"/>
      <c r="N456" s="2793"/>
      <c r="O456" s="2793"/>
      <c r="P456" s="2793"/>
      <c r="Q456" s="2793"/>
      <c r="R456" s="2793"/>
      <c r="S456" s="2793"/>
      <c r="T456" s="2793"/>
      <c r="U456" s="2793"/>
      <c r="V456" s="2793"/>
      <c r="W456" s="2793"/>
      <c r="X456" s="2793"/>
      <c r="Y456" s="2793"/>
      <c r="Z456" s="2793"/>
      <c r="AA456" s="2793"/>
      <c r="AB456" s="2793"/>
      <c r="AC456" s="2793"/>
      <c r="AD456" s="2793"/>
      <c r="AE456" s="2793"/>
      <c r="AF456" s="2793"/>
      <c r="AG456" s="2793"/>
      <c r="AH456" s="2794"/>
      <c r="AI456" s="2793"/>
      <c r="AJ456" s="2793"/>
      <c r="AK456" s="2793"/>
      <c r="AL456" s="2793"/>
      <c r="AM456" s="2793"/>
      <c r="AN456" s="2793"/>
      <c r="AO456" s="2793"/>
      <c r="AP456" s="2793"/>
      <c r="AQ456" s="2793"/>
      <c r="AR456" s="2783"/>
      <c r="AS456" s="2783"/>
      <c r="AT456" s="2783"/>
      <c r="AU456" s="2783"/>
      <c r="AV456" s="2730"/>
      <c r="AY456" s="2730"/>
    </row>
    <row r="457" spans="1:51">
      <c r="A457" s="2730"/>
      <c r="E457" s="2730"/>
      <c r="F457" s="2730"/>
      <c r="G457" s="2730"/>
      <c r="H457" s="2730"/>
      <c r="I457" s="2730"/>
      <c r="J457" s="2730"/>
      <c r="K457" s="2783"/>
      <c r="L457" s="2783"/>
      <c r="M457" s="2793"/>
      <c r="N457" s="2793"/>
      <c r="O457" s="2793"/>
      <c r="P457" s="2793"/>
      <c r="Q457" s="2793"/>
      <c r="R457" s="2793"/>
      <c r="S457" s="2793"/>
      <c r="T457" s="2793"/>
      <c r="U457" s="2793"/>
      <c r="V457" s="2793"/>
      <c r="W457" s="2793"/>
      <c r="X457" s="2793"/>
      <c r="Y457" s="2793"/>
      <c r="Z457" s="2793"/>
      <c r="AA457" s="2793"/>
      <c r="AB457" s="2793"/>
      <c r="AC457" s="2793"/>
      <c r="AD457" s="2793"/>
      <c r="AE457" s="2793"/>
      <c r="AF457" s="2793"/>
      <c r="AG457" s="2793"/>
      <c r="AH457" s="2794"/>
      <c r="AI457" s="2793"/>
      <c r="AJ457" s="2793"/>
      <c r="AK457" s="2793"/>
      <c r="AL457" s="2793"/>
      <c r="AM457" s="2793"/>
      <c r="AN457" s="2793"/>
      <c r="AO457" s="2793"/>
      <c r="AP457" s="2793"/>
      <c r="AQ457" s="2793"/>
      <c r="AR457" s="2783"/>
      <c r="AS457" s="2783"/>
      <c r="AT457" s="2783"/>
      <c r="AU457" s="2783"/>
      <c r="AV457" s="2730"/>
      <c r="AY457" s="2730"/>
    </row>
    <row r="458" spans="1:51">
      <c r="A458" s="2730"/>
      <c r="E458" s="2730"/>
      <c r="F458" s="2730"/>
      <c r="G458" s="2730"/>
      <c r="H458" s="2730"/>
      <c r="I458" s="2730"/>
      <c r="J458" s="2730"/>
      <c r="K458" s="2783"/>
      <c r="L458" s="2783"/>
      <c r="M458" s="2793"/>
      <c r="N458" s="2793"/>
      <c r="O458" s="2793"/>
      <c r="P458" s="2793"/>
      <c r="Q458" s="2793"/>
      <c r="R458" s="2793"/>
      <c r="S458" s="2793"/>
      <c r="T458" s="2793"/>
      <c r="U458" s="2793"/>
      <c r="V458" s="2793"/>
      <c r="W458" s="2793"/>
      <c r="X458" s="2793"/>
      <c r="Y458" s="2793"/>
      <c r="Z458" s="2793"/>
      <c r="AA458" s="2793"/>
      <c r="AB458" s="2793"/>
      <c r="AC458" s="2793"/>
      <c r="AD458" s="2793"/>
      <c r="AE458" s="2793"/>
      <c r="AF458" s="2793"/>
      <c r="AG458" s="2793"/>
      <c r="AH458" s="2794"/>
      <c r="AI458" s="2793"/>
      <c r="AJ458" s="2793"/>
      <c r="AK458" s="2793"/>
      <c r="AL458" s="2793"/>
      <c r="AM458" s="2793"/>
      <c r="AN458" s="2793"/>
      <c r="AO458" s="2793"/>
      <c r="AP458" s="2793"/>
      <c r="AQ458" s="2793"/>
      <c r="AR458" s="2783"/>
      <c r="AS458" s="2783"/>
      <c r="AT458" s="2783"/>
      <c r="AU458" s="2783"/>
      <c r="AV458" s="2730"/>
      <c r="AY458" s="2730"/>
    </row>
    <row r="459" spans="1:51">
      <c r="A459" s="2730"/>
      <c r="E459" s="2730"/>
      <c r="F459" s="2730"/>
      <c r="G459" s="2730"/>
      <c r="H459" s="2730"/>
      <c r="I459" s="2730"/>
      <c r="J459" s="2730"/>
      <c r="K459" s="2783"/>
      <c r="L459" s="2783"/>
      <c r="M459" s="2793"/>
      <c r="N459" s="2793"/>
      <c r="O459" s="2793"/>
      <c r="P459" s="2793"/>
      <c r="Q459" s="2793"/>
      <c r="R459" s="2793"/>
      <c r="S459" s="2793"/>
      <c r="T459" s="2793"/>
      <c r="U459" s="2793"/>
      <c r="V459" s="2793"/>
      <c r="W459" s="2793"/>
      <c r="X459" s="2793"/>
      <c r="Y459" s="2793"/>
      <c r="Z459" s="2793"/>
      <c r="AA459" s="2793"/>
      <c r="AB459" s="2793"/>
      <c r="AC459" s="2793"/>
      <c r="AD459" s="2793"/>
      <c r="AE459" s="2793"/>
      <c r="AF459" s="2793"/>
      <c r="AG459" s="2793"/>
      <c r="AH459" s="2794"/>
      <c r="AI459" s="2793"/>
      <c r="AJ459" s="2793"/>
      <c r="AK459" s="2793"/>
      <c r="AL459" s="2793"/>
      <c r="AM459" s="2793"/>
      <c r="AN459" s="2793"/>
      <c r="AO459" s="2793"/>
      <c r="AP459" s="2793"/>
      <c r="AQ459" s="2793"/>
      <c r="AR459" s="2783"/>
      <c r="AS459" s="2783"/>
      <c r="AT459" s="2783"/>
      <c r="AU459" s="2783"/>
      <c r="AV459" s="2730"/>
      <c r="AY459" s="2730"/>
    </row>
    <row r="460" spans="1:51">
      <c r="A460" s="2730"/>
      <c r="E460" s="2730"/>
      <c r="F460" s="2730"/>
      <c r="G460" s="2730"/>
      <c r="H460" s="2730"/>
      <c r="I460" s="2730"/>
      <c r="J460" s="2730"/>
      <c r="K460" s="2783"/>
      <c r="L460" s="2783"/>
      <c r="M460" s="2793"/>
      <c r="N460" s="2793"/>
      <c r="O460" s="2793"/>
      <c r="P460" s="2793"/>
      <c r="Q460" s="2793"/>
      <c r="R460" s="2793"/>
      <c r="S460" s="2793"/>
      <c r="T460" s="2793"/>
      <c r="U460" s="2793"/>
      <c r="V460" s="2793"/>
      <c r="W460" s="2793"/>
      <c r="X460" s="2793"/>
      <c r="Y460" s="2793"/>
      <c r="Z460" s="2793"/>
      <c r="AA460" s="2793"/>
      <c r="AB460" s="2793"/>
      <c r="AC460" s="2793"/>
      <c r="AD460" s="2793"/>
      <c r="AE460" s="2793"/>
      <c r="AF460" s="2793"/>
      <c r="AG460" s="2793"/>
      <c r="AH460" s="2794"/>
      <c r="AI460" s="2793"/>
      <c r="AJ460" s="2793"/>
      <c r="AK460" s="2793"/>
      <c r="AL460" s="2793"/>
      <c r="AM460" s="2793"/>
      <c r="AN460" s="2793"/>
      <c r="AO460" s="2793"/>
      <c r="AP460" s="2793"/>
      <c r="AQ460" s="2793"/>
      <c r="AR460" s="2783"/>
      <c r="AS460" s="2783"/>
      <c r="AT460" s="2783"/>
      <c r="AU460" s="2783"/>
      <c r="AV460" s="2730"/>
      <c r="AY460" s="2730"/>
    </row>
    <row r="461" spans="1:51">
      <c r="A461" s="2730"/>
      <c r="E461" s="2730"/>
      <c r="F461" s="2730"/>
      <c r="G461" s="2730"/>
      <c r="H461" s="2730"/>
      <c r="I461" s="2730"/>
      <c r="J461" s="2730"/>
      <c r="K461" s="2783"/>
      <c r="L461" s="2783"/>
      <c r="M461" s="2793"/>
      <c r="N461" s="2793"/>
      <c r="O461" s="2793"/>
      <c r="P461" s="2793"/>
      <c r="Q461" s="2793"/>
      <c r="R461" s="2793"/>
      <c r="S461" s="2793"/>
      <c r="T461" s="2793"/>
      <c r="U461" s="2793"/>
      <c r="V461" s="2793"/>
      <c r="W461" s="2793"/>
      <c r="X461" s="2793"/>
      <c r="Y461" s="2793"/>
      <c r="Z461" s="2793"/>
      <c r="AA461" s="2793"/>
      <c r="AB461" s="2793"/>
      <c r="AC461" s="2793"/>
      <c r="AD461" s="2793"/>
      <c r="AE461" s="2793"/>
      <c r="AF461" s="2793"/>
      <c r="AG461" s="2793"/>
      <c r="AH461" s="2794"/>
      <c r="AI461" s="2793"/>
      <c r="AJ461" s="2793"/>
      <c r="AK461" s="2793"/>
      <c r="AL461" s="2793"/>
      <c r="AM461" s="2793"/>
      <c r="AN461" s="2793"/>
      <c r="AO461" s="2793"/>
      <c r="AP461" s="2793"/>
      <c r="AQ461" s="2793"/>
      <c r="AR461" s="2783"/>
      <c r="AS461" s="2783"/>
      <c r="AT461" s="2783"/>
      <c r="AU461" s="2783"/>
      <c r="AV461" s="2730"/>
      <c r="AY461" s="2730"/>
    </row>
    <row r="462" spans="1:51">
      <c r="A462" s="2730"/>
      <c r="E462" s="2730"/>
      <c r="F462" s="2730"/>
      <c r="G462" s="2730"/>
      <c r="H462" s="2730"/>
      <c r="I462" s="2730"/>
      <c r="J462" s="2730"/>
      <c r="K462" s="2783"/>
      <c r="L462" s="2783"/>
      <c r="M462" s="2793"/>
      <c r="N462" s="2793"/>
      <c r="O462" s="2793"/>
      <c r="P462" s="2793"/>
      <c r="Q462" s="2793"/>
      <c r="R462" s="2793"/>
      <c r="S462" s="2793"/>
      <c r="T462" s="2793"/>
      <c r="U462" s="2793"/>
      <c r="V462" s="2793"/>
      <c r="W462" s="2793"/>
      <c r="X462" s="2793"/>
      <c r="Y462" s="2793"/>
      <c r="Z462" s="2793"/>
      <c r="AA462" s="2793"/>
      <c r="AB462" s="2793"/>
      <c r="AC462" s="2793"/>
      <c r="AD462" s="2793"/>
      <c r="AE462" s="2793"/>
      <c r="AF462" s="2793"/>
      <c r="AG462" s="2793"/>
      <c r="AH462" s="2794"/>
      <c r="AI462" s="2793"/>
      <c r="AJ462" s="2793"/>
      <c r="AK462" s="2793"/>
      <c r="AL462" s="2793"/>
      <c r="AM462" s="2793"/>
      <c r="AN462" s="2793"/>
      <c r="AO462" s="2793"/>
      <c r="AP462" s="2793"/>
      <c r="AQ462" s="2793"/>
      <c r="AR462" s="2783"/>
      <c r="AS462" s="2783"/>
      <c r="AT462" s="2783"/>
      <c r="AU462" s="2783"/>
      <c r="AV462" s="2730"/>
      <c r="AY462" s="2730"/>
    </row>
    <row r="463" spans="1:51">
      <c r="A463" s="2730"/>
      <c r="E463" s="2730"/>
      <c r="F463" s="2730"/>
      <c r="G463" s="2730"/>
      <c r="H463" s="2730"/>
      <c r="I463" s="2730"/>
      <c r="J463" s="2730"/>
      <c r="K463" s="2783"/>
      <c r="L463" s="2783"/>
      <c r="M463" s="2793"/>
      <c r="N463" s="2793"/>
      <c r="O463" s="2793"/>
      <c r="P463" s="2793"/>
      <c r="Q463" s="2793"/>
      <c r="R463" s="2793"/>
      <c r="S463" s="2793"/>
      <c r="T463" s="2793"/>
      <c r="U463" s="2793"/>
      <c r="V463" s="2793"/>
      <c r="W463" s="2793"/>
      <c r="X463" s="2793"/>
      <c r="Y463" s="2793"/>
      <c r="Z463" s="2793"/>
      <c r="AA463" s="2793"/>
      <c r="AB463" s="2793"/>
      <c r="AC463" s="2793"/>
      <c r="AD463" s="2793"/>
      <c r="AE463" s="2793"/>
      <c r="AF463" s="2793"/>
      <c r="AG463" s="2793"/>
      <c r="AH463" s="2794"/>
      <c r="AI463" s="2793"/>
      <c r="AJ463" s="2793"/>
      <c r="AK463" s="2793"/>
      <c r="AL463" s="2793"/>
      <c r="AM463" s="2793"/>
      <c r="AN463" s="2793"/>
      <c r="AO463" s="2793"/>
      <c r="AP463" s="2793"/>
      <c r="AQ463" s="2793"/>
      <c r="AR463" s="2783"/>
      <c r="AS463" s="2783"/>
      <c r="AT463" s="2783"/>
      <c r="AU463" s="2783"/>
      <c r="AV463" s="2730"/>
      <c r="AY463" s="2730"/>
    </row>
    <row r="464" spans="1:51">
      <c r="A464" s="2730"/>
      <c r="E464" s="2730"/>
      <c r="F464" s="2730"/>
      <c r="G464" s="2730"/>
      <c r="H464" s="2730"/>
      <c r="I464" s="2730"/>
      <c r="J464" s="2730"/>
      <c r="K464" s="2783"/>
      <c r="L464" s="2783"/>
      <c r="M464" s="2793"/>
      <c r="N464" s="2793"/>
      <c r="O464" s="2793"/>
      <c r="P464" s="2793"/>
      <c r="Q464" s="2793"/>
      <c r="R464" s="2793"/>
      <c r="S464" s="2793"/>
      <c r="T464" s="2793"/>
      <c r="U464" s="2793"/>
      <c r="V464" s="2793"/>
      <c r="W464" s="2793"/>
      <c r="X464" s="2793"/>
      <c r="Y464" s="2793"/>
      <c r="Z464" s="2793"/>
      <c r="AA464" s="2793"/>
      <c r="AB464" s="2793"/>
      <c r="AC464" s="2793"/>
      <c r="AD464" s="2793"/>
      <c r="AE464" s="2793"/>
      <c r="AF464" s="2793"/>
      <c r="AG464" s="2793"/>
      <c r="AH464" s="2794"/>
      <c r="AI464" s="2793"/>
      <c r="AJ464" s="2793"/>
      <c r="AK464" s="2793"/>
      <c r="AL464" s="2793"/>
      <c r="AM464" s="2793"/>
      <c r="AN464" s="2793"/>
      <c r="AO464" s="2793"/>
      <c r="AP464" s="2793"/>
      <c r="AQ464" s="2793"/>
      <c r="AR464" s="2783"/>
      <c r="AS464" s="2783"/>
      <c r="AT464" s="2783"/>
      <c r="AU464" s="2783"/>
      <c r="AV464" s="2730"/>
      <c r="AY464" s="2730"/>
    </row>
    <row r="465" spans="1:51">
      <c r="A465" s="2730"/>
      <c r="E465" s="2730"/>
      <c r="F465" s="2730"/>
      <c r="G465" s="2730"/>
      <c r="H465" s="2730"/>
      <c r="I465" s="2730"/>
      <c r="J465" s="2730"/>
      <c r="K465" s="2783"/>
      <c r="L465" s="2783"/>
      <c r="M465" s="2793"/>
      <c r="N465" s="2793"/>
      <c r="O465" s="2793"/>
      <c r="P465" s="2793"/>
      <c r="Q465" s="2793"/>
      <c r="R465" s="2793"/>
      <c r="S465" s="2793"/>
      <c r="T465" s="2793"/>
      <c r="U465" s="2793"/>
      <c r="V465" s="2793"/>
      <c r="W465" s="2793"/>
      <c r="X465" s="2793"/>
      <c r="Y465" s="2793"/>
      <c r="Z465" s="2793"/>
      <c r="AA465" s="2793"/>
      <c r="AB465" s="2793"/>
      <c r="AC465" s="2793"/>
      <c r="AD465" s="2793"/>
      <c r="AE465" s="2793"/>
      <c r="AF465" s="2793"/>
      <c r="AG465" s="2793"/>
      <c r="AH465" s="2794"/>
      <c r="AI465" s="2793"/>
      <c r="AJ465" s="2793"/>
      <c r="AK465" s="2793"/>
      <c r="AL465" s="2793"/>
      <c r="AM465" s="2793"/>
      <c r="AN465" s="2793"/>
      <c r="AO465" s="2793"/>
      <c r="AP465" s="2793"/>
      <c r="AQ465" s="2793"/>
      <c r="AR465" s="2783"/>
      <c r="AS465" s="2783"/>
      <c r="AT465" s="2783"/>
      <c r="AU465" s="2783"/>
      <c r="AV465" s="2730"/>
      <c r="AY465" s="2730"/>
    </row>
    <row r="466" spans="1:51">
      <c r="A466" s="2730"/>
      <c r="E466" s="2730"/>
      <c r="F466" s="2730"/>
      <c r="G466" s="2730"/>
      <c r="H466" s="2730"/>
      <c r="I466" s="2730"/>
      <c r="J466" s="2730"/>
      <c r="K466" s="2783"/>
      <c r="L466" s="2783"/>
      <c r="M466" s="2793"/>
      <c r="N466" s="2793"/>
      <c r="O466" s="2793"/>
      <c r="P466" s="2793"/>
      <c r="Q466" s="2793"/>
      <c r="R466" s="2793"/>
      <c r="S466" s="2793"/>
      <c r="T466" s="2793"/>
      <c r="U466" s="2793"/>
      <c r="V466" s="2793"/>
      <c r="W466" s="2793"/>
      <c r="X466" s="2793"/>
      <c r="Y466" s="2793"/>
      <c r="Z466" s="2793"/>
      <c r="AA466" s="2793"/>
      <c r="AB466" s="2793"/>
      <c r="AC466" s="2793"/>
      <c r="AD466" s="2793"/>
      <c r="AE466" s="2793"/>
      <c r="AF466" s="2793"/>
      <c r="AG466" s="2793"/>
      <c r="AH466" s="2794"/>
      <c r="AI466" s="2793"/>
      <c r="AJ466" s="2793"/>
      <c r="AK466" s="2793"/>
      <c r="AL466" s="2793"/>
      <c r="AM466" s="2793"/>
      <c r="AN466" s="2793"/>
      <c r="AO466" s="2793"/>
      <c r="AP466" s="2793"/>
      <c r="AQ466" s="2793"/>
      <c r="AR466" s="2783"/>
      <c r="AS466" s="2783"/>
      <c r="AT466" s="2783"/>
      <c r="AU466" s="2783"/>
      <c r="AV466" s="2730"/>
      <c r="AY466" s="2730"/>
    </row>
    <row r="467" spans="1:51">
      <c r="A467" s="2730"/>
      <c r="E467" s="2730"/>
      <c r="F467" s="2730"/>
      <c r="G467" s="2730"/>
      <c r="H467" s="2730"/>
      <c r="I467" s="2730"/>
      <c r="J467" s="2730"/>
      <c r="K467" s="2783"/>
      <c r="L467" s="2783"/>
      <c r="M467" s="2793"/>
      <c r="N467" s="2793"/>
      <c r="O467" s="2793"/>
      <c r="P467" s="2793"/>
      <c r="Q467" s="2793"/>
      <c r="R467" s="2793"/>
      <c r="S467" s="2793"/>
      <c r="T467" s="2793"/>
      <c r="U467" s="2793"/>
      <c r="V467" s="2793"/>
      <c r="W467" s="2793"/>
      <c r="X467" s="2793"/>
      <c r="Y467" s="2793"/>
      <c r="Z467" s="2793"/>
      <c r="AA467" s="2793"/>
      <c r="AB467" s="2793"/>
      <c r="AC467" s="2793"/>
      <c r="AD467" s="2793"/>
      <c r="AE467" s="2793"/>
      <c r="AF467" s="2793"/>
      <c r="AG467" s="2793"/>
      <c r="AH467" s="2794"/>
      <c r="AI467" s="2793"/>
      <c r="AJ467" s="2793"/>
      <c r="AK467" s="2793"/>
      <c r="AL467" s="2793"/>
      <c r="AM467" s="2793"/>
      <c r="AN467" s="2793"/>
      <c r="AO467" s="2793"/>
      <c r="AP467" s="2793"/>
      <c r="AQ467" s="2793"/>
      <c r="AR467" s="2783"/>
      <c r="AS467" s="2783"/>
      <c r="AT467" s="2783"/>
      <c r="AU467" s="2783"/>
      <c r="AV467" s="2730"/>
      <c r="AY467" s="2730"/>
    </row>
    <row r="468" spans="1:51">
      <c r="A468" s="2730"/>
      <c r="E468" s="2730"/>
      <c r="F468" s="2730"/>
      <c r="G468" s="2730"/>
      <c r="H468" s="2730"/>
      <c r="I468" s="2730"/>
      <c r="J468" s="2730"/>
      <c r="K468" s="2783"/>
      <c r="L468" s="2783"/>
      <c r="M468" s="2793"/>
      <c r="N468" s="2793"/>
      <c r="O468" s="2793"/>
      <c r="P468" s="2793"/>
      <c r="Q468" s="2793"/>
      <c r="R468" s="2793"/>
      <c r="S468" s="2793"/>
      <c r="T468" s="2793"/>
      <c r="U468" s="2793"/>
      <c r="V468" s="2793"/>
      <c r="W468" s="2793"/>
      <c r="X468" s="2793"/>
      <c r="Y468" s="2793"/>
      <c r="Z468" s="2793"/>
      <c r="AA468" s="2793"/>
      <c r="AB468" s="2793"/>
      <c r="AC468" s="2793"/>
      <c r="AD468" s="2793"/>
      <c r="AE468" s="2793"/>
      <c r="AF468" s="2793"/>
      <c r="AG468" s="2793"/>
      <c r="AH468" s="2794"/>
      <c r="AI468" s="2793"/>
      <c r="AJ468" s="2793"/>
      <c r="AK468" s="2793"/>
      <c r="AL468" s="2793"/>
      <c r="AM468" s="2793"/>
      <c r="AN468" s="2793"/>
      <c r="AO468" s="2793"/>
      <c r="AP468" s="2793"/>
      <c r="AQ468" s="2793"/>
      <c r="AR468" s="2783"/>
      <c r="AS468" s="2783"/>
      <c r="AT468" s="2783"/>
      <c r="AU468" s="2783"/>
      <c r="AV468" s="2730"/>
      <c r="AY468" s="2730"/>
    </row>
    <row r="469" spans="1:51">
      <c r="A469" s="2730"/>
      <c r="E469" s="2730"/>
      <c r="F469" s="2730"/>
      <c r="G469" s="2730"/>
      <c r="H469" s="2730"/>
      <c r="I469" s="2730"/>
      <c r="J469" s="2730"/>
      <c r="K469" s="2783"/>
      <c r="L469" s="2783"/>
      <c r="M469" s="2793"/>
      <c r="N469" s="2793"/>
      <c r="O469" s="2793"/>
      <c r="P469" s="2793"/>
      <c r="Q469" s="2793"/>
      <c r="R469" s="2793"/>
      <c r="S469" s="2793"/>
      <c r="T469" s="2793"/>
      <c r="U469" s="2793"/>
      <c r="V469" s="2793"/>
      <c r="W469" s="2793"/>
      <c r="X469" s="2793"/>
      <c r="Y469" s="2793"/>
      <c r="Z469" s="2793"/>
      <c r="AA469" s="2793"/>
      <c r="AB469" s="2793"/>
      <c r="AC469" s="2793"/>
      <c r="AD469" s="2793"/>
      <c r="AE469" s="2793"/>
      <c r="AF469" s="2793"/>
      <c r="AG469" s="2793"/>
      <c r="AH469" s="2794"/>
      <c r="AI469" s="2793"/>
      <c r="AJ469" s="2793"/>
      <c r="AK469" s="2793"/>
      <c r="AL469" s="2793"/>
      <c r="AM469" s="2793"/>
      <c r="AN469" s="2793"/>
      <c r="AO469" s="2793"/>
      <c r="AP469" s="2793"/>
      <c r="AQ469" s="2793"/>
      <c r="AR469" s="2783"/>
      <c r="AS469" s="2783"/>
      <c r="AT469" s="2783"/>
      <c r="AU469" s="2783"/>
      <c r="AV469" s="2730"/>
      <c r="AY469" s="2730"/>
    </row>
    <row r="470" spans="1:51">
      <c r="A470" s="2730"/>
      <c r="E470" s="2730"/>
      <c r="F470" s="2730"/>
      <c r="G470" s="2730"/>
      <c r="H470" s="2730"/>
      <c r="I470" s="2730"/>
      <c r="J470" s="2730"/>
      <c r="K470" s="2783"/>
      <c r="L470" s="2783"/>
      <c r="M470" s="2793"/>
      <c r="N470" s="2793"/>
      <c r="O470" s="2793"/>
      <c r="P470" s="2793"/>
      <c r="Q470" s="2793"/>
      <c r="R470" s="2793"/>
      <c r="S470" s="2793"/>
      <c r="T470" s="2793"/>
      <c r="U470" s="2793"/>
      <c r="V470" s="2793"/>
      <c r="W470" s="2793"/>
      <c r="X470" s="2793"/>
      <c r="Y470" s="2793"/>
      <c r="Z470" s="2793"/>
      <c r="AA470" s="2793"/>
      <c r="AB470" s="2793"/>
      <c r="AC470" s="2793"/>
      <c r="AD470" s="2793"/>
      <c r="AE470" s="2793"/>
      <c r="AF470" s="2793"/>
      <c r="AG470" s="2793"/>
      <c r="AH470" s="2794"/>
      <c r="AI470" s="2793"/>
      <c r="AJ470" s="2793"/>
      <c r="AK470" s="2793"/>
      <c r="AL470" s="2793"/>
      <c r="AM470" s="2793"/>
      <c r="AN470" s="2793"/>
      <c r="AO470" s="2793"/>
      <c r="AP470" s="2793"/>
      <c r="AQ470" s="2793"/>
      <c r="AR470" s="2783"/>
      <c r="AS470" s="2783"/>
      <c r="AT470" s="2783"/>
      <c r="AU470" s="2783"/>
      <c r="AV470" s="2730"/>
      <c r="AY470" s="2730"/>
    </row>
    <row r="471" spans="1:51">
      <c r="A471" s="2730"/>
      <c r="E471" s="2730"/>
      <c r="F471" s="2730"/>
      <c r="G471" s="2730"/>
      <c r="H471" s="2730"/>
      <c r="I471" s="2730"/>
      <c r="J471" s="2730"/>
      <c r="K471" s="2783"/>
      <c r="L471" s="2783"/>
      <c r="M471" s="2793"/>
      <c r="N471" s="2793"/>
      <c r="O471" s="2793"/>
      <c r="P471" s="2793"/>
      <c r="Q471" s="2793"/>
      <c r="R471" s="2793"/>
      <c r="S471" s="2793"/>
      <c r="T471" s="2793"/>
      <c r="U471" s="2793"/>
      <c r="V471" s="2793"/>
      <c r="W471" s="2793"/>
      <c r="X471" s="2793"/>
      <c r="Y471" s="2793"/>
      <c r="Z471" s="2793"/>
      <c r="AA471" s="2793"/>
      <c r="AB471" s="2793"/>
      <c r="AC471" s="2793"/>
      <c r="AD471" s="2793"/>
      <c r="AE471" s="2793"/>
      <c r="AF471" s="2793"/>
      <c r="AG471" s="2793"/>
      <c r="AH471" s="2794"/>
      <c r="AI471" s="2793"/>
      <c r="AJ471" s="2793"/>
      <c r="AK471" s="2793"/>
      <c r="AL471" s="2793"/>
      <c r="AM471" s="2793"/>
      <c r="AN471" s="2793"/>
      <c r="AO471" s="2793"/>
      <c r="AP471" s="2793"/>
      <c r="AQ471" s="2793"/>
      <c r="AR471" s="2783"/>
      <c r="AS471" s="2783"/>
      <c r="AT471" s="2783"/>
      <c r="AU471" s="2783"/>
      <c r="AV471" s="2730"/>
      <c r="AY471" s="2730"/>
    </row>
    <row r="472" spans="1:51">
      <c r="A472" s="2730"/>
      <c r="E472" s="2730"/>
      <c r="F472" s="2730"/>
      <c r="G472" s="2730"/>
      <c r="H472" s="2730"/>
      <c r="I472" s="2730"/>
      <c r="J472" s="2730"/>
      <c r="K472" s="2783"/>
      <c r="L472" s="2783"/>
      <c r="M472" s="2793"/>
      <c r="N472" s="2793"/>
      <c r="O472" s="2793"/>
      <c r="P472" s="2793"/>
      <c r="Q472" s="2793"/>
      <c r="R472" s="2793"/>
      <c r="S472" s="2793"/>
      <c r="T472" s="2793"/>
      <c r="U472" s="2793"/>
      <c r="V472" s="2793"/>
      <c r="W472" s="2793"/>
      <c r="X472" s="2793"/>
      <c r="Y472" s="2793"/>
      <c r="Z472" s="2793"/>
      <c r="AA472" s="2793"/>
      <c r="AB472" s="2793"/>
      <c r="AC472" s="2793"/>
      <c r="AD472" s="2793"/>
      <c r="AE472" s="2793"/>
      <c r="AF472" s="2793"/>
      <c r="AG472" s="2793"/>
      <c r="AH472" s="2794"/>
      <c r="AI472" s="2793"/>
      <c r="AJ472" s="2793"/>
      <c r="AK472" s="2793"/>
      <c r="AL472" s="2793"/>
      <c r="AM472" s="2793"/>
      <c r="AN472" s="2793"/>
      <c r="AO472" s="2793"/>
      <c r="AP472" s="2793"/>
      <c r="AQ472" s="2793"/>
      <c r="AR472" s="2783"/>
      <c r="AS472" s="2783"/>
      <c r="AT472" s="2783"/>
      <c r="AU472" s="2783"/>
      <c r="AV472" s="2730"/>
      <c r="AY472" s="2730"/>
    </row>
    <row r="473" spans="1:51">
      <c r="A473" s="2730"/>
      <c r="E473" s="2730"/>
      <c r="F473" s="2730"/>
      <c r="G473" s="2730"/>
      <c r="H473" s="2730"/>
      <c r="I473" s="2730"/>
      <c r="J473" s="2730"/>
      <c r="K473" s="2783"/>
      <c r="L473" s="2783"/>
      <c r="M473" s="2793"/>
      <c r="N473" s="2793"/>
      <c r="O473" s="2793"/>
      <c r="P473" s="2793"/>
      <c r="Q473" s="2793"/>
      <c r="R473" s="2793"/>
      <c r="S473" s="2793"/>
      <c r="T473" s="2793"/>
      <c r="U473" s="2793"/>
      <c r="V473" s="2793"/>
      <c r="W473" s="2793"/>
      <c r="X473" s="2793"/>
      <c r="Y473" s="2793"/>
      <c r="Z473" s="2793"/>
      <c r="AA473" s="2793"/>
      <c r="AB473" s="2793"/>
      <c r="AC473" s="2793"/>
      <c r="AD473" s="2793"/>
      <c r="AE473" s="2793"/>
      <c r="AF473" s="2793"/>
      <c r="AG473" s="2793"/>
      <c r="AH473" s="2794"/>
      <c r="AI473" s="2793"/>
      <c r="AJ473" s="2793"/>
      <c r="AK473" s="2793"/>
      <c r="AL473" s="2793"/>
      <c r="AM473" s="2793"/>
      <c r="AN473" s="2793"/>
      <c r="AO473" s="2793"/>
      <c r="AP473" s="2793"/>
      <c r="AQ473" s="2793"/>
      <c r="AR473" s="2783"/>
      <c r="AS473" s="2783"/>
      <c r="AT473" s="2783"/>
      <c r="AU473" s="2783"/>
      <c r="AV473" s="2730"/>
      <c r="AY473" s="2730"/>
    </row>
    <row r="474" spans="1:51">
      <c r="A474" s="2730"/>
      <c r="E474" s="2730"/>
      <c r="F474" s="2730"/>
      <c r="G474" s="2730"/>
      <c r="H474" s="2730"/>
      <c r="I474" s="2730"/>
      <c r="J474" s="2730"/>
      <c r="K474" s="2783"/>
      <c r="L474" s="2783"/>
      <c r="M474" s="2793"/>
      <c r="N474" s="2793"/>
      <c r="O474" s="2793"/>
      <c r="P474" s="2793"/>
      <c r="Q474" s="2793"/>
      <c r="R474" s="2793"/>
      <c r="S474" s="2793"/>
      <c r="T474" s="2793"/>
      <c r="U474" s="2793"/>
      <c r="V474" s="2793"/>
      <c r="W474" s="2793"/>
      <c r="X474" s="2793"/>
      <c r="Y474" s="2793"/>
      <c r="Z474" s="2793"/>
      <c r="AA474" s="2793"/>
      <c r="AB474" s="2793"/>
      <c r="AC474" s="2793"/>
      <c r="AD474" s="2793"/>
      <c r="AE474" s="2793"/>
      <c r="AF474" s="2793"/>
      <c r="AG474" s="2793"/>
      <c r="AH474" s="2794"/>
      <c r="AI474" s="2793"/>
      <c r="AJ474" s="2793"/>
      <c r="AK474" s="2793"/>
      <c r="AL474" s="2793"/>
      <c r="AM474" s="2793"/>
      <c r="AN474" s="2793"/>
      <c r="AO474" s="2793"/>
      <c r="AP474" s="2793"/>
      <c r="AQ474" s="2793"/>
      <c r="AR474" s="2783"/>
      <c r="AS474" s="2783"/>
      <c r="AT474" s="2783"/>
      <c r="AU474" s="2783"/>
      <c r="AV474" s="2730"/>
      <c r="AY474" s="2730"/>
    </row>
    <row r="475" spans="1:51">
      <c r="A475" s="2730"/>
      <c r="E475" s="2730"/>
      <c r="F475" s="2730"/>
      <c r="G475" s="2730"/>
      <c r="H475" s="2730"/>
      <c r="I475" s="2730"/>
      <c r="J475" s="2730"/>
      <c r="K475" s="2783"/>
      <c r="L475" s="2783"/>
      <c r="M475" s="2793"/>
      <c r="N475" s="2793"/>
      <c r="O475" s="2793"/>
      <c r="P475" s="2793"/>
      <c r="Q475" s="2793"/>
      <c r="R475" s="2793"/>
      <c r="S475" s="2793"/>
      <c r="T475" s="2793"/>
      <c r="U475" s="2793"/>
      <c r="V475" s="2793"/>
      <c r="W475" s="2793"/>
      <c r="X475" s="2793"/>
      <c r="Y475" s="2793"/>
      <c r="Z475" s="2793"/>
      <c r="AA475" s="2793"/>
      <c r="AB475" s="2793"/>
      <c r="AC475" s="2793"/>
      <c r="AD475" s="2793"/>
      <c r="AE475" s="2793"/>
      <c r="AF475" s="2793"/>
      <c r="AG475" s="2793"/>
      <c r="AH475" s="2794"/>
      <c r="AI475" s="2793"/>
      <c r="AJ475" s="2793"/>
      <c r="AK475" s="2793"/>
      <c r="AL475" s="2793"/>
      <c r="AM475" s="2793"/>
      <c r="AN475" s="2793"/>
      <c r="AO475" s="2793"/>
      <c r="AP475" s="2793"/>
      <c r="AQ475" s="2793"/>
      <c r="AR475" s="2783"/>
      <c r="AS475" s="2783"/>
      <c r="AT475" s="2783"/>
      <c r="AU475" s="2783"/>
      <c r="AV475" s="2730"/>
      <c r="AY475" s="2730"/>
    </row>
    <row r="476" spans="1:51">
      <c r="A476" s="2730"/>
      <c r="E476" s="2730"/>
      <c r="F476" s="2730"/>
      <c r="G476" s="2730"/>
      <c r="H476" s="2730"/>
      <c r="I476" s="2730"/>
      <c r="J476" s="2730"/>
      <c r="K476" s="2783"/>
      <c r="L476" s="2783"/>
      <c r="M476" s="2793"/>
      <c r="N476" s="2793"/>
      <c r="O476" s="2793"/>
      <c r="P476" s="2793"/>
      <c r="Q476" s="2793"/>
      <c r="R476" s="2793"/>
      <c r="S476" s="2793"/>
      <c r="T476" s="2793"/>
      <c r="U476" s="2793"/>
      <c r="V476" s="2793"/>
      <c r="W476" s="2793"/>
      <c r="X476" s="2793"/>
      <c r="Y476" s="2793"/>
      <c r="Z476" s="2793"/>
      <c r="AA476" s="2793"/>
      <c r="AB476" s="2793"/>
      <c r="AC476" s="2793"/>
      <c r="AD476" s="2793"/>
      <c r="AE476" s="2793"/>
      <c r="AF476" s="2793"/>
      <c r="AG476" s="2793"/>
      <c r="AH476" s="2794"/>
      <c r="AI476" s="2793"/>
      <c r="AJ476" s="2793"/>
      <c r="AK476" s="2793"/>
      <c r="AL476" s="2793"/>
      <c r="AM476" s="2793"/>
      <c r="AN476" s="2793"/>
      <c r="AO476" s="2793"/>
      <c r="AP476" s="2793"/>
      <c r="AQ476" s="2793"/>
      <c r="AR476" s="2783"/>
      <c r="AS476" s="2783"/>
      <c r="AT476" s="2783"/>
      <c r="AU476" s="2783"/>
      <c r="AV476" s="2730"/>
      <c r="AY476" s="2730"/>
    </row>
    <row r="477" spans="1:51">
      <c r="A477" s="2730"/>
      <c r="E477" s="2730"/>
      <c r="F477" s="2730"/>
      <c r="G477" s="2730"/>
      <c r="H477" s="2730"/>
      <c r="I477" s="2730"/>
      <c r="J477" s="2730"/>
      <c r="K477" s="2783"/>
      <c r="L477" s="2783"/>
      <c r="M477" s="2793"/>
      <c r="N477" s="2793"/>
      <c r="O477" s="2793"/>
      <c r="P477" s="2793"/>
      <c r="Q477" s="2793"/>
      <c r="R477" s="2793"/>
      <c r="S477" s="2793"/>
      <c r="T477" s="2793"/>
      <c r="U477" s="2793"/>
      <c r="V477" s="2793"/>
      <c r="W477" s="2793"/>
      <c r="X477" s="2793"/>
      <c r="Y477" s="2793"/>
      <c r="Z477" s="2793"/>
      <c r="AA477" s="2793"/>
      <c r="AB477" s="2793"/>
      <c r="AC477" s="2793"/>
      <c r="AD477" s="2793"/>
      <c r="AE477" s="2793"/>
      <c r="AF477" s="2793"/>
      <c r="AG477" s="2793"/>
      <c r="AH477" s="2794"/>
      <c r="AI477" s="2793"/>
      <c r="AJ477" s="2793"/>
      <c r="AK477" s="2793"/>
      <c r="AL477" s="2793"/>
      <c r="AM477" s="2793"/>
      <c r="AN477" s="2793"/>
      <c r="AO477" s="2793"/>
      <c r="AP477" s="2793"/>
      <c r="AQ477" s="2793"/>
      <c r="AR477" s="2783"/>
      <c r="AS477" s="2783"/>
      <c r="AT477" s="2783"/>
      <c r="AU477" s="2783"/>
      <c r="AV477" s="2730"/>
      <c r="AY477" s="2730"/>
    </row>
    <row r="478" spans="1:51">
      <c r="A478" s="2730"/>
      <c r="E478" s="2730"/>
      <c r="F478" s="2730"/>
      <c r="G478" s="2730"/>
      <c r="H478" s="2730"/>
      <c r="I478" s="2730"/>
      <c r="J478" s="2730"/>
      <c r="K478" s="2783"/>
      <c r="L478" s="2783"/>
      <c r="M478" s="2793"/>
      <c r="N478" s="2793"/>
      <c r="O478" s="2793"/>
      <c r="P478" s="2793"/>
      <c r="Q478" s="2793"/>
      <c r="R478" s="2793"/>
      <c r="S478" s="2793"/>
      <c r="T478" s="2793"/>
      <c r="U478" s="2793"/>
      <c r="V478" s="2793"/>
      <c r="W478" s="2793"/>
      <c r="X478" s="2793"/>
      <c r="Y478" s="2793"/>
      <c r="Z478" s="2793"/>
      <c r="AA478" s="2793"/>
      <c r="AB478" s="2793"/>
      <c r="AC478" s="2793"/>
      <c r="AD478" s="2793"/>
      <c r="AE478" s="2793"/>
      <c r="AF478" s="2793"/>
      <c r="AG478" s="2793"/>
      <c r="AH478" s="2794"/>
      <c r="AI478" s="2793"/>
      <c r="AJ478" s="2793"/>
      <c r="AK478" s="2793"/>
      <c r="AL478" s="2793"/>
      <c r="AM478" s="2793"/>
      <c r="AN478" s="2793"/>
      <c r="AO478" s="2793"/>
      <c r="AP478" s="2793"/>
      <c r="AQ478" s="2793"/>
      <c r="AR478" s="2783"/>
      <c r="AS478" s="2783"/>
      <c r="AT478" s="2783"/>
      <c r="AU478" s="2783"/>
      <c r="AV478" s="2730"/>
      <c r="AY478" s="2730"/>
    </row>
    <row r="479" spans="1:51">
      <c r="A479" s="2730"/>
      <c r="E479" s="2730"/>
      <c r="F479" s="2730"/>
      <c r="G479" s="2730"/>
      <c r="H479" s="2730"/>
      <c r="I479" s="2730"/>
      <c r="J479" s="2730"/>
      <c r="K479" s="2783"/>
      <c r="L479" s="2783"/>
      <c r="M479" s="2793"/>
      <c r="N479" s="2793"/>
      <c r="O479" s="2793"/>
      <c r="P479" s="2793"/>
      <c r="Q479" s="2793"/>
      <c r="R479" s="2793"/>
      <c r="S479" s="2793"/>
      <c r="T479" s="2793"/>
      <c r="U479" s="2793"/>
      <c r="V479" s="2793"/>
      <c r="W479" s="2793"/>
      <c r="X479" s="2793"/>
      <c r="Y479" s="2793"/>
      <c r="Z479" s="2793"/>
      <c r="AA479" s="2793"/>
      <c r="AB479" s="2793"/>
      <c r="AC479" s="2793"/>
      <c r="AD479" s="2793"/>
      <c r="AE479" s="2793"/>
      <c r="AF479" s="2793"/>
      <c r="AG479" s="2793"/>
      <c r="AH479" s="2794"/>
      <c r="AI479" s="2793"/>
      <c r="AJ479" s="2793"/>
      <c r="AK479" s="2793"/>
      <c r="AL479" s="2793"/>
      <c r="AM479" s="2793"/>
      <c r="AN479" s="2793"/>
      <c r="AO479" s="2793"/>
      <c r="AP479" s="2793"/>
      <c r="AQ479" s="2793"/>
      <c r="AR479" s="2783"/>
      <c r="AS479" s="2783"/>
      <c r="AT479" s="2783"/>
      <c r="AU479" s="2783"/>
      <c r="AV479" s="2730"/>
      <c r="AY479" s="2730"/>
    </row>
    <row r="480" spans="1:51">
      <c r="A480" s="2730"/>
      <c r="E480" s="2730"/>
      <c r="F480" s="2730"/>
      <c r="G480" s="2730"/>
      <c r="H480" s="2730"/>
      <c r="I480" s="2730"/>
      <c r="J480" s="2730"/>
      <c r="K480" s="2783"/>
      <c r="L480" s="2783"/>
      <c r="M480" s="2793"/>
      <c r="N480" s="2793"/>
      <c r="O480" s="2793"/>
      <c r="P480" s="2793"/>
      <c r="Q480" s="2793"/>
      <c r="R480" s="2793"/>
      <c r="S480" s="2793"/>
      <c r="T480" s="2793"/>
      <c r="U480" s="2793"/>
      <c r="V480" s="2793"/>
      <c r="W480" s="2793"/>
      <c r="X480" s="2793"/>
      <c r="Y480" s="2793"/>
      <c r="Z480" s="2793"/>
      <c r="AA480" s="2793"/>
      <c r="AB480" s="2793"/>
      <c r="AC480" s="2793"/>
      <c r="AD480" s="2793"/>
      <c r="AE480" s="2793"/>
      <c r="AF480" s="2793"/>
      <c r="AG480" s="2793"/>
      <c r="AH480" s="2794"/>
      <c r="AI480" s="2793"/>
      <c r="AJ480" s="2793"/>
      <c r="AK480" s="2793"/>
      <c r="AL480" s="2793"/>
      <c r="AM480" s="2793"/>
      <c r="AN480" s="2793"/>
      <c r="AO480" s="2793"/>
      <c r="AP480" s="2793"/>
      <c r="AQ480" s="2793"/>
      <c r="AR480" s="2783"/>
      <c r="AS480" s="2783"/>
      <c r="AT480" s="2783"/>
      <c r="AU480" s="2783"/>
      <c r="AV480" s="2730"/>
      <c r="AY480" s="2730"/>
    </row>
    <row r="481" spans="1:51">
      <c r="A481" s="2730"/>
      <c r="E481" s="2730"/>
      <c r="F481" s="2730"/>
      <c r="G481" s="2730"/>
      <c r="H481" s="2730"/>
      <c r="I481" s="2730"/>
      <c r="J481" s="2730"/>
      <c r="K481" s="2783"/>
      <c r="L481" s="2783"/>
      <c r="M481" s="2793"/>
      <c r="N481" s="2793"/>
      <c r="O481" s="2793"/>
      <c r="P481" s="2793"/>
      <c r="Q481" s="2793"/>
      <c r="R481" s="2793"/>
      <c r="S481" s="2793"/>
      <c r="T481" s="2793"/>
      <c r="U481" s="2793"/>
      <c r="V481" s="2793"/>
      <c r="W481" s="2793"/>
      <c r="X481" s="2793"/>
      <c r="Y481" s="2793"/>
      <c r="Z481" s="2793"/>
      <c r="AA481" s="2793"/>
      <c r="AB481" s="2793"/>
      <c r="AC481" s="2793"/>
      <c r="AD481" s="2793"/>
      <c r="AE481" s="2793"/>
      <c r="AF481" s="2793"/>
      <c r="AG481" s="2793"/>
      <c r="AH481" s="2794"/>
      <c r="AI481" s="2793"/>
      <c r="AJ481" s="2793"/>
      <c r="AK481" s="2793"/>
      <c r="AL481" s="2793"/>
      <c r="AM481" s="2793"/>
      <c r="AN481" s="2793"/>
      <c r="AO481" s="2793"/>
      <c r="AP481" s="2793"/>
      <c r="AQ481" s="2793"/>
      <c r="AR481" s="2783"/>
      <c r="AS481" s="2783"/>
      <c r="AT481" s="2783"/>
      <c r="AU481" s="2783"/>
      <c r="AV481" s="2730"/>
      <c r="AY481" s="2730"/>
    </row>
    <row r="482" spans="1:51">
      <c r="A482" s="2730"/>
      <c r="E482" s="2730"/>
      <c r="F482" s="2730"/>
      <c r="G482" s="2730"/>
      <c r="H482" s="2730"/>
      <c r="I482" s="2730"/>
      <c r="J482" s="2730"/>
      <c r="K482" s="2783"/>
      <c r="L482" s="2783"/>
      <c r="M482" s="2793"/>
      <c r="N482" s="2793"/>
      <c r="O482" s="2793"/>
      <c r="P482" s="2793"/>
      <c r="Q482" s="2793"/>
      <c r="R482" s="2793"/>
      <c r="S482" s="2793"/>
      <c r="T482" s="2793"/>
      <c r="U482" s="2793"/>
      <c r="V482" s="2793"/>
      <c r="W482" s="2793"/>
      <c r="X482" s="2793"/>
      <c r="Y482" s="2793"/>
      <c r="Z482" s="2793"/>
      <c r="AA482" s="2793"/>
      <c r="AB482" s="2793"/>
      <c r="AC482" s="2793"/>
      <c r="AD482" s="2793"/>
      <c r="AE482" s="2793"/>
      <c r="AF482" s="2793"/>
      <c r="AG482" s="2793"/>
      <c r="AH482" s="2794"/>
      <c r="AI482" s="2793"/>
      <c r="AJ482" s="2793"/>
      <c r="AK482" s="2793"/>
      <c r="AL482" s="2793"/>
      <c r="AM482" s="2793"/>
      <c r="AN482" s="2793"/>
      <c r="AO482" s="2793"/>
      <c r="AP482" s="2793"/>
      <c r="AQ482" s="2793"/>
      <c r="AR482" s="2783"/>
      <c r="AS482" s="2783"/>
      <c r="AT482" s="2783"/>
      <c r="AU482" s="2783"/>
      <c r="AV482" s="2730"/>
      <c r="AY482" s="2730"/>
    </row>
    <row r="483" spans="1:51">
      <c r="A483" s="2730"/>
      <c r="E483" s="2730"/>
      <c r="F483" s="2730"/>
      <c r="G483" s="2730"/>
      <c r="H483" s="2730"/>
      <c r="I483" s="2730"/>
      <c r="J483" s="2730"/>
      <c r="K483" s="2783"/>
      <c r="L483" s="2783"/>
      <c r="M483" s="2793"/>
      <c r="N483" s="2793"/>
      <c r="O483" s="2793"/>
      <c r="P483" s="2793"/>
      <c r="Q483" s="2793"/>
      <c r="R483" s="2793"/>
      <c r="S483" s="2793"/>
      <c r="T483" s="2793"/>
      <c r="U483" s="2793"/>
      <c r="V483" s="2793"/>
      <c r="W483" s="2793"/>
      <c r="X483" s="2793"/>
      <c r="Y483" s="2793"/>
      <c r="Z483" s="2793"/>
      <c r="AA483" s="2793"/>
      <c r="AB483" s="2793"/>
      <c r="AC483" s="2793"/>
      <c r="AD483" s="2793"/>
      <c r="AE483" s="2793"/>
      <c r="AF483" s="2793"/>
      <c r="AG483" s="2793"/>
      <c r="AH483" s="2794"/>
      <c r="AI483" s="2793"/>
      <c r="AJ483" s="2793"/>
      <c r="AK483" s="2793"/>
      <c r="AL483" s="2793"/>
      <c r="AM483" s="2793"/>
      <c r="AN483" s="2793"/>
      <c r="AO483" s="2793"/>
      <c r="AP483" s="2793"/>
      <c r="AQ483" s="2793"/>
      <c r="AR483" s="2783"/>
      <c r="AS483" s="2783"/>
      <c r="AT483" s="2783"/>
      <c r="AU483" s="2783"/>
      <c r="AV483" s="2730"/>
      <c r="AY483" s="2730"/>
    </row>
    <row r="484" spans="1:51">
      <c r="A484" s="2730"/>
      <c r="E484" s="2730"/>
      <c r="F484" s="2730"/>
      <c r="G484" s="2730"/>
      <c r="H484" s="2730"/>
      <c r="I484" s="2730"/>
      <c r="J484" s="2730"/>
      <c r="K484" s="2783"/>
      <c r="L484" s="2783"/>
      <c r="M484" s="2793"/>
      <c r="N484" s="2793"/>
      <c r="O484" s="2793"/>
      <c r="P484" s="2793"/>
      <c r="Q484" s="2793"/>
      <c r="R484" s="2793"/>
      <c r="S484" s="2793"/>
      <c r="T484" s="2793"/>
      <c r="U484" s="2793"/>
      <c r="V484" s="2793"/>
      <c r="W484" s="2793"/>
      <c r="X484" s="2793"/>
      <c r="Y484" s="2793"/>
      <c r="Z484" s="2793"/>
      <c r="AA484" s="2793"/>
      <c r="AB484" s="2793"/>
      <c r="AC484" s="2793"/>
      <c r="AD484" s="2793"/>
      <c r="AE484" s="2793"/>
      <c r="AF484" s="2793"/>
      <c r="AG484" s="2793"/>
      <c r="AH484" s="2794"/>
      <c r="AI484" s="2793"/>
      <c r="AJ484" s="2793"/>
      <c r="AK484" s="2793"/>
      <c r="AL484" s="2793"/>
      <c r="AM484" s="2793"/>
      <c r="AN484" s="2793"/>
      <c r="AO484" s="2793"/>
      <c r="AP484" s="2793"/>
      <c r="AQ484" s="2793"/>
      <c r="AR484" s="2783"/>
      <c r="AS484" s="2783"/>
      <c r="AT484" s="2783"/>
      <c r="AU484" s="2783"/>
      <c r="AV484" s="2730"/>
      <c r="AY484" s="2730"/>
    </row>
    <row r="485" spans="1:51">
      <c r="A485" s="2730"/>
      <c r="E485" s="2730"/>
      <c r="F485" s="2730"/>
      <c r="G485" s="2730"/>
      <c r="H485" s="2730"/>
      <c r="I485" s="2730"/>
      <c r="J485" s="2730"/>
      <c r="K485" s="2783"/>
      <c r="L485" s="2783"/>
      <c r="M485" s="2793"/>
      <c r="N485" s="2793"/>
      <c r="O485" s="2793"/>
      <c r="P485" s="2793"/>
      <c r="Q485" s="2793"/>
      <c r="R485" s="2793"/>
      <c r="S485" s="2793"/>
      <c r="T485" s="2793"/>
      <c r="U485" s="2793"/>
      <c r="V485" s="2793"/>
      <c r="W485" s="2793"/>
      <c r="X485" s="2793"/>
      <c r="Y485" s="2793"/>
      <c r="Z485" s="2793"/>
      <c r="AA485" s="2793"/>
      <c r="AB485" s="2793"/>
      <c r="AC485" s="2793"/>
      <c r="AD485" s="2793"/>
      <c r="AE485" s="2793"/>
      <c r="AF485" s="2793"/>
      <c r="AG485" s="2793"/>
      <c r="AH485" s="2794"/>
      <c r="AI485" s="2793"/>
      <c r="AJ485" s="2793"/>
      <c r="AK485" s="2793"/>
      <c r="AL485" s="2793"/>
      <c r="AM485" s="2793"/>
      <c r="AN485" s="2793"/>
      <c r="AO485" s="2793"/>
      <c r="AP485" s="2793"/>
      <c r="AQ485" s="2793"/>
      <c r="AR485" s="2783"/>
      <c r="AS485" s="2783"/>
      <c r="AT485" s="2783"/>
      <c r="AU485" s="2783"/>
      <c r="AV485" s="2730"/>
      <c r="AY485" s="2730"/>
    </row>
    <row r="486" spans="1:51">
      <c r="A486" s="2730"/>
      <c r="E486" s="2730"/>
      <c r="F486" s="2730"/>
      <c r="G486" s="2730"/>
      <c r="H486" s="2730"/>
      <c r="I486" s="2730"/>
      <c r="J486" s="2730"/>
      <c r="K486" s="2783"/>
      <c r="L486" s="2783"/>
      <c r="M486" s="2793"/>
      <c r="N486" s="2793"/>
      <c r="O486" s="2793"/>
      <c r="P486" s="2793"/>
      <c r="Q486" s="2793"/>
      <c r="R486" s="2793"/>
      <c r="S486" s="2793"/>
      <c r="T486" s="2793"/>
      <c r="U486" s="2793"/>
      <c r="V486" s="2793"/>
      <c r="W486" s="2793"/>
      <c r="X486" s="2793"/>
      <c r="Y486" s="2793"/>
      <c r="Z486" s="2793"/>
      <c r="AA486" s="2793"/>
      <c r="AB486" s="2793"/>
      <c r="AC486" s="2793"/>
      <c r="AD486" s="2793"/>
      <c r="AE486" s="2793"/>
      <c r="AF486" s="2793"/>
      <c r="AG486" s="2793"/>
      <c r="AH486" s="2794"/>
      <c r="AI486" s="2793"/>
      <c r="AJ486" s="2793"/>
      <c r="AK486" s="2793"/>
      <c r="AL486" s="2793"/>
      <c r="AM486" s="2793"/>
      <c r="AN486" s="2793"/>
      <c r="AO486" s="2793"/>
      <c r="AP486" s="2793"/>
      <c r="AQ486" s="2793"/>
      <c r="AR486" s="2783"/>
      <c r="AS486" s="2783"/>
      <c r="AT486" s="2783"/>
      <c r="AU486" s="2783"/>
      <c r="AV486" s="2730"/>
      <c r="AY486" s="2730"/>
    </row>
    <row r="487" spans="1:51">
      <c r="A487" s="2730"/>
      <c r="E487" s="2730"/>
      <c r="F487" s="2730"/>
      <c r="G487" s="2730"/>
      <c r="H487" s="2730"/>
      <c r="I487" s="2730"/>
      <c r="J487" s="2730"/>
      <c r="K487" s="2783"/>
      <c r="L487" s="2783"/>
      <c r="M487" s="2793"/>
      <c r="N487" s="2793"/>
      <c r="O487" s="2793"/>
      <c r="P487" s="2793"/>
      <c r="Q487" s="2793"/>
      <c r="R487" s="2793"/>
      <c r="S487" s="2793"/>
      <c r="T487" s="2793"/>
      <c r="U487" s="2793"/>
      <c r="V487" s="2793"/>
      <c r="W487" s="2793"/>
      <c r="X487" s="2793"/>
      <c r="Y487" s="2793"/>
      <c r="Z487" s="2793"/>
      <c r="AA487" s="2793"/>
      <c r="AB487" s="2793"/>
      <c r="AC487" s="2793"/>
      <c r="AD487" s="2793"/>
      <c r="AE487" s="2793"/>
      <c r="AF487" s="2793"/>
      <c r="AG487" s="2793"/>
      <c r="AH487" s="2794"/>
      <c r="AI487" s="2793"/>
      <c r="AJ487" s="2793"/>
      <c r="AK487" s="2793"/>
      <c r="AL487" s="2793"/>
      <c r="AM487" s="2793"/>
      <c r="AN487" s="2793"/>
      <c r="AO487" s="2793"/>
      <c r="AP487" s="2793"/>
      <c r="AQ487" s="2793"/>
      <c r="AR487" s="2783"/>
      <c r="AS487" s="2783"/>
      <c r="AT487" s="2783"/>
      <c r="AU487" s="2783"/>
      <c r="AV487" s="2730"/>
      <c r="AY487" s="2730"/>
    </row>
    <row r="488" spans="1:51">
      <c r="A488" s="2730"/>
      <c r="E488" s="2730"/>
      <c r="F488" s="2730"/>
      <c r="G488" s="2730"/>
      <c r="H488" s="2730"/>
      <c r="I488" s="2730"/>
      <c r="J488" s="2730"/>
      <c r="K488" s="2783"/>
      <c r="L488" s="2783"/>
      <c r="M488" s="2793"/>
      <c r="N488" s="2793"/>
      <c r="O488" s="2793"/>
      <c r="P488" s="2793"/>
      <c r="Q488" s="2793"/>
      <c r="R488" s="2793"/>
      <c r="S488" s="2793"/>
      <c r="T488" s="2793"/>
      <c r="U488" s="2793"/>
      <c r="V488" s="2793"/>
      <c r="W488" s="2793"/>
      <c r="X488" s="2793"/>
      <c r="Y488" s="2793"/>
      <c r="Z488" s="2793"/>
      <c r="AA488" s="2793"/>
      <c r="AB488" s="2793"/>
      <c r="AC488" s="2793"/>
      <c r="AD488" s="2793"/>
      <c r="AE488" s="2793"/>
      <c r="AF488" s="2793"/>
      <c r="AG488" s="2793"/>
      <c r="AH488" s="2794"/>
      <c r="AI488" s="2793"/>
      <c r="AJ488" s="2793"/>
      <c r="AK488" s="2793"/>
      <c r="AL488" s="2793"/>
      <c r="AM488" s="2793"/>
      <c r="AN488" s="2793"/>
      <c r="AO488" s="2793"/>
      <c r="AP488" s="2793"/>
      <c r="AQ488" s="2793"/>
      <c r="AR488" s="2783"/>
      <c r="AS488" s="2783"/>
      <c r="AT488" s="2783"/>
      <c r="AU488" s="2783"/>
      <c r="AV488" s="2730"/>
      <c r="AY488" s="2730"/>
    </row>
  </sheetData>
  <mergeCells count="41">
    <mergeCell ref="T89:AC89"/>
    <mergeCell ref="AA116:AQ116"/>
    <mergeCell ref="K117:T117"/>
    <mergeCell ref="K119:AQ119"/>
    <mergeCell ref="AI125:AP125"/>
    <mergeCell ref="K118:AQ118"/>
    <mergeCell ref="K115:T115"/>
    <mergeCell ref="AA115:AQ115"/>
    <mergeCell ref="K116:T116"/>
    <mergeCell ref="T88:AC88"/>
    <mergeCell ref="K50:L50"/>
    <mergeCell ref="K70:L70"/>
    <mergeCell ref="J87:L87"/>
    <mergeCell ref="J7:AY7"/>
    <mergeCell ref="AY9:AY10"/>
    <mergeCell ref="AT9:AT10"/>
    <mergeCell ref="AW9:AW10"/>
    <mergeCell ref="AV9:AV10"/>
    <mergeCell ref="AR9:AR10"/>
    <mergeCell ref="AS9:AS10"/>
    <mergeCell ref="AU9:AU10"/>
    <mergeCell ref="A5:G5"/>
    <mergeCell ref="A1:AY1"/>
    <mergeCell ref="A2:AY2"/>
    <mergeCell ref="A3:AY3"/>
    <mergeCell ref="J4:V4"/>
    <mergeCell ref="J5:V5"/>
    <mergeCell ref="A9:A12"/>
    <mergeCell ref="B9:B12"/>
    <mergeCell ref="C9:C12"/>
    <mergeCell ref="D9:D12"/>
    <mergeCell ref="E9:E12"/>
    <mergeCell ref="F9:F12"/>
    <mergeCell ref="G9:G12"/>
    <mergeCell ref="K9:K10"/>
    <mergeCell ref="L9:L10"/>
    <mergeCell ref="M9:AQ9"/>
    <mergeCell ref="J9:J10"/>
    <mergeCell ref="H9:H12"/>
    <mergeCell ref="I9:I12"/>
    <mergeCell ref="K12:L12"/>
  </mergeCells>
  <conditionalFormatting sqref="AF71:AF75">
    <cfRule type="containsBlanks" dxfId="260" priority="59">
      <formula>LEN(TRIM(AF71))=0</formula>
    </cfRule>
    <cfRule type="containsBlanks" dxfId="259" priority="60">
      <formula>LEN(TRIM(AF71))=0</formula>
    </cfRule>
  </conditionalFormatting>
  <conditionalFormatting sqref="AF77:AF79">
    <cfRule type="containsBlanks" dxfId="258" priority="54">
      <formula>LEN(TRIM(AF77))=0</formula>
    </cfRule>
  </conditionalFormatting>
  <conditionalFormatting sqref="AF77:AF79">
    <cfRule type="containsBlanks" dxfId="257" priority="55">
      <formula>LEN(TRIM(AF77))=0</formula>
    </cfRule>
  </conditionalFormatting>
  <conditionalFormatting sqref="AF81">
    <cfRule type="containsBlanks" dxfId="256" priority="45">
      <formula>LEN(TRIM(AF81))=0</formula>
    </cfRule>
  </conditionalFormatting>
  <conditionalFormatting sqref="AF81">
    <cfRule type="containsBlanks" dxfId="255" priority="43">
      <formula>LEN(TRIM(AF81))=0</formula>
    </cfRule>
    <cfRule type="containsBlanks" dxfId="254" priority="44">
      <formula>LEN(TRIM(AF81))=0</formula>
    </cfRule>
  </conditionalFormatting>
  <conditionalFormatting sqref="AF77:AF79">
    <cfRule type="containsBlanks" dxfId="253" priority="53">
      <formula>LEN(TRIM(AF77))=0</formula>
    </cfRule>
  </conditionalFormatting>
  <conditionalFormatting sqref="AF83">
    <cfRule type="containsBlanks" dxfId="252" priority="35">
      <formula>LEN(TRIM(AF83))=0</formula>
    </cfRule>
    <cfRule type="containsBlanks" dxfId="251" priority="36">
      <formula>LEN(TRIM(AF83))=0</formula>
    </cfRule>
  </conditionalFormatting>
  <conditionalFormatting sqref="AF77:AF79">
    <cfRule type="containsBlanks" dxfId="250" priority="56">
      <formula>LEN(TRIM(AF77))=0</formula>
    </cfRule>
  </conditionalFormatting>
  <conditionalFormatting sqref="Y71">
    <cfRule type="containsBlanks" dxfId="249" priority="31">
      <formula>LEN(TRIM(Y71))=0</formula>
    </cfRule>
  </conditionalFormatting>
  <conditionalFormatting sqref="Y71">
    <cfRule type="containsBlanks" dxfId="248" priority="32">
      <formula>LEN(TRIM(Y71))=0</formula>
    </cfRule>
  </conditionalFormatting>
  <conditionalFormatting sqref="Y71">
    <cfRule type="containsBlanks" dxfId="247" priority="29">
      <formula>LEN(TRIM(Y71))=0</formula>
    </cfRule>
  </conditionalFormatting>
  <conditionalFormatting sqref="Y71">
    <cfRule type="containsBlanks" dxfId="246" priority="30">
      <formula>LEN(TRIM(Y71))=0</formula>
    </cfRule>
  </conditionalFormatting>
  <conditionalFormatting sqref="Y71">
    <cfRule type="containsBlanks" dxfId="245" priority="25">
      <formula>LEN(TRIM(Y71))=0</formula>
    </cfRule>
  </conditionalFormatting>
  <conditionalFormatting sqref="Y71">
    <cfRule type="containsBlanks" dxfId="244" priority="26">
      <formula>LEN(TRIM(Y71))=0</formula>
    </cfRule>
  </conditionalFormatting>
  <conditionalFormatting sqref="R71:R74">
    <cfRule type="containsBlanks" dxfId="243" priority="18">
      <formula>LEN(TRIM(R71))=0</formula>
    </cfRule>
  </conditionalFormatting>
  <conditionalFormatting sqref="R71:R74">
    <cfRule type="containsBlanks" dxfId="242" priority="17">
      <formula>LEN(TRIM(R71))=0</formula>
    </cfRule>
  </conditionalFormatting>
  <conditionalFormatting sqref="M23">
    <cfRule type="containsBlanks" dxfId="241" priority="253">
      <formula>LEN(TRIM(M23))=0</formula>
    </cfRule>
    <cfRule type="containsBlanks" dxfId="240" priority="254">
      <formula>LEN(TRIM(M23))=0</formula>
    </cfRule>
  </conditionalFormatting>
  <conditionalFormatting sqref="M33">
    <cfRule type="containsBlanks" dxfId="239" priority="251">
      <formula>LEN(TRIM(M33))=0</formula>
    </cfRule>
    <cfRule type="containsBlanks" dxfId="238" priority="252">
      <formula>LEN(TRIM(M33))=0</formula>
    </cfRule>
  </conditionalFormatting>
  <conditionalFormatting sqref="M13">
    <cfRule type="containsBlanks" dxfId="237" priority="255">
      <formula>LEN(TRIM(M13))=0</formula>
    </cfRule>
    <cfRule type="containsBlanks" dxfId="236" priority="256">
      <formula>LEN(TRIM(M13))=0</formula>
    </cfRule>
  </conditionalFormatting>
  <conditionalFormatting sqref="O13 Q13 S13 U13 W13 AC13 AE13 AG13:AI13">
    <cfRule type="containsBlanks" dxfId="235" priority="245">
      <formula>LEN(TRIM(O13))=0</formula>
    </cfRule>
    <cfRule type="containsBlanks" dxfId="234" priority="246">
      <formula>LEN(TRIM(O13))=0</formula>
    </cfRule>
  </conditionalFormatting>
  <conditionalFormatting sqref="N37">
    <cfRule type="containsBlanks" dxfId="233" priority="239">
      <formula>LEN(TRIM(N37))=0</formula>
    </cfRule>
    <cfRule type="containsBlanks" dxfId="232" priority="240">
      <formula>LEN(TRIM(N37))=0</formula>
    </cfRule>
  </conditionalFormatting>
  <conditionalFormatting sqref="Q25">
    <cfRule type="containsBlanks" dxfId="231" priority="237">
      <formula>LEN(TRIM(Q25))=0</formula>
    </cfRule>
    <cfRule type="containsBlanks" dxfId="230" priority="238">
      <formula>LEN(TRIM(Q25))=0</formula>
    </cfRule>
  </conditionalFormatting>
  <conditionalFormatting sqref="R24">
    <cfRule type="containsBlanks" dxfId="229" priority="235">
      <formula>LEN(TRIM(R24))=0</formula>
    </cfRule>
    <cfRule type="containsBlanks" dxfId="228" priority="236">
      <formula>LEN(TRIM(R24))=0</formula>
    </cfRule>
  </conditionalFormatting>
  <conditionalFormatting sqref="R36">
    <cfRule type="containsBlanks" dxfId="227" priority="233">
      <formula>LEN(TRIM(R36))=0</formula>
    </cfRule>
    <cfRule type="containsBlanks" dxfId="226" priority="234">
      <formula>LEN(TRIM(R36))=0</formula>
    </cfRule>
  </conditionalFormatting>
  <conditionalFormatting sqref="R49">
    <cfRule type="containsBlanks" dxfId="225" priority="249">
      <formula>LEN(TRIM(R49))=0</formula>
    </cfRule>
    <cfRule type="containsBlanks" dxfId="224" priority="250">
      <formula>LEN(TRIM(R49))=0</formula>
    </cfRule>
  </conditionalFormatting>
  <conditionalFormatting sqref="U37">
    <cfRule type="containsBlanks" dxfId="223" priority="231">
      <formula>LEN(TRIM(U37))=0</formula>
    </cfRule>
    <cfRule type="containsBlanks" dxfId="222" priority="232">
      <formula>LEN(TRIM(U37))=0</formula>
    </cfRule>
  </conditionalFormatting>
  <conditionalFormatting sqref="V48:V49">
    <cfRule type="containsBlanks" dxfId="221" priority="229">
      <formula>LEN(TRIM(V48))=0</formula>
    </cfRule>
    <cfRule type="containsBlanks" dxfId="220" priority="230">
      <formula>LEN(TRIM(V48))=0</formula>
    </cfRule>
  </conditionalFormatting>
  <conditionalFormatting sqref="Y25">
    <cfRule type="containsBlanks" dxfId="219" priority="227">
      <formula>LEN(TRIM(Y25))=0</formula>
    </cfRule>
    <cfRule type="containsBlanks" dxfId="218" priority="228">
      <formula>LEN(TRIM(Y25))=0</formula>
    </cfRule>
  </conditionalFormatting>
  <conditionalFormatting sqref="Z24">
    <cfRule type="containsBlanks" dxfId="217" priority="219">
      <formula>LEN(TRIM(Z24))=0</formula>
    </cfRule>
    <cfRule type="containsBlanks" dxfId="216" priority="220">
      <formula>LEN(TRIM(Z24))=0</formula>
    </cfRule>
  </conditionalFormatting>
  <conditionalFormatting sqref="Z36">
    <cfRule type="containsBlanks" dxfId="215" priority="217">
      <formula>LEN(TRIM(Z36))=0</formula>
    </cfRule>
    <cfRule type="containsBlanks" dxfId="214" priority="218">
      <formula>LEN(TRIM(Z36))=0</formula>
    </cfRule>
  </conditionalFormatting>
  <conditionalFormatting sqref="Z48:Z49">
    <cfRule type="containsBlanks" dxfId="213" priority="221">
      <formula>LEN(TRIM(Z48))=0</formula>
    </cfRule>
    <cfRule type="containsBlanks" dxfId="212" priority="222">
      <formula>LEN(TRIM(Z48))=0</formula>
    </cfRule>
  </conditionalFormatting>
  <conditionalFormatting sqref="AA13">
    <cfRule type="containsBlanks" dxfId="211" priority="223">
      <formula>LEN(TRIM(AA13))=0</formula>
    </cfRule>
    <cfRule type="containsBlanks" dxfId="210" priority="224">
      <formula>LEN(TRIM(AA13))=0</formula>
    </cfRule>
  </conditionalFormatting>
  <conditionalFormatting sqref="AA40:AA42 AA46:AA49">
    <cfRule type="containsBlanks" dxfId="209" priority="225">
      <formula>LEN(TRIM(AA40))=0</formula>
    </cfRule>
    <cfRule type="containsBlanks" dxfId="208" priority="226">
      <formula>LEN(TRIM(AA40))=0</formula>
    </cfRule>
  </conditionalFormatting>
  <conditionalFormatting sqref="AC37">
    <cfRule type="containsBlanks" dxfId="207" priority="215">
      <formula>LEN(TRIM(AC37))=0</formula>
    </cfRule>
    <cfRule type="containsBlanks" dxfId="206" priority="216">
      <formula>LEN(TRIM(AC37))=0</formula>
    </cfRule>
  </conditionalFormatting>
  <conditionalFormatting sqref="AD24">
    <cfRule type="containsBlanks" dxfId="205" priority="211">
      <formula>LEN(TRIM(AD24))=0</formula>
    </cfRule>
    <cfRule type="containsBlanks" dxfId="204" priority="212">
      <formula>LEN(TRIM(AD24))=0</formula>
    </cfRule>
  </conditionalFormatting>
  <conditionalFormatting sqref="AD48:AD49">
    <cfRule type="containsBlanks" dxfId="203" priority="213">
      <formula>LEN(TRIM(AD48))=0</formula>
    </cfRule>
    <cfRule type="containsBlanks" dxfId="202" priority="214">
      <formula>LEN(TRIM(AD48))=0</formula>
    </cfRule>
  </conditionalFormatting>
  <conditionalFormatting sqref="AG25">
    <cfRule type="containsBlanks" dxfId="201" priority="207">
      <formula>LEN(TRIM(AG25))=0</formula>
    </cfRule>
    <cfRule type="containsBlanks" dxfId="200" priority="208">
      <formula>LEN(TRIM(AG25))=0</formula>
    </cfRule>
  </conditionalFormatting>
  <conditionalFormatting sqref="AG37">
    <cfRule type="containsBlanks" dxfId="199" priority="205">
      <formula>LEN(TRIM(AG37))=0</formula>
    </cfRule>
    <cfRule type="containsBlanks" dxfId="198" priority="206">
      <formula>LEN(TRIM(AG37))=0</formula>
    </cfRule>
  </conditionalFormatting>
  <conditionalFormatting sqref="AH14">
    <cfRule type="containsBlanks" dxfId="197" priority="241">
      <formula>LEN(TRIM(AH14))=0</formula>
    </cfRule>
    <cfRule type="containsBlanks" dxfId="196" priority="242">
      <formula>LEN(TRIM(AH14))=0</formula>
    </cfRule>
  </conditionalFormatting>
  <conditionalFormatting sqref="AH48:AH49">
    <cfRule type="containsBlanks" dxfId="195" priority="247">
      <formula>LEN(TRIM(AH48))=0</formula>
    </cfRule>
    <cfRule type="containsBlanks" dxfId="194" priority="248">
      <formula>LEN(TRIM(AH48))=0</formula>
    </cfRule>
  </conditionalFormatting>
  <conditionalFormatting sqref="AK26 AK19 AK14 AK16 AK22:AK23 AK33:AK34 AK37:AK38 AK40:AK49">
    <cfRule type="containsBlanks" dxfId="193" priority="243">
      <formula>LEN(TRIM(AK14))=0</formula>
    </cfRule>
    <cfRule type="containsBlanks" dxfId="192" priority="244">
      <formula>LEN(TRIM(AK14))=0</formula>
    </cfRule>
  </conditionalFormatting>
  <conditionalFormatting sqref="AO13">
    <cfRule type="containsBlanks" dxfId="191" priority="201">
      <formula>LEN(TRIM(AO13))=0</formula>
    </cfRule>
    <cfRule type="containsBlanks" dxfId="190" priority="202">
      <formula>LEN(TRIM(AO13))=0</formula>
    </cfRule>
  </conditionalFormatting>
  <conditionalFormatting sqref="AO48:AO49">
    <cfRule type="containsBlanks" dxfId="189" priority="203">
      <formula>LEN(TRIM(AO48))=0</formula>
    </cfRule>
    <cfRule type="containsBlanks" dxfId="188" priority="204">
      <formula>LEN(TRIM(AO48))=0</formula>
    </cfRule>
  </conditionalFormatting>
  <conditionalFormatting sqref="AP24">
    <cfRule type="containsBlanks" dxfId="187" priority="197">
      <formula>LEN(TRIM(AP24))=0</formula>
    </cfRule>
    <cfRule type="containsBlanks" dxfId="186" priority="198">
      <formula>LEN(TRIM(AP24))=0</formula>
    </cfRule>
  </conditionalFormatting>
  <conditionalFormatting sqref="AP48:AP49">
    <cfRule type="containsBlanks" dxfId="185" priority="199">
      <formula>LEN(TRIM(AP48))=0</formula>
    </cfRule>
    <cfRule type="containsBlanks" dxfId="184" priority="200">
      <formula>LEN(TRIM(AP48))=0</formula>
    </cfRule>
  </conditionalFormatting>
  <conditionalFormatting sqref="AQ51:AQ69">
    <cfRule type="containsBlanks" dxfId="183" priority="193">
      <formula>LEN(TRIM(AQ51))=0</formula>
    </cfRule>
    <cfRule type="containsBlanks" dxfId="182" priority="194">
      <formula>LEN(TRIM(AQ51))=0</formula>
    </cfRule>
  </conditionalFormatting>
  <conditionalFormatting sqref="AQ71:AQ86">
    <cfRule type="containsBlanks" dxfId="181" priority="191">
      <formula>LEN(TRIM(AQ71))=0</formula>
    </cfRule>
    <cfRule type="containsBlanks" dxfId="180" priority="192">
      <formula>LEN(TRIM(AQ71))=0</formula>
    </cfRule>
  </conditionalFormatting>
  <conditionalFormatting sqref="AD36">
    <cfRule type="containsBlanks" dxfId="179" priority="209">
      <formula>LEN(TRIM(AD36))=0</formula>
    </cfRule>
    <cfRule type="containsBlanks" dxfId="178" priority="210">
      <formula>LEN(TRIM(AD36))=0</formula>
    </cfRule>
  </conditionalFormatting>
  <conditionalFormatting sqref="AP36">
    <cfRule type="containsBlanks" dxfId="177" priority="195">
      <formula>LEN(TRIM(AP36))=0</formula>
    </cfRule>
    <cfRule type="containsBlanks" dxfId="176" priority="196">
      <formula>LEN(TRIM(AP36))=0</formula>
    </cfRule>
  </conditionalFormatting>
  <conditionalFormatting sqref="M52:M69">
    <cfRule type="containsBlanks" dxfId="175" priority="183">
      <formula>LEN(TRIM(M52))=0</formula>
    </cfRule>
    <cfRule type="containsBlanks" dxfId="174" priority="184">
      <formula>LEN(TRIM(M52))=0</formula>
    </cfRule>
  </conditionalFormatting>
  <conditionalFormatting sqref="M52:N69">
    <cfRule type="containsBlanks" dxfId="173" priority="182">
      <formula>LEN(TRIM(M52))=0</formula>
    </cfRule>
  </conditionalFormatting>
  <conditionalFormatting sqref="M51:S51 O52:S56 T51:T56 U51:AA51 O59:S61 O57:P57 R57:S57 O58:R58 T60:T61 O62:R62 O63:T69 V65:AA69 V64 Y64:Z64 V62:AA63 V58:AA58 V53:Z54 V55:Y56 Z60:Z61 Y52 Y57:Z57">
    <cfRule type="containsBlanks" dxfId="172" priority="188">
      <formula>LEN(TRIM(M51))=0</formula>
    </cfRule>
  </conditionalFormatting>
  <conditionalFormatting sqref="M51:S51 T51:T56 U51:AA51 O52:S56 AC66:AJ69 O59:S61 O57:P57 R57:S57 O58:R58 T60:T61 O62:R62 O63:T69 V65:AA69 V64 V62:AA63 V58:AA58 V53:Z54 V55:Y56 Z60:Z61 Y52 Y57:Z57 AF51:AF65 Y64:Z64">
    <cfRule type="containsBlanks" dxfId="171" priority="189">
      <formula>LEN(TRIM(M51))=0</formula>
    </cfRule>
  </conditionalFormatting>
  <conditionalFormatting sqref="N52:N69">
    <cfRule type="containsBlanks" dxfId="170" priority="180">
      <formula>LEN(TRIM(N52))=0</formula>
    </cfRule>
    <cfRule type="containsBlanks" dxfId="169" priority="181">
      <formula>LEN(TRIM(N52))=0</formula>
    </cfRule>
  </conditionalFormatting>
  <conditionalFormatting sqref="T51:U56 T60:U61 U58 T63:U69 U62">
    <cfRule type="containsBlanks" dxfId="168" priority="179">
      <formula>LEN(TRIM(T51))=0</formula>
    </cfRule>
  </conditionalFormatting>
  <conditionalFormatting sqref="U52:U56 U60:U69 U58">
    <cfRule type="containsBlanks" dxfId="167" priority="177">
      <formula>LEN(TRIM(U52))=0</formula>
    </cfRule>
    <cfRule type="containsBlanks" dxfId="166" priority="178">
      <formula>LEN(TRIM(U52))=0</formula>
    </cfRule>
  </conditionalFormatting>
  <conditionalFormatting sqref="V51:AA51 M51:S51 O52:S56 O59:S61 O57:P57 R57:S57 O58:R58 O63:S69 O62:R62 V65:AA69 V64 Y64:Z64 V62:AA63 V58:AA58 V53:Z54 V55:Y56 Z60:Z61 Y52 Y57:Z57">
    <cfRule type="containsBlanks" dxfId="165" priority="187">
      <formula>LEN(TRIM(M51))=0</formula>
    </cfRule>
  </conditionalFormatting>
  <conditionalFormatting sqref="V63:AA63">
    <cfRule type="containsBlanks" dxfId="164" priority="186">
      <formula>LEN(TRIM(V63))=0</formula>
    </cfRule>
  </conditionalFormatting>
  <conditionalFormatting sqref="V51:AA51 V66:AL69 V64 V62:AA63 V58:AA58 Y57:Z57 V53:Z54 Y52 V55:Y56 V65:AA65 AF51:AF65 Z60:Z61 Y64:Z64">
    <cfRule type="containsBlanks" dxfId="163" priority="176">
      <formula>LEN(TRIM(V51))=0</formula>
    </cfRule>
  </conditionalFormatting>
  <conditionalFormatting sqref="AB66:AB69">
    <cfRule type="containsBlanks" dxfId="162" priority="174">
      <formula>LEN(TRIM(AB66))=0</formula>
    </cfRule>
    <cfRule type="containsBlanks" dxfId="161" priority="175">
      <formula>LEN(TRIM(AB66))=0</formula>
    </cfRule>
  </conditionalFormatting>
  <conditionalFormatting sqref="AC66:AC69">
    <cfRule type="containsBlanks" dxfId="160" priority="172">
      <formula>LEN(TRIM(AC66))=0</formula>
    </cfRule>
    <cfRule type="containsBlanks" dxfId="159" priority="173">
      <formula>LEN(TRIM(AC66))=0</formula>
    </cfRule>
  </conditionalFormatting>
  <conditionalFormatting sqref="AF63">
    <cfRule type="containsBlanks" dxfId="158" priority="171">
      <formula>LEN(TRIM(AF63))=0</formula>
    </cfRule>
  </conditionalFormatting>
  <conditionalFormatting sqref="AC66:AL69 AF51:AF65">
    <cfRule type="containsBlanks" dxfId="157" priority="185">
      <formula>LEN(TRIM(AC51))=0</formula>
    </cfRule>
  </conditionalFormatting>
  <conditionalFormatting sqref="AD66:AF69 AF51:AF65">
    <cfRule type="containsBlanks" dxfId="156" priority="169">
      <formula>LEN(TRIM(AD51))=0</formula>
    </cfRule>
    <cfRule type="containsBlanks" dxfId="155" priority="170">
      <formula>LEN(TRIM(AD51))=0</formula>
    </cfRule>
  </conditionalFormatting>
  <conditionalFormatting sqref="AF66:AJ69 AF51:AF65">
    <cfRule type="containsBlanks" dxfId="154" priority="190">
      <formula>LEN(TRIM(AF51))=0</formula>
    </cfRule>
  </conditionalFormatting>
  <conditionalFormatting sqref="AL49">
    <cfRule type="containsBlanks" dxfId="153" priority="167">
      <formula>LEN(TRIM(AL49))=0</formula>
    </cfRule>
    <cfRule type="containsBlanks" dxfId="152" priority="168">
      <formula>LEN(TRIM(AL49))=0</formula>
    </cfRule>
  </conditionalFormatting>
  <conditionalFormatting sqref="AM51:AN51 AM69:AN69 AM66:AM68 AM65:AN65 AM64 AM63:AN63 AM52 AM58:AM62">
    <cfRule type="containsBlanks" dxfId="151" priority="165">
      <formula>LEN(TRIM(AM51))=0</formula>
    </cfRule>
  </conditionalFormatting>
  <conditionalFormatting sqref="AM51:AN51 AM69:AN69 AM66:AM68 AM65:AN65 AM64 AM63:AN63 AM52 AM58:AM62">
    <cfRule type="containsBlanks" dxfId="150" priority="166">
      <formula>LEN(TRIM(AM51))=0</formula>
    </cfRule>
  </conditionalFormatting>
  <conditionalFormatting sqref="AN66:AP68">
    <cfRule type="containsBlanks" dxfId="149" priority="163">
      <formula>LEN(TRIM(AN66))=0</formula>
    </cfRule>
  </conditionalFormatting>
  <conditionalFormatting sqref="AN66:AP68">
    <cfRule type="containsBlanks" dxfId="148" priority="164">
      <formula>LEN(TRIM(AN66))=0</formula>
    </cfRule>
  </conditionalFormatting>
  <conditionalFormatting sqref="AO69">
    <cfRule type="containsBlanks" dxfId="147" priority="161">
      <formula>LEN(TRIM(AO69))=0</formula>
    </cfRule>
  </conditionalFormatting>
  <conditionalFormatting sqref="AO69">
    <cfRule type="containsBlanks" dxfId="146" priority="162">
      <formula>LEN(TRIM(AO69))=0</formula>
    </cfRule>
  </conditionalFormatting>
  <conditionalFormatting sqref="AP69">
    <cfRule type="containsBlanks" dxfId="145" priority="159">
      <formula>LEN(TRIM(AP69))=0</formula>
    </cfRule>
  </conditionalFormatting>
  <conditionalFormatting sqref="AP69">
    <cfRule type="containsBlanks" dxfId="144" priority="160">
      <formula>LEN(TRIM(AP69))=0</formula>
    </cfRule>
  </conditionalFormatting>
  <conditionalFormatting sqref="Y59:Y61">
    <cfRule type="containsBlanks" dxfId="143" priority="157">
      <formula>LEN(TRIM(Y59))=0</formula>
    </cfRule>
  </conditionalFormatting>
  <conditionalFormatting sqref="Y59:Y61">
    <cfRule type="containsBlanks" dxfId="142" priority="158">
      <formula>LEN(TRIM(Y59))=0</formula>
    </cfRule>
  </conditionalFormatting>
  <conditionalFormatting sqref="Y59:Y61">
    <cfRule type="containsBlanks" dxfId="141" priority="156">
      <formula>LEN(TRIM(Y59))=0</formula>
    </cfRule>
  </conditionalFormatting>
  <conditionalFormatting sqref="AF51:AF65">
    <cfRule type="containsBlanks" dxfId="140" priority="155">
      <formula>LEN(TRIM(AF51))=0</formula>
    </cfRule>
  </conditionalFormatting>
  <conditionalFormatting sqref="AF51:AF65">
    <cfRule type="containsBlanks" dxfId="139" priority="154">
      <formula>LEN(TRIM(AF51))=0</formula>
    </cfRule>
  </conditionalFormatting>
  <conditionalFormatting sqref="AM53:AM57">
    <cfRule type="containsBlanks" dxfId="138" priority="152">
      <formula>LEN(TRIM(AM53))=0</formula>
    </cfRule>
  </conditionalFormatting>
  <conditionalFormatting sqref="AM53:AM57">
    <cfRule type="containsBlanks" dxfId="137" priority="153">
      <formula>LEN(TRIM(AM53))=0</formula>
    </cfRule>
  </conditionalFormatting>
  <conditionalFormatting sqref="AM53:AM57">
    <cfRule type="containsBlanks" dxfId="136" priority="151">
      <formula>LEN(TRIM(AM53))=0</formula>
    </cfRule>
  </conditionalFormatting>
  <conditionalFormatting sqref="M74:Q74 M80:AP80 M85:P86 M75:Z76 M82:AO82 M84:AN84 M71:P73 X72:AD74 M78:Z78 M77:Q77 X77:AD77 M79:Q79 X79:AA79 M81:U81 Y81:AB81 M83:P83 Y83:Z83 R83:V83 R85:W85 Z86:AD86 Y85:AB85 AB83 AB76:AF76 AC75:AE75 X71 AK72 AJ81:AK81 AJ85 AP86 AP83:AP84 AM78 AP75 Z71:AA71">
    <cfRule type="containsBlanks" dxfId="135" priority="145">
      <formula>LEN(TRIM(M71))=0</formula>
    </cfRule>
    <cfRule type="containsBlanks" dxfId="134" priority="146">
      <formula>LEN(TRIM(M71))=0</formula>
    </cfRule>
  </conditionalFormatting>
  <conditionalFormatting sqref="U75:U76">
    <cfRule type="containsBlanks" dxfId="133" priority="135">
      <formula>LEN(TRIM(U75))=0</formula>
    </cfRule>
    <cfRule type="containsBlanks" dxfId="132" priority="136">
      <formula>LEN(TRIM(U75))=0</formula>
    </cfRule>
  </conditionalFormatting>
  <conditionalFormatting sqref="V83">
    <cfRule type="containsBlanks" dxfId="131" priority="141">
      <formula>LEN(TRIM(V83))=0</formula>
    </cfRule>
    <cfRule type="containsBlanks" dxfId="130" priority="142">
      <formula>LEN(TRIM(V83))=0</formula>
    </cfRule>
  </conditionalFormatting>
  <conditionalFormatting sqref="AB72:AB74 AB76:AB77">
    <cfRule type="containsBlanks" dxfId="129" priority="137">
      <formula>LEN(TRIM(AB72))=0</formula>
    </cfRule>
    <cfRule type="containsBlanks" dxfId="128" priority="138">
      <formula>LEN(TRIM(AB72))=0</formula>
    </cfRule>
  </conditionalFormatting>
  <conditionalFormatting sqref="AF80:AJ80 AF76 AF82:AJ82 AJ81 AF84:AJ84 AJ85">
    <cfRule type="containsBlanks" dxfId="127" priority="149">
      <formula>LEN(TRIM(AF76))=0</formula>
    </cfRule>
    <cfRule type="containsBlanks" dxfId="126" priority="150">
      <formula>LEN(TRIM(AF76))=0</formula>
    </cfRule>
  </conditionalFormatting>
  <conditionalFormatting sqref="AK72 AK84 AK80:AK82">
    <cfRule type="containsBlanks" dxfId="125" priority="143">
      <formula>LEN(TRIM(AK72))=0</formula>
    </cfRule>
    <cfRule type="containsBlanks" dxfId="124" priority="144">
      <formula>LEN(TRIM(AK72))=0</formula>
    </cfRule>
  </conditionalFormatting>
  <conditionalFormatting sqref="AK72 AM80:AN80 AM84:AN84 AM82:AN82 AM78">
    <cfRule type="containsBlanks" dxfId="123" priority="139">
      <formula>LEN(TRIM(AK72))=0</formula>
    </cfRule>
    <cfRule type="containsBlanks" dxfId="122" priority="140">
      <formula>LEN(TRIM(AK72))=0</formula>
    </cfRule>
  </conditionalFormatting>
  <conditionalFormatting sqref="AL80:AP80 AM78 AL82:AO82 AL84:AN84 AP86 AP83:AP84 AP75">
    <cfRule type="containsBlanks" dxfId="121" priority="147">
      <formula>LEN(TRIM(AL75))=0</formula>
    </cfRule>
    <cfRule type="containsBlanks" dxfId="120" priority="148">
      <formula>LEN(TRIM(AL75))=0</formula>
    </cfRule>
  </conditionalFormatting>
  <conditionalFormatting sqref="Y64">
    <cfRule type="containsBlanks" dxfId="119" priority="133">
      <formula>LEN(TRIM(Y64))=0</formula>
    </cfRule>
  </conditionalFormatting>
  <conditionalFormatting sqref="Y64">
    <cfRule type="containsBlanks" dxfId="118" priority="131">
      <formula>LEN(TRIM(Y64))=0</formula>
    </cfRule>
    <cfRule type="containsBlanks" dxfId="117" priority="132">
      <formula>LEN(TRIM(Y64))=0</formula>
    </cfRule>
  </conditionalFormatting>
  <conditionalFormatting sqref="Y64">
    <cfRule type="containsBlanks" dxfId="116" priority="134">
      <formula>LEN(TRIM(Y64))=0</formula>
    </cfRule>
  </conditionalFormatting>
  <conditionalFormatting sqref="Y64">
    <cfRule type="containsBlanks" dxfId="115" priority="130">
      <formula>LEN(TRIM(Y64))=0</formula>
    </cfRule>
  </conditionalFormatting>
  <conditionalFormatting sqref="Y64">
    <cfRule type="containsBlanks" dxfId="114" priority="129">
      <formula>LEN(TRIM(Y64))=0</formula>
    </cfRule>
  </conditionalFormatting>
  <conditionalFormatting sqref="Y86">
    <cfRule type="containsBlanks" dxfId="113" priority="127">
      <formula>LEN(TRIM(Y86))=0</formula>
    </cfRule>
  </conditionalFormatting>
  <conditionalFormatting sqref="Y86">
    <cfRule type="containsBlanks" dxfId="112" priority="125">
      <formula>LEN(TRIM(Y86))=0</formula>
    </cfRule>
  </conditionalFormatting>
  <conditionalFormatting sqref="Y86">
    <cfRule type="containsBlanks" dxfId="111" priority="126">
      <formula>LEN(TRIM(Y86))=0</formula>
    </cfRule>
  </conditionalFormatting>
  <conditionalFormatting sqref="Y86">
    <cfRule type="containsBlanks" dxfId="110" priority="123">
      <formula>LEN(TRIM(Y86))=0</formula>
    </cfRule>
    <cfRule type="containsBlanks" dxfId="109" priority="124">
      <formula>LEN(TRIM(Y86))=0</formula>
    </cfRule>
  </conditionalFormatting>
  <conditionalFormatting sqref="Y86">
    <cfRule type="containsBlanks" dxfId="108" priority="128">
      <formula>LEN(TRIM(Y86))=0</formula>
    </cfRule>
  </conditionalFormatting>
  <conditionalFormatting sqref="Y86">
    <cfRule type="containsBlanks" dxfId="107" priority="122">
      <formula>LEN(TRIM(Y86))=0</formula>
    </cfRule>
  </conditionalFormatting>
  <conditionalFormatting sqref="Y86">
    <cfRule type="containsBlanks" dxfId="106" priority="121">
      <formula>LEN(TRIM(Y86))=0</formula>
    </cfRule>
  </conditionalFormatting>
  <conditionalFormatting sqref="R86">
    <cfRule type="containsBlanks" dxfId="105" priority="119">
      <formula>LEN(TRIM(R86))=0</formula>
    </cfRule>
  </conditionalFormatting>
  <conditionalFormatting sqref="R86">
    <cfRule type="containsBlanks" dxfId="104" priority="117">
      <formula>LEN(TRIM(R86))=0</formula>
    </cfRule>
  </conditionalFormatting>
  <conditionalFormatting sqref="R86">
    <cfRule type="containsBlanks" dxfId="103" priority="118">
      <formula>LEN(TRIM(R86))=0</formula>
    </cfRule>
  </conditionalFormatting>
  <conditionalFormatting sqref="R86">
    <cfRule type="containsBlanks" dxfId="102" priority="115">
      <formula>LEN(TRIM(R86))=0</formula>
    </cfRule>
    <cfRule type="containsBlanks" dxfId="101" priority="116">
      <formula>LEN(TRIM(R86))=0</formula>
    </cfRule>
  </conditionalFormatting>
  <conditionalFormatting sqref="R86">
    <cfRule type="containsBlanks" dxfId="100" priority="120">
      <formula>LEN(TRIM(R86))=0</formula>
    </cfRule>
  </conditionalFormatting>
  <conditionalFormatting sqref="R86">
    <cfRule type="containsBlanks" dxfId="99" priority="114">
      <formula>LEN(TRIM(R86))=0</formula>
    </cfRule>
  </conditionalFormatting>
  <conditionalFormatting sqref="R86">
    <cfRule type="containsBlanks" dxfId="98" priority="113">
      <formula>LEN(TRIM(R86))=0</formula>
    </cfRule>
  </conditionalFormatting>
  <conditionalFormatting sqref="AF85:AF86">
    <cfRule type="containsBlanks" dxfId="97" priority="111">
      <formula>LEN(TRIM(AF85))=0</formula>
    </cfRule>
  </conditionalFormatting>
  <conditionalFormatting sqref="AF85:AF86">
    <cfRule type="containsBlanks" dxfId="96" priority="109">
      <formula>LEN(TRIM(AF85))=0</formula>
    </cfRule>
  </conditionalFormatting>
  <conditionalFormatting sqref="AF85:AF86">
    <cfRule type="containsBlanks" dxfId="95" priority="110">
      <formula>LEN(TRIM(AF85))=0</formula>
    </cfRule>
  </conditionalFormatting>
  <conditionalFormatting sqref="AF85:AF86">
    <cfRule type="containsBlanks" dxfId="94" priority="107">
      <formula>LEN(TRIM(AF85))=0</formula>
    </cfRule>
    <cfRule type="containsBlanks" dxfId="93" priority="108">
      <formula>LEN(TRIM(AF85))=0</formula>
    </cfRule>
  </conditionalFormatting>
  <conditionalFormatting sqref="AF85:AF86">
    <cfRule type="containsBlanks" dxfId="92" priority="112">
      <formula>LEN(TRIM(AF85))=0</formula>
    </cfRule>
  </conditionalFormatting>
  <conditionalFormatting sqref="AF85:AF86">
    <cfRule type="containsBlanks" dxfId="91" priority="106">
      <formula>LEN(TRIM(AF85))=0</formula>
    </cfRule>
  </conditionalFormatting>
  <conditionalFormatting sqref="AF85:AF86">
    <cfRule type="containsBlanks" dxfId="90" priority="105">
      <formula>LEN(TRIM(AF85))=0</formula>
    </cfRule>
  </conditionalFormatting>
  <conditionalFormatting sqref="AM85:AM86">
    <cfRule type="containsBlanks" dxfId="89" priority="103">
      <formula>LEN(TRIM(AM85))=0</formula>
    </cfRule>
  </conditionalFormatting>
  <conditionalFormatting sqref="AM85:AM86">
    <cfRule type="containsBlanks" dxfId="88" priority="101">
      <formula>LEN(TRIM(AM85))=0</formula>
    </cfRule>
  </conditionalFormatting>
  <conditionalFormatting sqref="AM85:AM86">
    <cfRule type="containsBlanks" dxfId="87" priority="102">
      <formula>LEN(TRIM(AM85))=0</formula>
    </cfRule>
  </conditionalFormatting>
  <conditionalFormatting sqref="AM85:AM86">
    <cfRule type="containsBlanks" dxfId="86" priority="99">
      <formula>LEN(TRIM(AM85))=0</formula>
    </cfRule>
    <cfRule type="containsBlanks" dxfId="85" priority="100">
      <formula>LEN(TRIM(AM85))=0</formula>
    </cfRule>
  </conditionalFormatting>
  <conditionalFormatting sqref="AM85:AM86">
    <cfRule type="containsBlanks" dxfId="84" priority="104">
      <formula>LEN(TRIM(AM85))=0</formula>
    </cfRule>
  </conditionalFormatting>
  <conditionalFormatting sqref="AM85:AM86">
    <cfRule type="containsBlanks" dxfId="83" priority="98">
      <formula>LEN(TRIM(AM85))=0</formula>
    </cfRule>
  </conditionalFormatting>
  <conditionalFormatting sqref="AM85:AM86">
    <cfRule type="containsBlanks" dxfId="82" priority="97">
      <formula>LEN(TRIM(AM85))=0</formula>
    </cfRule>
  </conditionalFormatting>
  <conditionalFormatting sqref="AM83">
    <cfRule type="containsBlanks" dxfId="81" priority="95">
      <formula>LEN(TRIM(AM83))=0</formula>
    </cfRule>
  </conditionalFormatting>
  <conditionalFormatting sqref="AM83">
    <cfRule type="containsBlanks" dxfId="80" priority="93">
      <formula>LEN(TRIM(AM83))=0</formula>
    </cfRule>
  </conditionalFormatting>
  <conditionalFormatting sqref="AM83">
    <cfRule type="containsBlanks" dxfId="79" priority="94">
      <formula>LEN(TRIM(AM83))=0</formula>
    </cfRule>
  </conditionalFormatting>
  <conditionalFormatting sqref="AM83">
    <cfRule type="containsBlanks" dxfId="78" priority="91">
      <formula>LEN(TRIM(AM83))=0</formula>
    </cfRule>
    <cfRule type="containsBlanks" dxfId="77" priority="92">
      <formula>LEN(TRIM(AM83))=0</formula>
    </cfRule>
  </conditionalFormatting>
  <conditionalFormatting sqref="AM83">
    <cfRule type="containsBlanks" dxfId="76" priority="96">
      <formula>LEN(TRIM(AM83))=0</formula>
    </cfRule>
  </conditionalFormatting>
  <conditionalFormatting sqref="AM83">
    <cfRule type="containsBlanks" dxfId="75" priority="90">
      <formula>LEN(TRIM(AM83))=0</formula>
    </cfRule>
  </conditionalFormatting>
  <conditionalFormatting sqref="AM83">
    <cfRule type="containsBlanks" dxfId="74" priority="89">
      <formula>LEN(TRIM(AM83))=0</formula>
    </cfRule>
  </conditionalFormatting>
  <conditionalFormatting sqref="AM81">
    <cfRule type="containsBlanks" dxfId="73" priority="87">
      <formula>LEN(TRIM(AM81))=0</formula>
    </cfRule>
  </conditionalFormatting>
  <conditionalFormatting sqref="AM81">
    <cfRule type="containsBlanks" dxfId="72" priority="85">
      <formula>LEN(TRIM(AM81))=0</formula>
    </cfRule>
  </conditionalFormatting>
  <conditionalFormatting sqref="AM81">
    <cfRule type="containsBlanks" dxfId="71" priority="86">
      <formula>LEN(TRIM(AM81))=0</formula>
    </cfRule>
  </conditionalFormatting>
  <conditionalFormatting sqref="AM81">
    <cfRule type="containsBlanks" dxfId="70" priority="83">
      <formula>LEN(TRIM(AM81))=0</formula>
    </cfRule>
    <cfRule type="containsBlanks" dxfId="69" priority="84">
      <formula>LEN(TRIM(AM81))=0</formula>
    </cfRule>
  </conditionalFormatting>
  <conditionalFormatting sqref="AM81">
    <cfRule type="containsBlanks" dxfId="68" priority="88">
      <formula>LEN(TRIM(AM81))=0</formula>
    </cfRule>
  </conditionalFormatting>
  <conditionalFormatting sqref="AM81">
    <cfRule type="containsBlanks" dxfId="67" priority="82">
      <formula>LEN(TRIM(AM81))=0</formula>
    </cfRule>
  </conditionalFormatting>
  <conditionalFormatting sqref="AM81">
    <cfRule type="containsBlanks" dxfId="66" priority="81">
      <formula>LEN(TRIM(AM81))=0</formula>
    </cfRule>
  </conditionalFormatting>
  <conditionalFormatting sqref="AM79">
    <cfRule type="containsBlanks" dxfId="65" priority="79">
      <formula>LEN(TRIM(AM79))=0</formula>
    </cfRule>
  </conditionalFormatting>
  <conditionalFormatting sqref="AM79">
    <cfRule type="containsBlanks" dxfId="64" priority="77">
      <formula>LEN(TRIM(AM79))=0</formula>
    </cfRule>
  </conditionalFormatting>
  <conditionalFormatting sqref="AM79">
    <cfRule type="containsBlanks" dxfId="63" priority="78">
      <formula>LEN(TRIM(AM79))=0</formula>
    </cfRule>
  </conditionalFormatting>
  <conditionalFormatting sqref="AM79">
    <cfRule type="containsBlanks" dxfId="62" priority="75">
      <formula>LEN(TRIM(AM79))=0</formula>
    </cfRule>
    <cfRule type="containsBlanks" dxfId="61" priority="76">
      <formula>LEN(TRIM(AM79))=0</formula>
    </cfRule>
  </conditionalFormatting>
  <conditionalFormatting sqref="AM79">
    <cfRule type="containsBlanks" dxfId="60" priority="80">
      <formula>LEN(TRIM(AM79))=0</formula>
    </cfRule>
  </conditionalFormatting>
  <conditionalFormatting sqref="AM79">
    <cfRule type="containsBlanks" dxfId="59" priority="74">
      <formula>LEN(TRIM(AM79))=0</formula>
    </cfRule>
  </conditionalFormatting>
  <conditionalFormatting sqref="AM79">
    <cfRule type="containsBlanks" dxfId="58" priority="73">
      <formula>LEN(TRIM(AM79))=0</formula>
    </cfRule>
  </conditionalFormatting>
  <conditionalFormatting sqref="AM71:AM77">
    <cfRule type="containsBlanks" dxfId="57" priority="71">
      <formula>LEN(TRIM(AM71))=0</formula>
    </cfRule>
  </conditionalFormatting>
  <conditionalFormatting sqref="AM71:AM77">
    <cfRule type="containsBlanks" dxfId="56" priority="69">
      <formula>LEN(TRIM(AM71))=0</formula>
    </cfRule>
  </conditionalFormatting>
  <conditionalFormatting sqref="AM71:AM77">
    <cfRule type="containsBlanks" dxfId="55" priority="70">
      <formula>LEN(TRIM(AM71))=0</formula>
    </cfRule>
  </conditionalFormatting>
  <conditionalFormatting sqref="AM71:AM77">
    <cfRule type="containsBlanks" dxfId="54" priority="67">
      <formula>LEN(TRIM(AM71))=0</formula>
    </cfRule>
    <cfRule type="containsBlanks" dxfId="53" priority="68">
      <formula>LEN(TRIM(AM71))=0</formula>
    </cfRule>
  </conditionalFormatting>
  <conditionalFormatting sqref="AM71:AM77">
    <cfRule type="containsBlanks" dxfId="52" priority="72">
      <formula>LEN(TRIM(AM71))=0</formula>
    </cfRule>
  </conditionalFormatting>
  <conditionalFormatting sqref="AM71:AM77">
    <cfRule type="containsBlanks" dxfId="51" priority="66">
      <formula>LEN(TRIM(AM71))=0</formula>
    </cfRule>
  </conditionalFormatting>
  <conditionalFormatting sqref="AM71:AM77">
    <cfRule type="containsBlanks" dxfId="50" priority="65">
      <formula>LEN(TRIM(AM71))=0</formula>
    </cfRule>
  </conditionalFormatting>
  <conditionalFormatting sqref="AF71:AF75">
    <cfRule type="containsBlanks" dxfId="49" priority="63">
      <formula>LEN(TRIM(AF71))=0</formula>
    </cfRule>
  </conditionalFormatting>
  <conditionalFormatting sqref="AF71:AF75">
    <cfRule type="containsBlanks" dxfId="48" priority="61">
      <formula>LEN(TRIM(AF71))=0</formula>
    </cfRule>
  </conditionalFormatting>
  <conditionalFormatting sqref="AF71:AF75">
    <cfRule type="containsBlanks" dxfId="47" priority="62">
      <formula>LEN(TRIM(AF71))=0</formula>
    </cfRule>
  </conditionalFormatting>
  <conditionalFormatting sqref="AF71:AF75">
    <cfRule type="containsBlanks" dxfId="46" priority="64">
      <formula>LEN(TRIM(AF71))=0</formula>
    </cfRule>
  </conditionalFormatting>
  <conditionalFormatting sqref="AF71:AF75">
    <cfRule type="containsBlanks" dxfId="45" priority="58">
      <formula>LEN(TRIM(AF71))=0</formula>
    </cfRule>
  </conditionalFormatting>
  <conditionalFormatting sqref="AF71:AF75">
    <cfRule type="containsBlanks" dxfId="44" priority="57">
      <formula>LEN(TRIM(AF71))=0</formula>
    </cfRule>
  </conditionalFormatting>
  <conditionalFormatting sqref="AF77:AF79">
    <cfRule type="containsBlanks" dxfId="43" priority="51">
      <formula>LEN(TRIM(AF77))=0</formula>
    </cfRule>
    <cfRule type="containsBlanks" dxfId="42" priority="52">
      <formula>LEN(TRIM(AF77))=0</formula>
    </cfRule>
  </conditionalFormatting>
  <conditionalFormatting sqref="AF77:AF79">
    <cfRule type="containsBlanks" dxfId="41" priority="50">
      <formula>LEN(TRIM(AF77))=0</formula>
    </cfRule>
  </conditionalFormatting>
  <conditionalFormatting sqref="AF77:AF79">
    <cfRule type="containsBlanks" dxfId="40" priority="49">
      <formula>LEN(TRIM(AF77))=0</formula>
    </cfRule>
  </conditionalFormatting>
  <conditionalFormatting sqref="AF81">
    <cfRule type="containsBlanks" dxfId="39" priority="47">
      <formula>LEN(TRIM(AF81))=0</formula>
    </cfRule>
  </conditionalFormatting>
  <conditionalFormatting sqref="AF81">
    <cfRule type="containsBlanks" dxfId="38" priority="46">
      <formula>LEN(TRIM(AF81))=0</formula>
    </cfRule>
  </conditionalFormatting>
  <conditionalFormatting sqref="AF81">
    <cfRule type="containsBlanks" dxfId="37" priority="48">
      <formula>LEN(TRIM(AF81))=0</formula>
    </cfRule>
  </conditionalFormatting>
  <conditionalFormatting sqref="AF81">
    <cfRule type="containsBlanks" dxfId="36" priority="42">
      <formula>LEN(TRIM(AF81))=0</formula>
    </cfRule>
  </conditionalFormatting>
  <conditionalFormatting sqref="AF81">
    <cfRule type="containsBlanks" dxfId="35" priority="41">
      <formula>LEN(TRIM(AF81))=0</formula>
    </cfRule>
  </conditionalFormatting>
  <conditionalFormatting sqref="AF83">
    <cfRule type="containsBlanks" dxfId="34" priority="39">
      <formula>LEN(TRIM(AF83))=0</formula>
    </cfRule>
  </conditionalFormatting>
  <conditionalFormatting sqref="AF83">
    <cfRule type="containsBlanks" dxfId="33" priority="37">
      <formula>LEN(TRIM(AF83))=0</formula>
    </cfRule>
  </conditionalFormatting>
  <conditionalFormatting sqref="AF83">
    <cfRule type="containsBlanks" dxfId="32" priority="38">
      <formula>LEN(TRIM(AF83))=0</formula>
    </cfRule>
  </conditionalFormatting>
  <conditionalFormatting sqref="AF83">
    <cfRule type="containsBlanks" dxfId="31" priority="40">
      <formula>LEN(TRIM(AF83))=0</formula>
    </cfRule>
  </conditionalFormatting>
  <conditionalFormatting sqref="AF83">
    <cfRule type="containsBlanks" dxfId="30" priority="34">
      <formula>LEN(TRIM(AF83))=0</formula>
    </cfRule>
  </conditionalFormatting>
  <conditionalFormatting sqref="AF83">
    <cfRule type="containsBlanks" dxfId="29" priority="33">
      <formula>LEN(TRIM(AF83))=0</formula>
    </cfRule>
  </conditionalFormatting>
  <conditionalFormatting sqref="Y71">
    <cfRule type="containsBlanks" dxfId="28" priority="27">
      <formula>LEN(TRIM(Y71))=0</formula>
    </cfRule>
    <cfRule type="containsBlanks" dxfId="27" priority="28">
      <formula>LEN(TRIM(Y71))=0</formula>
    </cfRule>
  </conditionalFormatting>
  <conditionalFormatting sqref="R71:R74">
    <cfRule type="containsBlanks" dxfId="26" priority="23">
      <formula>LEN(TRIM(R71))=0</formula>
    </cfRule>
  </conditionalFormatting>
  <conditionalFormatting sqref="R71:R74">
    <cfRule type="containsBlanks" dxfId="25" priority="21">
      <formula>LEN(TRIM(R71))=0</formula>
    </cfRule>
  </conditionalFormatting>
  <conditionalFormatting sqref="R71:R74">
    <cfRule type="containsBlanks" dxfId="24" priority="22">
      <formula>LEN(TRIM(R71))=0</formula>
    </cfRule>
  </conditionalFormatting>
  <conditionalFormatting sqref="R71:R74">
    <cfRule type="containsBlanks" dxfId="23" priority="19">
      <formula>LEN(TRIM(R71))=0</formula>
    </cfRule>
    <cfRule type="containsBlanks" dxfId="22" priority="20">
      <formula>LEN(TRIM(R71))=0</formula>
    </cfRule>
  </conditionalFormatting>
  <conditionalFormatting sqref="R71:R74">
    <cfRule type="containsBlanks" dxfId="21" priority="24">
      <formula>LEN(TRIM(R71))=0</formula>
    </cfRule>
  </conditionalFormatting>
  <conditionalFormatting sqref="R77">
    <cfRule type="containsBlanks" dxfId="20" priority="15">
      <formula>LEN(TRIM(R77))=0</formula>
    </cfRule>
  </conditionalFormatting>
  <conditionalFormatting sqref="R77">
    <cfRule type="containsBlanks" dxfId="19" priority="13">
      <formula>LEN(TRIM(R77))=0</formula>
    </cfRule>
  </conditionalFormatting>
  <conditionalFormatting sqref="R77">
    <cfRule type="containsBlanks" dxfId="18" priority="14">
      <formula>LEN(TRIM(R77))=0</formula>
    </cfRule>
  </conditionalFormatting>
  <conditionalFormatting sqref="R77">
    <cfRule type="containsBlanks" dxfId="17" priority="11">
      <formula>LEN(TRIM(R77))=0</formula>
    </cfRule>
    <cfRule type="containsBlanks" dxfId="16" priority="12">
      <formula>LEN(TRIM(R77))=0</formula>
    </cfRule>
  </conditionalFormatting>
  <conditionalFormatting sqref="R77">
    <cfRule type="containsBlanks" dxfId="15" priority="16">
      <formula>LEN(TRIM(R77))=0</formula>
    </cfRule>
  </conditionalFormatting>
  <conditionalFormatting sqref="R77">
    <cfRule type="containsBlanks" dxfId="14" priority="10">
      <formula>LEN(TRIM(R77))=0</formula>
    </cfRule>
  </conditionalFormatting>
  <conditionalFormatting sqref="R77">
    <cfRule type="containsBlanks" dxfId="13" priority="9">
      <formula>LEN(TRIM(R77))=0</formula>
    </cfRule>
  </conditionalFormatting>
  <conditionalFormatting sqref="R79">
    <cfRule type="containsBlanks" dxfId="12" priority="7">
      <formula>LEN(TRIM(R79))=0</formula>
    </cfRule>
  </conditionalFormatting>
  <conditionalFormatting sqref="R79">
    <cfRule type="containsBlanks" dxfId="11" priority="5">
      <formula>LEN(TRIM(R79))=0</formula>
    </cfRule>
  </conditionalFormatting>
  <conditionalFormatting sqref="R79">
    <cfRule type="containsBlanks" dxfId="10" priority="6">
      <formula>LEN(TRIM(R79))=0</formula>
    </cfRule>
  </conditionalFormatting>
  <conditionalFormatting sqref="R79">
    <cfRule type="containsBlanks" dxfId="9" priority="3">
      <formula>LEN(TRIM(R79))=0</formula>
    </cfRule>
    <cfRule type="containsBlanks" dxfId="8" priority="4">
      <formula>LEN(TRIM(R79))=0</formula>
    </cfRule>
  </conditionalFormatting>
  <conditionalFormatting sqref="R79">
    <cfRule type="containsBlanks" dxfId="7" priority="8">
      <formula>LEN(TRIM(R79))=0</formula>
    </cfRule>
  </conditionalFormatting>
  <conditionalFormatting sqref="R79">
    <cfRule type="containsBlanks" dxfId="6" priority="2">
      <formula>LEN(TRIM(R79))=0</formula>
    </cfRule>
  </conditionalFormatting>
  <conditionalFormatting sqref="R79">
    <cfRule type="containsBlanks" dxfId="5" priority="1">
      <formula>LEN(TRIM(R79))=0</formula>
    </cfRule>
  </conditionalFormatting>
  <pageMargins left="0.19685039370078741" right="0.19685039370078741" top="0.23622047244094491" bottom="0.23622047244094491" header="0.19685039370078741" footer="0.19685039370078741"/>
  <pageSetup paperSize="9" scale="68" orientation="landscape" r:id="rId1"/>
  <rowBreaks count="2" manualBreakCount="2">
    <brk id="34" max="50" man="1"/>
    <brk id="60" max="50" man="1"/>
  </rowBreaks>
  <colBreaks count="1" manualBreakCount="1">
    <brk id="4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137"/>
  <sheetViews>
    <sheetView topLeftCell="A42" workbookViewId="0">
      <selection activeCell="F117" sqref="E117:F117"/>
    </sheetView>
  </sheetViews>
  <sheetFormatPr defaultColWidth="8" defaultRowHeight="16.5"/>
  <cols>
    <col min="1" max="1" width="5.875" style="2168" customWidth="1"/>
    <col min="2" max="2" width="5.25" style="2171" customWidth="1"/>
    <col min="3" max="3" width="8" style="2172" hidden="1" customWidth="1"/>
    <col min="4" max="4" width="18.75" style="2170" customWidth="1"/>
    <col min="5" max="5" width="15.125" style="2170" customWidth="1"/>
    <col min="6" max="6" width="16.75" style="2173" customWidth="1"/>
    <col min="7" max="7" width="16.75" style="2170" customWidth="1"/>
    <col min="8" max="8" width="15" style="2170" customWidth="1"/>
    <col min="9" max="9" width="9.375" style="2170" hidden="1" customWidth="1"/>
    <col min="10" max="10" width="12.875" style="2170" hidden="1" customWidth="1"/>
    <col min="11" max="11" width="19" style="2170" customWidth="1"/>
    <col min="12" max="12" width="12.625" style="2170" hidden="1" customWidth="1"/>
    <col min="13" max="13" width="8" style="2170" hidden="1" customWidth="1"/>
    <col min="14" max="14" width="12.75" style="2174" customWidth="1"/>
    <col min="15" max="16" width="0" style="2170" hidden="1" customWidth="1"/>
    <col min="17" max="17" width="12.125" style="2170" hidden="1" customWidth="1"/>
    <col min="18" max="18" width="0" style="2170" hidden="1" customWidth="1"/>
    <col min="19" max="16384" width="8" style="2170"/>
  </cols>
  <sheetData>
    <row r="1" spans="1:18" ht="22.5">
      <c r="B1" s="4042" t="s">
        <v>165</v>
      </c>
      <c r="C1" s="4042"/>
      <c r="D1" s="4042"/>
      <c r="E1" s="4042"/>
      <c r="F1" s="4042"/>
      <c r="G1" s="4042"/>
      <c r="H1" s="4042"/>
      <c r="I1" s="4042"/>
      <c r="J1" s="4042"/>
      <c r="K1" s="4042"/>
      <c r="L1" s="4042"/>
      <c r="M1" s="4042"/>
      <c r="N1" s="4042"/>
      <c r="O1" s="2169"/>
      <c r="P1" s="2169"/>
      <c r="Q1" s="2169"/>
      <c r="R1" s="2169"/>
    </row>
    <row r="2" spans="1:18" ht="22.5">
      <c r="B2" s="4042" t="s">
        <v>55</v>
      </c>
      <c r="C2" s="4042"/>
      <c r="D2" s="4042"/>
      <c r="E2" s="4042"/>
      <c r="F2" s="4042"/>
      <c r="G2" s="4042"/>
      <c r="H2" s="4042"/>
      <c r="I2" s="4042"/>
      <c r="J2" s="4042"/>
      <c r="K2" s="4042"/>
      <c r="L2" s="4042"/>
      <c r="M2" s="4042"/>
      <c r="N2" s="4042"/>
      <c r="O2" s="2169"/>
      <c r="P2" s="2169"/>
      <c r="Q2" s="2169"/>
      <c r="R2" s="2169"/>
    </row>
    <row r="3" spans="1:18" ht="15" customHeight="1">
      <c r="B3" s="4043" t="s">
        <v>992</v>
      </c>
      <c r="C3" s="4043"/>
      <c r="D3" s="4043"/>
      <c r="E3" s="4043"/>
      <c r="F3" s="4043"/>
      <c r="G3" s="4043"/>
      <c r="H3" s="4043"/>
      <c r="I3" s="4043"/>
      <c r="J3" s="4043"/>
      <c r="K3" s="4043"/>
      <c r="L3" s="4043"/>
      <c r="M3" s="4043"/>
      <c r="N3" s="4043"/>
      <c r="O3" s="2169"/>
      <c r="P3" s="2169"/>
      <c r="Q3" s="2169"/>
      <c r="R3" s="2169"/>
    </row>
    <row r="4" spans="1:18" s="2176" customFormat="1">
      <c r="A4" s="2277" t="s">
        <v>574</v>
      </c>
      <c r="B4" s="2277"/>
      <c r="C4" s="2277"/>
      <c r="D4" s="2277"/>
      <c r="E4" s="2277"/>
      <c r="F4" s="2277"/>
      <c r="G4" s="2277"/>
      <c r="H4" s="2227"/>
      <c r="I4" s="2227"/>
      <c r="J4" s="2227"/>
      <c r="K4" s="2227"/>
      <c r="L4" s="2175"/>
      <c r="M4" s="2175"/>
      <c r="N4" s="2175"/>
    </row>
    <row r="5" spans="1:18" s="2176" customFormat="1">
      <c r="A5" s="4056" t="s">
        <v>1192</v>
      </c>
      <c r="B5" s="4056"/>
      <c r="C5" s="4056"/>
      <c r="D5" s="4056"/>
      <c r="E5" s="3923"/>
      <c r="F5" s="3923"/>
      <c r="G5" s="3923"/>
      <c r="H5" s="2210"/>
      <c r="I5" s="2210"/>
      <c r="J5" s="2210"/>
      <c r="K5" s="2210"/>
      <c r="L5" s="2175"/>
      <c r="M5" s="2175"/>
      <c r="N5" s="2175"/>
    </row>
    <row r="6" spans="1:18" s="2176" customFormat="1">
      <c r="A6" s="2168"/>
      <c r="F6" s="2177"/>
      <c r="N6" s="2174"/>
    </row>
    <row r="7" spans="1:18" s="2176" customFormat="1" ht="18" customHeight="1">
      <c r="A7" s="2168"/>
      <c r="B7" s="4059" t="s">
        <v>1809</v>
      </c>
      <c r="C7" s="4059"/>
      <c r="D7" s="4059"/>
      <c r="E7" s="4059"/>
      <c r="F7" s="4059"/>
      <c r="G7" s="4059"/>
      <c r="H7" s="4059"/>
      <c r="I7" s="4059"/>
      <c r="J7" s="4059"/>
      <c r="K7" s="4059"/>
      <c r="L7" s="4059"/>
      <c r="M7" s="4059"/>
      <c r="N7" s="4059"/>
    </row>
    <row r="8" spans="1:18">
      <c r="B8" s="2178"/>
      <c r="C8" s="2179"/>
      <c r="D8" s="2174"/>
      <c r="E8" s="2174"/>
      <c r="F8" s="2180"/>
      <c r="G8" s="2174"/>
      <c r="H8" s="2174"/>
      <c r="I8" s="2174"/>
      <c r="J8" s="2174"/>
      <c r="K8" s="2174"/>
      <c r="L8" s="2174"/>
      <c r="M8" s="4044"/>
      <c r="N8" s="4044"/>
    </row>
    <row r="9" spans="1:18" ht="20.25" customHeight="1">
      <c r="A9" s="4045" t="s">
        <v>1</v>
      </c>
      <c r="B9" s="4046"/>
      <c r="C9" s="4049" t="s">
        <v>1184</v>
      </c>
      <c r="D9" s="4046" t="s">
        <v>20</v>
      </c>
      <c r="E9" s="4050" t="s">
        <v>5</v>
      </c>
      <c r="F9" s="4053" t="s">
        <v>1185</v>
      </c>
      <c r="G9" s="4054"/>
      <c r="H9" s="4054"/>
      <c r="I9" s="4055"/>
      <c r="J9" s="4051" t="s">
        <v>1890</v>
      </c>
      <c r="K9" s="4051" t="s">
        <v>1186</v>
      </c>
      <c r="L9" s="4049" t="s">
        <v>11</v>
      </c>
      <c r="M9" s="4049" t="s">
        <v>12</v>
      </c>
      <c r="N9" s="4049" t="s">
        <v>634</v>
      </c>
    </row>
    <row r="10" spans="1:18" ht="34.5" customHeight="1">
      <c r="A10" s="4047"/>
      <c r="B10" s="4048"/>
      <c r="C10" s="4049"/>
      <c r="D10" s="4048"/>
      <c r="E10" s="4050"/>
      <c r="F10" s="2181" t="s">
        <v>30</v>
      </c>
      <c r="G10" s="2182" t="s">
        <v>31</v>
      </c>
      <c r="H10" s="2182" t="s">
        <v>57</v>
      </c>
      <c r="I10" s="2936" t="s">
        <v>1352</v>
      </c>
      <c r="J10" s="4052"/>
      <c r="K10" s="4052"/>
      <c r="L10" s="4049"/>
      <c r="M10" s="4050"/>
      <c r="N10" s="4050"/>
    </row>
    <row r="11" spans="1:18" ht="19.5" customHeight="1">
      <c r="A11" s="4053" t="s">
        <v>321</v>
      </c>
      <c r="B11" s="4054"/>
      <c r="C11" s="4054"/>
      <c r="D11" s="4055"/>
      <c r="E11" s="2183"/>
      <c r="F11" s="2184">
        <f t="shared" ref="F11:M11" si="0">SUM(F12:F49)</f>
        <v>0</v>
      </c>
      <c r="G11" s="2184">
        <f t="shared" si="0"/>
        <v>12771771</v>
      </c>
      <c r="H11" s="2184">
        <f t="shared" si="0"/>
        <v>53222332</v>
      </c>
      <c r="I11" s="2184">
        <f t="shared" si="0"/>
        <v>0</v>
      </c>
      <c r="J11" s="2184">
        <f t="shared" si="0"/>
        <v>0</v>
      </c>
      <c r="K11" s="2184">
        <f t="shared" si="0"/>
        <v>65994103</v>
      </c>
      <c r="L11" s="2184">
        <f t="shared" si="0"/>
        <v>0</v>
      </c>
      <c r="M11" s="2184">
        <f t="shared" si="0"/>
        <v>0</v>
      </c>
      <c r="N11" s="2185"/>
    </row>
    <row r="12" spans="1:18" s="2192" customFormat="1" ht="16.5" customHeight="1">
      <c r="A12" s="2186">
        <v>1</v>
      </c>
      <c r="B12" s="2186">
        <v>1</v>
      </c>
      <c r="C12" s="2187"/>
      <c r="D12" s="2188" t="str">
        <f>'Chấm công công nhân'!L13</f>
        <v>Vắt Đi</v>
      </c>
      <c r="E12" s="2188" t="s">
        <v>40</v>
      </c>
      <c r="F12" s="2189">
        <f>'BẢNG LƯƠNG KT'!H17</f>
        <v>0</v>
      </c>
      <c r="G12" s="2189">
        <f>'BẢNG LƯƠNG KT'!L17</f>
        <v>0</v>
      </c>
      <c r="H12" s="2189">
        <f>'BẢNG LƯƠNG KT'!S17</f>
        <v>1263849</v>
      </c>
      <c r="I12" s="2189"/>
      <c r="J12" s="2189"/>
      <c r="K12" s="2189">
        <f>SUM(F12:J12)</f>
        <v>1263849</v>
      </c>
      <c r="L12" s="2189"/>
      <c r="M12" s="2189"/>
      <c r="N12" s="2190"/>
      <c r="O12" s="2191"/>
    </row>
    <row r="13" spans="1:18" s="2192" customFormat="1" ht="16.5" customHeight="1">
      <c r="A13" s="2186">
        <v>2</v>
      </c>
      <c r="B13" s="2186">
        <v>2</v>
      </c>
      <c r="C13" s="2187"/>
      <c r="D13" s="2188" t="str">
        <f>'Chấm công công nhân'!L14</f>
        <v>Mẹ Leo</v>
      </c>
      <c r="E13" s="2188" t="s">
        <v>40</v>
      </c>
      <c r="F13" s="2189">
        <f>'BẢNG LƯƠNG KT'!H18</f>
        <v>0</v>
      </c>
      <c r="G13" s="2189">
        <f>'BẢNG LƯƠNG KT'!L18</f>
        <v>703160</v>
      </c>
      <c r="H13" s="2189">
        <f>'BẢNG LƯƠNG KT'!S18</f>
        <v>1736139</v>
      </c>
      <c r="I13" s="2189"/>
      <c r="J13" s="2189"/>
      <c r="K13" s="2189">
        <f t="shared" ref="K13:K49" si="1">SUM(F13:H13)</f>
        <v>2439299</v>
      </c>
      <c r="L13" s="2189"/>
      <c r="M13" s="2189"/>
      <c r="N13" s="2190"/>
      <c r="O13" s="2191"/>
    </row>
    <row r="14" spans="1:18" s="2192" customFormat="1" ht="16.5" customHeight="1">
      <c r="A14" s="2186">
        <v>3</v>
      </c>
      <c r="B14" s="2186">
        <v>3</v>
      </c>
      <c r="C14" s="2187">
        <f>[9]CNKT!B18</f>
        <v>0</v>
      </c>
      <c r="D14" s="2188" t="str">
        <f>'Chấm công công nhân'!L15</f>
        <v xml:space="preserve">Thảo Ken </v>
      </c>
      <c r="E14" s="2188" t="s">
        <v>40</v>
      </c>
      <c r="F14" s="2189">
        <f>'BẢNG LƯƠNG KT'!H19</f>
        <v>0</v>
      </c>
      <c r="G14" s="2189">
        <f>'BẢNG LƯƠNG KT'!L19</f>
        <v>0</v>
      </c>
      <c r="H14" s="2189">
        <f>'BẢNG LƯƠNG KT'!S19</f>
        <v>1314082</v>
      </c>
      <c r="I14" s="2189"/>
      <c r="J14" s="2189"/>
      <c r="K14" s="2189">
        <f t="shared" si="1"/>
        <v>1314082</v>
      </c>
      <c r="L14" s="2189"/>
      <c r="M14" s="2189"/>
      <c r="N14" s="2190"/>
      <c r="O14" s="2191"/>
    </row>
    <row r="15" spans="1:18" s="2192" customFormat="1" ht="16.5" customHeight="1">
      <c r="A15" s="2186">
        <v>4</v>
      </c>
      <c r="B15" s="2186">
        <v>4</v>
      </c>
      <c r="C15" s="2187">
        <f>[9]CNKT!B19</f>
        <v>0</v>
      </c>
      <c r="D15" s="2188" t="str">
        <f>'Chấm công công nhân'!L16</f>
        <v>Thảo Phút</v>
      </c>
      <c r="E15" s="2188" t="s">
        <v>40</v>
      </c>
      <c r="F15" s="2189">
        <f>'BẢNG LƯƠNG KT'!H20</f>
        <v>0</v>
      </c>
      <c r="G15" s="2189">
        <f>'BẢNG LƯƠNG KT'!L20</f>
        <v>679684</v>
      </c>
      <c r="H15" s="2189">
        <f>'BẢNG LƯƠNG KT'!S20</f>
        <v>1836604</v>
      </c>
      <c r="I15" s="2189"/>
      <c r="J15" s="2189"/>
      <c r="K15" s="2189">
        <f t="shared" si="1"/>
        <v>2516288</v>
      </c>
      <c r="L15" s="2189"/>
      <c r="M15" s="2189"/>
      <c r="N15" s="2190"/>
      <c r="O15" s="2191"/>
    </row>
    <row r="16" spans="1:18" s="2192" customFormat="1" ht="16.5" customHeight="1">
      <c r="A16" s="2186">
        <v>5</v>
      </c>
      <c r="B16" s="2186">
        <v>5</v>
      </c>
      <c r="C16" s="2187">
        <f>[9]CNKT!B20</f>
        <v>0</v>
      </c>
      <c r="D16" s="2188" t="str">
        <f>'Chấm công công nhân'!L17</f>
        <v>Thảo Mằn</v>
      </c>
      <c r="E16" s="2188" t="s">
        <v>40</v>
      </c>
      <c r="F16" s="2189">
        <f>'BẢNG LƯƠNG KT'!H21</f>
        <v>0</v>
      </c>
      <c r="G16" s="2189">
        <f>'BẢNG LƯƠNG KT'!L21</f>
        <v>81290</v>
      </c>
      <c r="H16" s="2189">
        <f>'BẢNG LƯƠNG KT'!S21</f>
        <v>1314082</v>
      </c>
      <c r="I16" s="2189"/>
      <c r="J16" s="2189"/>
      <c r="K16" s="2189">
        <f t="shared" si="1"/>
        <v>1395372</v>
      </c>
      <c r="L16" s="2189"/>
      <c r="M16" s="2189"/>
      <c r="N16" s="2190"/>
      <c r="O16" s="2191"/>
    </row>
    <row r="17" spans="1:15" s="2192" customFormat="1" ht="16.5" customHeight="1">
      <c r="A17" s="2186">
        <v>6</v>
      </c>
      <c r="B17" s="2186">
        <v>6</v>
      </c>
      <c r="C17" s="2187">
        <f>[9]CNKT!B21</f>
        <v>0</v>
      </c>
      <c r="D17" s="2188" t="str">
        <f>'Chấm công công nhân'!L18</f>
        <v>Nàng Chay</v>
      </c>
      <c r="E17" s="2188" t="s">
        <v>40</v>
      </c>
      <c r="F17" s="2189">
        <f>'BẢNG LƯƠNG KT'!H22</f>
        <v>0</v>
      </c>
      <c r="G17" s="2189">
        <f>'BẢNG LƯƠNG KT'!L22</f>
        <v>0</v>
      </c>
      <c r="H17" s="2189">
        <f>'BẢNG LƯƠNG KT'!S22</f>
        <v>1364314</v>
      </c>
      <c r="I17" s="2189"/>
      <c r="J17" s="2189"/>
      <c r="K17" s="2189">
        <f t="shared" si="1"/>
        <v>1364314</v>
      </c>
      <c r="L17" s="2189"/>
      <c r="M17" s="2189"/>
      <c r="N17" s="2190"/>
      <c r="O17" s="2191"/>
    </row>
    <row r="18" spans="1:15" s="2192" customFormat="1" ht="16.5" customHeight="1">
      <c r="A18" s="2186">
        <v>7</v>
      </c>
      <c r="B18" s="2186">
        <v>7</v>
      </c>
      <c r="C18" s="2187">
        <f>[9]CNKT!B22</f>
        <v>0</v>
      </c>
      <c r="D18" s="2188" t="str">
        <f>'Chấm công công nhân'!L19</f>
        <v>Thảo Sắp</v>
      </c>
      <c r="E18" s="2188" t="s">
        <v>40</v>
      </c>
      <c r="F18" s="2189">
        <f>'BẢNG LƯƠNG KT'!H23</f>
        <v>0</v>
      </c>
      <c r="G18" s="2189">
        <f>'BẢNG LƯƠNG KT'!L23</f>
        <v>559991</v>
      </c>
      <c r="H18" s="2189">
        <f>'BẢNG LƯƠNG KT'!S23</f>
        <v>1886836</v>
      </c>
      <c r="I18" s="2189"/>
      <c r="J18" s="2189"/>
      <c r="K18" s="2189">
        <f t="shared" si="1"/>
        <v>2446827</v>
      </c>
      <c r="L18" s="2189"/>
      <c r="M18" s="2189"/>
      <c r="N18" s="2190"/>
      <c r="O18" s="2191"/>
    </row>
    <row r="19" spans="1:15" s="2192" customFormat="1" ht="16.5" customHeight="1">
      <c r="A19" s="2186">
        <v>8</v>
      </c>
      <c r="B19" s="2186">
        <v>8</v>
      </c>
      <c r="C19" s="2187">
        <f>[9]CNKT!B23</f>
        <v>0</v>
      </c>
      <c r="D19" s="2188" t="str">
        <f>'Chấm công công nhân'!L20</f>
        <v>Thảo Say</v>
      </c>
      <c r="E19" s="2188" t="s">
        <v>40</v>
      </c>
      <c r="F19" s="2189">
        <f>'BẢNG LƯƠNG KT'!H24</f>
        <v>0</v>
      </c>
      <c r="G19" s="2189">
        <f>'BẢNG LƯƠNG KT'!L24</f>
        <v>948993</v>
      </c>
      <c r="H19" s="2189">
        <f>'BẢNG LƯƠNG KT'!S24</f>
        <v>1836604</v>
      </c>
      <c r="I19" s="2189"/>
      <c r="J19" s="2189"/>
      <c r="K19" s="2189">
        <f t="shared" si="1"/>
        <v>2785597</v>
      </c>
      <c r="L19" s="2189"/>
      <c r="M19" s="2189"/>
      <c r="N19" s="2190"/>
      <c r="O19" s="2191"/>
    </row>
    <row r="20" spans="1:15" s="2192" customFormat="1" ht="16.5" customHeight="1">
      <c r="A20" s="2186">
        <v>9</v>
      </c>
      <c r="B20" s="2186">
        <v>9</v>
      </c>
      <c r="C20" s="2187">
        <f>[9]CNKT!B24</f>
        <v>0</v>
      </c>
      <c r="D20" s="2188" t="str">
        <f>'Chấm công công nhân'!L21</f>
        <v>Thảo Cợt</v>
      </c>
      <c r="E20" s="2188" t="s">
        <v>40</v>
      </c>
      <c r="F20" s="2189">
        <f>'BẢNG LƯƠNG KT'!H25</f>
        <v>0</v>
      </c>
      <c r="G20" s="2189">
        <f>'BẢNG LƯƠNG KT'!L25</f>
        <v>383500</v>
      </c>
      <c r="H20" s="2189">
        <f>'BẢNG LƯƠNG KT'!S25</f>
        <v>1193418</v>
      </c>
      <c r="I20" s="2189"/>
      <c r="J20" s="2189"/>
      <c r="K20" s="2189">
        <f t="shared" si="1"/>
        <v>1576918</v>
      </c>
      <c r="L20" s="2189"/>
      <c r="M20" s="2189"/>
      <c r="N20" s="2190"/>
      <c r="O20" s="2191"/>
    </row>
    <row r="21" spans="1:15" s="2192" customFormat="1" ht="16.5" customHeight="1">
      <c r="A21" s="2186">
        <v>10</v>
      </c>
      <c r="B21" s="2186">
        <v>10</v>
      </c>
      <c r="C21" s="2187">
        <f>[9]CNKT!B25</f>
        <v>0</v>
      </c>
      <c r="D21" s="2188" t="str">
        <f>'Chấm công công nhân'!L22</f>
        <v>Thảo Hôm</v>
      </c>
      <c r="E21" s="2188" t="s">
        <v>40</v>
      </c>
      <c r="F21" s="2189">
        <f>'BẢNG LƯƠNG KT'!H26</f>
        <v>0</v>
      </c>
      <c r="G21" s="2189">
        <f>'BẢNG LƯƠNG KT'!L26</f>
        <v>795102</v>
      </c>
      <c r="H21" s="2189">
        <f>'BẢNG LƯƠNG KT'!S26</f>
        <v>1635675</v>
      </c>
      <c r="I21" s="2189"/>
      <c r="J21" s="2189"/>
      <c r="K21" s="2189">
        <f t="shared" si="1"/>
        <v>2430777</v>
      </c>
      <c r="L21" s="2189"/>
      <c r="M21" s="2189"/>
      <c r="N21" s="2190"/>
      <c r="O21" s="2191"/>
    </row>
    <row r="22" spans="1:15" s="2192" customFormat="1" ht="16.5" customHeight="1">
      <c r="A22" s="2186">
        <v>11</v>
      </c>
      <c r="B22" s="2186">
        <v>11</v>
      </c>
      <c r="C22" s="2187">
        <f>[9]CNKT!B26</f>
        <v>0</v>
      </c>
      <c r="D22" s="2188" t="str">
        <f>'Chấm công công nhân'!L23</f>
        <v xml:space="preserve">Thảo Khăm  </v>
      </c>
      <c r="E22" s="2188" t="s">
        <v>40</v>
      </c>
      <c r="F22" s="2189">
        <f>'BẢNG LƯƠNG KT'!H27</f>
        <v>0</v>
      </c>
      <c r="G22" s="2189">
        <f>'BẢNG LƯƠNG KT'!L27</f>
        <v>0</v>
      </c>
      <c r="H22" s="2189">
        <f>'BẢNG LƯƠNG KT'!S27</f>
        <v>1022522</v>
      </c>
      <c r="I22" s="2189"/>
      <c r="J22" s="2189"/>
      <c r="K22" s="2189">
        <f t="shared" si="1"/>
        <v>1022522</v>
      </c>
      <c r="L22" s="2189"/>
      <c r="M22" s="2189"/>
      <c r="N22" s="2190"/>
      <c r="O22" s="2191"/>
    </row>
    <row r="23" spans="1:15" s="2192" customFormat="1" ht="16.5" customHeight="1">
      <c r="A23" s="2186">
        <v>12</v>
      </c>
      <c r="B23" s="2186">
        <v>12</v>
      </c>
      <c r="C23" s="2187">
        <f>[9]CNKT!B27</f>
        <v>0</v>
      </c>
      <c r="D23" s="2188" t="str">
        <f>'Chấm công công nhân'!L24</f>
        <v>Thảo Hăm</v>
      </c>
      <c r="E23" s="2188" t="s">
        <v>40</v>
      </c>
      <c r="F23" s="2189">
        <f>'BẢNG LƯƠNG KT'!H28</f>
        <v>0</v>
      </c>
      <c r="G23" s="2189">
        <f>'BẢNG LƯƠNG KT'!L28</f>
        <v>0</v>
      </c>
      <c r="H23" s="2189">
        <f>'BẢNG LƯƠNG KT'!S28</f>
        <v>1344115</v>
      </c>
      <c r="I23" s="2189"/>
      <c r="J23" s="2189"/>
      <c r="K23" s="2189">
        <f t="shared" si="1"/>
        <v>1344115</v>
      </c>
      <c r="L23" s="2189"/>
      <c r="M23" s="2189"/>
      <c r="N23" s="2190"/>
      <c r="O23" s="2191"/>
    </row>
    <row r="24" spans="1:15" s="2192" customFormat="1" ht="16.5" customHeight="1">
      <c r="A24" s="2186">
        <v>13</v>
      </c>
      <c r="B24" s="2186">
        <v>13</v>
      </c>
      <c r="C24" s="2187">
        <f>[9]CNKT!B28</f>
        <v>0</v>
      </c>
      <c r="D24" s="2188" t="str">
        <f>'Chấm công công nhân'!L25</f>
        <v>Nang Lon</v>
      </c>
      <c r="E24" s="2188" t="s">
        <v>40</v>
      </c>
      <c r="F24" s="2189">
        <f>'BẢNG LƯƠNG KT'!H29</f>
        <v>0</v>
      </c>
      <c r="G24" s="2189">
        <f>'BẢNG LƯƠNG KT'!L29</f>
        <v>0</v>
      </c>
      <c r="H24" s="2189">
        <f>'BẢNG LƯƠNG KT'!S29</f>
        <v>1344115</v>
      </c>
      <c r="I24" s="2189"/>
      <c r="J24" s="2189"/>
      <c r="K24" s="2189">
        <f t="shared" si="1"/>
        <v>1344115</v>
      </c>
      <c r="L24" s="2189"/>
      <c r="M24" s="2189"/>
      <c r="N24" s="2190"/>
      <c r="O24" s="2191"/>
    </row>
    <row r="25" spans="1:15" s="2192" customFormat="1" ht="16.5" customHeight="1">
      <c r="A25" s="2186">
        <v>14</v>
      </c>
      <c r="B25" s="2186">
        <v>14</v>
      </c>
      <c r="C25" s="2187">
        <f>[9]CNKT!B29</f>
        <v>0</v>
      </c>
      <c r="D25" s="2188" t="str">
        <f>'Chấm công công nhân'!L26</f>
        <v>Thảo Pheng</v>
      </c>
      <c r="E25" s="2188" t="s">
        <v>40</v>
      </c>
      <c r="F25" s="2189">
        <f>'BẢNG LƯƠNG KT'!H30</f>
        <v>0</v>
      </c>
      <c r="G25" s="2189">
        <f>'BẢNG LƯƠNG KT'!L30</f>
        <v>207290</v>
      </c>
      <c r="H25" s="2189">
        <f>'BẢNG LƯƠNG KT'!S30</f>
        <v>1344115</v>
      </c>
      <c r="I25" s="2189"/>
      <c r="J25" s="2189"/>
      <c r="K25" s="2189">
        <f t="shared" si="1"/>
        <v>1551405</v>
      </c>
      <c r="L25" s="2189"/>
      <c r="M25" s="2189"/>
      <c r="N25" s="2190"/>
      <c r="O25" s="2191"/>
    </row>
    <row r="26" spans="1:15" s="2192" customFormat="1" ht="16.5" customHeight="1">
      <c r="A26" s="2186">
        <v>15</v>
      </c>
      <c r="B26" s="2186">
        <v>15</v>
      </c>
      <c r="C26" s="2187">
        <f>[9]CNKT!B30</f>
        <v>0</v>
      </c>
      <c r="D26" s="2188" t="str">
        <f>'Chấm công công nhân'!L27</f>
        <v>Thảo kok</v>
      </c>
      <c r="E26" s="2188" t="s">
        <v>40</v>
      </c>
      <c r="F26" s="2189">
        <f>'BẢNG LƯƠNG KT'!H31</f>
        <v>0</v>
      </c>
      <c r="G26" s="2189">
        <f>'BẢNG LƯƠNG KT'!L31</f>
        <v>557854</v>
      </c>
      <c r="H26" s="2189">
        <f>'BẢNG LƯƠNG KT'!S31</f>
        <v>1314082</v>
      </c>
      <c r="I26" s="2189"/>
      <c r="J26" s="2189"/>
      <c r="K26" s="2189">
        <f t="shared" si="1"/>
        <v>1871936</v>
      </c>
      <c r="L26" s="2189"/>
      <c r="M26" s="2189"/>
      <c r="N26" s="2190"/>
      <c r="O26" s="2191"/>
    </row>
    <row r="27" spans="1:15" s="2192" customFormat="1" ht="16.5" customHeight="1">
      <c r="A27" s="2186">
        <v>16</v>
      </c>
      <c r="B27" s="2186">
        <v>16</v>
      </c>
      <c r="C27" s="2187">
        <f>[9]CNKT!B31</f>
        <v>0</v>
      </c>
      <c r="D27" s="2188" t="str">
        <f>'Chấm công công nhân'!L28</f>
        <v>Nàng Sút Chay</v>
      </c>
      <c r="E27" s="2188" t="s">
        <v>40</v>
      </c>
      <c r="F27" s="2189">
        <f>'BẢNG LƯƠNG KT'!H32</f>
        <v>0</v>
      </c>
      <c r="G27" s="2189">
        <f>'BẢNG LƯƠNG KT'!L32</f>
        <v>149616</v>
      </c>
      <c r="H27" s="2189">
        <f>'BẢNG LƯƠNG KT'!S32</f>
        <v>1263849</v>
      </c>
      <c r="I27" s="2189"/>
      <c r="J27" s="2189"/>
      <c r="K27" s="2189">
        <f t="shared" si="1"/>
        <v>1413465</v>
      </c>
      <c r="L27" s="2189"/>
      <c r="M27" s="2189"/>
      <c r="N27" s="2190"/>
      <c r="O27" s="2191"/>
    </row>
    <row r="28" spans="1:15" s="2192" customFormat="1" ht="16.5" customHeight="1">
      <c r="A28" s="2186">
        <v>17</v>
      </c>
      <c r="B28" s="2186">
        <v>17</v>
      </c>
      <c r="C28" s="2187">
        <f>[9]CNKT!B32</f>
        <v>0</v>
      </c>
      <c r="D28" s="2188" t="str">
        <f>'Chấm công công nhân'!L29</f>
        <v>Thảo Khăm Phay</v>
      </c>
      <c r="E28" s="2188" t="s">
        <v>40</v>
      </c>
      <c r="F28" s="2189">
        <f>'BẢNG LƯƠNG KT'!H33</f>
        <v>0</v>
      </c>
      <c r="G28" s="2189">
        <f>'BẢNG LƯƠNG KT'!L33</f>
        <v>142258</v>
      </c>
      <c r="H28" s="2189">
        <f>'BẢNG LƯƠNG KT'!S33</f>
        <v>1263849</v>
      </c>
      <c r="I28" s="2189"/>
      <c r="J28" s="2189"/>
      <c r="K28" s="2189">
        <f t="shared" si="1"/>
        <v>1406107</v>
      </c>
      <c r="L28" s="2189"/>
      <c r="M28" s="2189"/>
      <c r="N28" s="2190"/>
      <c r="O28" s="2191"/>
    </row>
    <row r="29" spans="1:15" s="2192" customFormat="1" ht="16.5" customHeight="1">
      <c r="A29" s="2186">
        <v>18</v>
      </c>
      <c r="B29" s="2186">
        <v>18</v>
      </c>
      <c r="C29" s="2187">
        <f>[9]CNKT!B33</f>
        <v>0</v>
      </c>
      <c r="D29" s="2188" t="str">
        <f>'Chấm công công nhân'!L30</f>
        <v>Thảo Sớm</v>
      </c>
      <c r="E29" s="2188" t="s">
        <v>40</v>
      </c>
      <c r="F29" s="2189">
        <f>'BẢNG LƯƠNG KT'!H34</f>
        <v>0</v>
      </c>
      <c r="G29" s="2189">
        <f>'BẢNG LƯƠNG KT'!L34</f>
        <v>286408</v>
      </c>
      <c r="H29" s="2189">
        <f>'BẢNG LƯƠNG KT'!S34</f>
        <v>1314082</v>
      </c>
      <c r="I29" s="2189"/>
      <c r="J29" s="2189"/>
      <c r="K29" s="2189">
        <f t="shared" si="1"/>
        <v>1600490</v>
      </c>
      <c r="L29" s="2189"/>
      <c r="M29" s="2189"/>
      <c r="N29" s="2190"/>
      <c r="O29" s="2191"/>
    </row>
    <row r="30" spans="1:15" s="2192" customFormat="1" ht="16.5" customHeight="1">
      <c r="A30" s="2186">
        <v>19</v>
      </c>
      <c r="B30" s="2186">
        <v>19</v>
      </c>
      <c r="C30" s="2187">
        <f>[9]CNKT!B34</f>
        <v>0</v>
      </c>
      <c r="D30" s="2188" t="str">
        <f>'Chấm công công nhân'!L31</f>
        <v>Pha Xúc</v>
      </c>
      <c r="E30" s="2188" t="s">
        <v>40</v>
      </c>
      <c r="F30" s="2189">
        <f>'BẢNG LƯƠNG KT'!H35</f>
        <v>0</v>
      </c>
      <c r="G30" s="2189">
        <f>'BẢNG LƯƠNG KT'!L35</f>
        <v>0</v>
      </c>
      <c r="H30" s="2189">
        <f>'BẢNG LƯƠNG KT'!S35</f>
        <v>1193418</v>
      </c>
      <c r="I30" s="2189"/>
      <c r="J30" s="2189"/>
      <c r="K30" s="2189">
        <f t="shared" si="1"/>
        <v>1193418</v>
      </c>
      <c r="L30" s="2189"/>
      <c r="M30" s="2189"/>
      <c r="N30" s="2190"/>
      <c r="O30" s="2191"/>
    </row>
    <row r="31" spans="1:15" s="2192" customFormat="1" ht="16.5" customHeight="1">
      <c r="A31" s="2186">
        <v>20</v>
      </c>
      <c r="B31" s="2186">
        <v>20</v>
      </c>
      <c r="C31" s="2187">
        <f>[9]CNKT!B35</f>
        <v>0</v>
      </c>
      <c r="D31" s="2188" t="str">
        <f>'Chấm công công nhân'!L32</f>
        <v>Nàng Phon</v>
      </c>
      <c r="E31" s="2188" t="s">
        <v>40</v>
      </c>
      <c r="F31" s="2189">
        <f>'BẢNG LƯƠNG KT'!H36</f>
        <v>0</v>
      </c>
      <c r="G31" s="2189">
        <f>'BẢNG LƯƠNG KT'!L36</f>
        <v>85495</v>
      </c>
      <c r="H31" s="2189">
        <f>'BẢNG LƯƠNG KT'!S36</f>
        <v>1434745</v>
      </c>
      <c r="I31" s="2189"/>
      <c r="J31" s="2189"/>
      <c r="K31" s="2189">
        <f t="shared" si="1"/>
        <v>1520240</v>
      </c>
      <c r="L31" s="2189"/>
      <c r="M31" s="2189"/>
      <c r="N31" s="2190"/>
      <c r="O31" s="2191"/>
    </row>
    <row r="32" spans="1:15" s="2192" customFormat="1" ht="16.5" customHeight="1">
      <c r="A32" s="2186">
        <v>21</v>
      </c>
      <c r="B32" s="2186">
        <v>21</v>
      </c>
      <c r="C32" s="2187">
        <f>[9]CNKT!B36</f>
        <v>0</v>
      </c>
      <c r="D32" s="2188" t="str">
        <f>'Chấm công công nhân'!L33</f>
        <v>Thảo Chăn</v>
      </c>
      <c r="E32" s="2188" t="s">
        <v>40</v>
      </c>
      <c r="F32" s="2189">
        <f>'BẢNG LƯƠNG KT'!H37</f>
        <v>0</v>
      </c>
      <c r="G32" s="2189">
        <f>'BẢNG LƯƠNG KT'!L37</f>
        <v>559991</v>
      </c>
      <c r="H32" s="2189">
        <f>'BẢNG LƯƠNG KT'!S37</f>
        <v>1414546</v>
      </c>
      <c r="I32" s="2189"/>
      <c r="J32" s="2189"/>
      <c r="K32" s="2189">
        <f t="shared" si="1"/>
        <v>1974537</v>
      </c>
      <c r="L32" s="2189"/>
      <c r="M32" s="2189"/>
      <c r="N32" s="2190"/>
      <c r="O32" s="2191"/>
    </row>
    <row r="33" spans="1:15" s="2192" customFormat="1" ht="16.5" customHeight="1">
      <c r="A33" s="2186">
        <v>22</v>
      </c>
      <c r="B33" s="2186">
        <v>22</v>
      </c>
      <c r="C33" s="2187">
        <f>[9]CNKT!B37</f>
        <v>0</v>
      </c>
      <c r="D33" s="2188" t="str">
        <f>'Chấm công công nhân'!L34</f>
        <v>Thong La</v>
      </c>
      <c r="E33" s="2188" t="s">
        <v>40</v>
      </c>
      <c r="F33" s="2189">
        <f>'BẢNG LƯƠNG KT'!H38</f>
        <v>0</v>
      </c>
      <c r="G33" s="2189">
        <f>'BẢNG LƯƠNG KT'!L38</f>
        <v>284270</v>
      </c>
      <c r="H33" s="2189">
        <f>'BẢNG LƯƠNG KT'!S38</f>
        <v>1414546</v>
      </c>
      <c r="I33" s="2189"/>
      <c r="J33" s="2189"/>
      <c r="K33" s="2189">
        <f t="shared" si="1"/>
        <v>1698816</v>
      </c>
      <c r="L33" s="2189"/>
      <c r="M33" s="2189"/>
      <c r="N33" s="2190"/>
      <c r="O33" s="2191"/>
    </row>
    <row r="34" spans="1:15" s="2192" customFormat="1" ht="16.5" customHeight="1">
      <c r="A34" s="2186">
        <v>23</v>
      </c>
      <c r="B34" s="2186">
        <v>23</v>
      </c>
      <c r="C34" s="2187">
        <f>[9]CNKT!B38</f>
        <v>0</v>
      </c>
      <c r="D34" s="2188" t="str">
        <f>'Chấm công công nhân'!L35</f>
        <v>Thảo Cum Pha</v>
      </c>
      <c r="E34" s="2188" t="s">
        <v>40</v>
      </c>
      <c r="F34" s="2189">
        <f>'BẢNG LƯƠNG KT'!H39</f>
        <v>0</v>
      </c>
      <c r="G34" s="2189">
        <f>'BẢNG LƯƠNG KT'!L39</f>
        <v>42677</v>
      </c>
      <c r="H34" s="2189">
        <f>'BẢNG LƯƠNG KT'!S39</f>
        <v>1042721</v>
      </c>
      <c r="I34" s="2189"/>
      <c r="J34" s="2189"/>
      <c r="K34" s="2189">
        <f t="shared" si="1"/>
        <v>1085398</v>
      </c>
      <c r="L34" s="2189"/>
      <c r="M34" s="2189"/>
      <c r="N34" s="2190"/>
      <c r="O34" s="2191"/>
    </row>
    <row r="35" spans="1:15" s="2192" customFormat="1" ht="16.5" customHeight="1">
      <c r="A35" s="2186">
        <v>24</v>
      </c>
      <c r="B35" s="2186">
        <v>24</v>
      </c>
      <c r="C35" s="2187">
        <f>[9]CNKT!B39</f>
        <v>0</v>
      </c>
      <c r="D35" s="2188" t="str">
        <f>'Chấm công công nhân'!L36</f>
        <v>T Ô Vên</v>
      </c>
      <c r="E35" s="2188" t="s">
        <v>40</v>
      </c>
      <c r="F35" s="2189">
        <f>'BẢNG LƯƠNG KT'!H40</f>
        <v>0</v>
      </c>
      <c r="G35" s="2189">
        <f>'BẢNG LƯƠNG KT'!L40</f>
        <v>418644</v>
      </c>
      <c r="H35" s="2189">
        <f>'BẢNG LƯƠNG KT'!S40</f>
        <v>1414546</v>
      </c>
      <c r="I35" s="2189"/>
      <c r="J35" s="2189"/>
      <c r="K35" s="2189">
        <f t="shared" si="1"/>
        <v>1833190</v>
      </c>
      <c r="L35" s="2189"/>
      <c r="M35" s="2189"/>
      <c r="N35" s="2190"/>
      <c r="O35" s="2191"/>
    </row>
    <row r="36" spans="1:15" s="2192" customFormat="1" ht="16.5" customHeight="1">
      <c r="A36" s="2186">
        <v>25</v>
      </c>
      <c r="B36" s="2186">
        <v>25</v>
      </c>
      <c r="C36" s="2187">
        <f>[9]CNKT!B40</f>
        <v>0</v>
      </c>
      <c r="D36" s="2188" t="str">
        <f>'Chấm công công nhân'!L37</f>
        <v>Nàng Lam</v>
      </c>
      <c r="E36" s="2188" t="s">
        <v>40</v>
      </c>
      <c r="F36" s="2189">
        <f>'BẢNG LƯƠNG KT'!H41</f>
        <v>0</v>
      </c>
      <c r="G36" s="2189">
        <f>'BẢNG LƯƠNG KT'!L41</f>
        <v>527931</v>
      </c>
      <c r="H36" s="2189">
        <f>'BẢNG LƯƠNG KT'!S41</f>
        <v>1685907</v>
      </c>
      <c r="I36" s="2189"/>
      <c r="J36" s="2189"/>
      <c r="K36" s="2189">
        <f t="shared" si="1"/>
        <v>2213838</v>
      </c>
      <c r="L36" s="2189"/>
      <c r="M36" s="2189"/>
      <c r="N36" s="2190"/>
      <c r="O36" s="2191"/>
    </row>
    <row r="37" spans="1:15" s="2192" customFormat="1" ht="16.5" customHeight="1">
      <c r="A37" s="2186">
        <v>26</v>
      </c>
      <c r="B37" s="2186">
        <v>26</v>
      </c>
      <c r="C37" s="2187">
        <f>[9]CNKT!B41</f>
        <v>0</v>
      </c>
      <c r="D37" s="2188" t="str">
        <f>'Chấm công công nhân'!L38</f>
        <v>Nàng Hđao</v>
      </c>
      <c r="E37" s="2188" t="s">
        <v>40</v>
      </c>
      <c r="F37" s="2189">
        <f>'BẢNG LƯƠNG KT'!H42</f>
        <v>0</v>
      </c>
      <c r="G37" s="2189">
        <f>'BẢNG LƯƠNG KT'!L42</f>
        <v>97548</v>
      </c>
      <c r="H37" s="2189">
        <f>'BẢNG LƯƠNG KT'!S42</f>
        <v>1364314</v>
      </c>
      <c r="I37" s="2189"/>
      <c r="J37" s="2189"/>
      <c r="K37" s="2189">
        <f t="shared" si="1"/>
        <v>1461862</v>
      </c>
      <c r="L37" s="2189"/>
      <c r="M37" s="2189"/>
      <c r="N37" s="2190"/>
      <c r="O37" s="2191"/>
    </row>
    <row r="38" spans="1:15" s="2192" customFormat="1" ht="16.5" customHeight="1">
      <c r="A38" s="2186">
        <v>27</v>
      </c>
      <c r="B38" s="2186">
        <v>27</v>
      </c>
      <c r="C38" s="2187">
        <f>[9]CNKT!B42</f>
        <v>0</v>
      </c>
      <c r="D38" s="2188" t="str">
        <f>'Chấm công công nhân'!L39</f>
        <v>Thảo Tong</v>
      </c>
      <c r="E38" s="2188" t="s">
        <v>40</v>
      </c>
      <c r="F38" s="2189">
        <f>'BẢNG LƯƠNG KT'!H43</f>
        <v>0</v>
      </c>
      <c r="G38" s="2189">
        <f>'BẢNG LƯƠNG KT'!L43</f>
        <v>239806</v>
      </c>
      <c r="H38" s="2189">
        <f>'BẢNG LƯƠNG KT'!S43</f>
        <v>1414546</v>
      </c>
      <c r="I38" s="2189"/>
      <c r="J38" s="2189"/>
      <c r="K38" s="2189">
        <f t="shared" si="1"/>
        <v>1654352</v>
      </c>
      <c r="L38" s="2189"/>
      <c r="M38" s="2189"/>
      <c r="N38" s="2190"/>
      <c r="O38" s="2191"/>
    </row>
    <row r="39" spans="1:15" s="2192" customFormat="1" ht="16.5" customHeight="1">
      <c r="A39" s="2186">
        <v>28</v>
      </c>
      <c r="B39" s="2186">
        <v>28</v>
      </c>
      <c r="C39" s="2187">
        <f>[9]CNKT!B43</f>
        <v>0</v>
      </c>
      <c r="D39" s="2188" t="str">
        <f>'Chấm công công nhân'!L40</f>
        <v>Thảo Khốc</v>
      </c>
      <c r="E39" s="2188" t="s">
        <v>40</v>
      </c>
      <c r="F39" s="2189">
        <f>'BẢNG LƯƠNG KT'!H44</f>
        <v>0</v>
      </c>
      <c r="G39" s="2189">
        <f>'BẢNG LƯƠNG KT'!L44</f>
        <v>912657</v>
      </c>
      <c r="H39" s="2189">
        <f>'BẢNG LƯƠNG KT'!S44</f>
        <v>1665708</v>
      </c>
      <c r="I39" s="2189"/>
      <c r="J39" s="2189"/>
      <c r="K39" s="2189">
        <f t="shared" si="1"/>
        <v>2578365</v>
      </c>
      <c r="L39" s="2189"/>
      <c r="M39" s="2189"/>
      <c r="N39" s="2190"/>
      <c r="O39" s="2191"/>
    </row>
    <row r="40" spans="1:15" s="2192" customFormat="1" ht="16.5" customHeight="1">
      <c r="A40" s="2186">
        <v>29</v>
      </c>
      <c r="B40" s="2186">
        <v>29</v>
      </c>
      <c r="C40" s="2187">
        <f>[9]CNKT!B44</f>
        <v>0</v>
      </c>
      <c r="D40" s="2188" t="str">
        <f>'Chấm công công nhân'!L41</f>
        <v>Thảo Sợt</v>
      </c>
      <c r="E40" s="2188" t="s">
        <v>40</v>
      </c>
      <c r="F40" s="2189">
        <f>'BẢNG LƯƠNG KT'!H45</f>
        <v>0</v>
      </c>
      <c r="G40" s="2189">
        <f>'BẢNG LƯƠNG KT'!L45</f>
        <v>873869</v>
      </c>
      <c r="H40" s="2189">
        <f>'BẢNG LƯƠNG KT'!S45</f>
        <v>1665708</v>
      </c>
      <c r="I40" s="2189"/>
      <c r="J40" s="2189"/>
      <c r="K40" s="2189">
        <f t="shared" si="1"/>
        <v>2539577</v>
      </c>
      <c r="L40" s="2189"/>
      <c r="M40" s="2189"/>
      <c r="N40" s="2190"/>
      <c r="O40" s="2191"/>
    </row>
    <row r="41" spans="1:15" s="2192" customFormat="1" ht="16.5" customHeight="1">
      <c r="A41" s="2186">
        <v>30</v>
      </c>
      <c r="B41" s="2186">
        <v>30</v>
      </c>
      <c r="C41" s="2187">
        <f>[9]CNKT!B45</f>
        <v>0</v>
      </c>
      <c r="D41" s="2188" t="str">
        <f>'Chấm công công nhân'!L42</f>
        <v>Thảo Văn</v>
      </c>
      <c r="E41" s="2188" t="s">
        <v>40</v>
      </c>
      <c r="F41" s="2189">
        <f>'BẢNG LƯƠNG KT'!H46</f>
        <v>0</v>
      </c>
      <c r="G41" s="2189">
        <f>'BẢNG LƯƠNG KT'!L46</f>
        <v>0</v>
      </c>
      <c r="H41" s="2189">
        <f>'BẢNG LƯƠNG KT'!S46</f>
        <v>1293883</v>
      </c>
      <c r="I41" s="2189"/>
      <c r="J41" s="2189"/>
      <c r="K41" s="2189">
        <f t="shared" si="1"/>
        <v>1293883</v>
      </c>
      <c r="L41" s="2189"/>
      <c r="M41" s="2189"/>
      <c r="N41" s="2190"/>
      <c r="O41" s="2191"/>
    </row>
    <row r="42" spans="1:15" s="2192" customFormat="1" ht="16.5" customHeight="1">
      <c r="A42" s="2186">
        <v>31</v>
      </c>
      <c r="B42" s="2186">
        <v>31</v>
      </c>
      <c r="C42" s="2187">
        <f>[9]CNKT!B46</f>
        <v>0</v>
      </c>
      <c r="D42" s="2188" t="str">
        <f>'Chấm công công nhân'!L43</f>
        <v>Nàng Túc</v>
      </c>
      <c r="E42" s="2188" t="s">
        <v>40</v>
      </c>
      <c r="F42" s="2189">
        <f>'BẢNG LƯƠNG KT'!H47</f>
        <v>0</v>
      </c>
      <c r="G42" s="2189">
        <f>'BẢNG LƯƠNG KT'!L47</f>
        <v>446711</v>
      </c>
      <c r="H42" s="2189">
        <f>'BẢNG LƯƠNG KT'!S47</f>
        <v>1414546</v>
      </c>
      <c r="I42" s="2189"/>
      <c r="J42" s="2189"/>
      <c r="K42" s="2189">
        <f t="shared" si="1"/>
        <v>1861257</v>
      </c>
      <c r="L42" s="2189"/>
      <c r="M42" s="2189"/>
      <c r="N42" s="2190"/>
      <c r="O42" s="2191"/>
    </row>
    <row r="43" spans="1:15" s="2192" customFormat="1" ht="16.5" customHeight="1">
      <c r="A43" s="2186">
        <v>32</v>
      </c>
      <c r="B43" s="2186">
        <v>32</v>
      </c>
      <c r="C43" s="2187">
        <f>[9]CNKT!B47</f>
        <v>0</v>
      </c>
      <c r="D43" s="2188" t="str">
        <f>'Chấm công công nhân'!L44</f>
        <v>Nàng Chon</v>
      </c>
      <c r="E43" s="2188" t="s">
        <v>40</v>
      </c>
      <c r="F43" s="2189">
        <f>'BẢNG LƯƠNG KT'!H48</f>
        <v>0</v>
      </c>
      <c r="G43" s="2189">
        <f>'BẢNG LƯƠNG KT'!L48</f>
        <v>621870</v>
      </c>
      <c r="H43" s="2189">
        <f>'BẢNG LƯƠNG KT'!S48</f>
        <v>1685907</v>
      </c>
      <c r="I43" s="2189"/>
      <c r="J43" s="2189"/>
      <c r="K43" s="2189">
        <f t="shared" si="1"/>
        <v>2307777</v>
      </c>
      <c r="L43" s="2189"/>
      <c r="M43" s="2189"/>
      <c r="N43" s="2190"/>
      <c r="O43" s="2191"/>
    </row>
    <row r="44" spans="1:15" s="2192" customFormat="1" ht="16.5" customHeight="1">
      <c r="A44" s="2186">
        <v>33</v>
      </c>
      <c r="B44" s="2186">
        <v>33</v>
      </c>
      <c r="C44" s="2187">
        <f>[9]CNKT!B48</f>
        <v>0</v>
      </c>
      <c r="D44" s="2188" t="str">
        <f>'Chấm công công nhân'!L45</f>
        <v>Thảo Hơ Phơ</v>
      </c>
      <c r="E44" s="2188" t="s">
        <v>40</v>
      </c>
      <c r="F44" s="2189">
        <f>'BẢNG LƯƠNG KT'!H49</f>
        <v>0</v>
      </c>
      <c r="G44" s="2189">
        <f>'BẢNG LƯƠNG KT'!L49</f>
        <v>656173</v>
      </c>
      <c r="H44" s="2189">
        <f>'BẢNG LƯƠNG KT'!S49</f>
        <v>1565244</v>
      </c>
      <c r="I44" s="2189"/>
      <c r="J44" s="2189"/>
      <c r="K44" s="2189">
        <f t="shared" si="1"/>
        <v>2221417</v>
      </c>
      <c r="L44" s="2189"/>
      <c r="M44" s="2189"/>
      <c r="N44" s="2190"/>
      <c r="O44" s="2191"/>
    </row>
    <row r="45" spans="1:15" s="2192" customFormat="1" ht="16.5" customHeight="1">
      <c r="A45" s="2186">
        <v>34</v>
      </c>
      <c r="B45" s="2186">
        <v>34</v>
      </c>
      <c r="C45" s="2187">
        <f>[9]CNKT!B49</f>
        <v>0</v>
      </c>
      <c r="D45" s="2188" t="str">
        <f>'Chấm công công nhân'!L46</f>
        <v>Thảo Phét</v>
      </c>
      <c r="E45" s="2188" t="s">
        <v>40</v>
      </c>
      <c r="F45" s="2189">
        <f>'BẢNG LƯƠNG KT'!H50</f>
        <v>0</v>
      </c>
      <c r="G45" s="2189">
        <f>'BẢNG LƯƠNG KT'!L50</f>
        <v>664722</v>
      </c>
      <c r="H45" s="2189">
        <f>'BẢNG LƯƠNG KT'!S50</f>
        <v>1715941</v>
      </c>
      <c r="I45" s="2189"/>
      <c r="J45" s="2189"/>
      <c r="K45" s="2189">
        <f t="shared" si="1"/>
        <v>2380663</v>
      </c>
      <c r="L45" s="2189"/>
      <c r="M45" s="2189"/>
      <c r="N45" s="2190"/>
      <c r="O45" s="2191"/>
    </row>
    <row r="46" spans="1:15" s="2192" customFormat="1" ht="16.5" customHeight="1">
      <c r="A46" s="2186">
        <v>35</v>
      </c>
      <c r="B46" s="2186">
        <v>35</v>
      </c>
      <c r="C46" s="2187">
        <f>[9]CNKT!B50</f>
        <v>0</v>
      </c>
      <c r="D46" s="2188" t="str">
        <f>'Chấm công công nhân'!L47</f>
        <v>Hăn</v>
      </c>
      <c r="E46" s="2188" t="s">
        <v>40</v>
      </c>
      <c r="F46" s="2189">
        <f>'BẢNG LƯƠNG KT'!H51</f>
        <v>0</v>
      </c>
      <c r="G46" s="2189">
        <f>'BẢNG LƯƠNG KT'!L51</f>
        <v>100456</v>
      </c>
      <c r="H46" s="2189">
        <f>'BẢNG LƯƠNG KT'!S51</f>
        <v>1565244</v>
      </c>
      <c r="I46" s="2189"/>
      <c r="J46" s="2189"/>
      <c r="K46" s="2189">
        <f t="shared" si="1"/>
        <v>1665700</v>
      </c>
      <c r="L46" s="2189"/>
      <c r="M46" s="2189"/>
      <c r="N46" s="2190"/>
      <c r="O46" s="2191"/>
    </row>
    <row r="47" spans="1:15" s="2192" customFormat="1" ht="16.5" customHeight="1">
      <c r="A47" s="2186">
        <v>36</v>
      </c>
      <c r="B47" s="2186">
        <v>36</v>
      </c>
      <c r="C47" s="2187">
        <f>[9]CNKT!B51</f>
        <v>0</v>
      </c>
      <c r="D47" s="2188" t="str">
        <f>'Chấm công công nhân'!L48</f>
        <v>Thảo Tuỳ</v>
      </c>
      <c r="E47" s="2188" t="s">
        <v>40</v>
      </c>
      <c r="F47" s="2189">
        <f>'BẢNG LƯƠNG KT'!H52</f>
        <v>0</v>
      </c>
      <c r="G47" s="2189">
        <f>'BẢNG LƯƠNG KT'!L52</f>
        <v>743805</v>
      </c>
      <c r="H47" s="2189">
        <f>'BẢNG LƯƠNG KT'!S52</f>
        <v>1736139</v>
      </c>
      <c r="I47" s="2189"/>
      <c r="J47" s="2189"/>
      <c r="K47" s="2189">
        <f t="shared" si="1"/>
        <v>2479944</v>
      </c>
      <c r="L47" s="2189"/>
      <c r="M47" s="2189"/>
      <c r="N47" s="2190"/>
      <c r="O47" s="2191"/>
    </row>
    <row r="48" spans="1:15" s="2192" customFormat="1" ht="16.5" customHeight="1">
      <c r="A48" s="2186">
        <v>37</v>
      </c>
      <c r="B48" s="2186">
        <v>37</v>
      </c>
      <c r="C48" s="2187"/>
      <c r="D48" s="2188" t="str">
        <f>'Chấm công công nhân'!L49</f>
        <v>Thảo Đa Văn</v>
      </c>
      <c r="E48" s="2188" t="s">
        <v>40</v>
      </c>
      <c r="F48" s="2189">
        <f>'BẢNG LƯƠNG KT'!H53</f>
        <v>0</v>
      </c>
      <c r="G48" s="2189">
        <f>'BẢNG LƯƠNG KT'!L53</f>
        <v>0</v>
      </c>
      <c r="H48" s="2189">
        <f>'BẢNG LƯƠNG KT'!S53</f>
        <v>942391</v>
      </c>
      <c r="I48" s="2189"/>
      <c r="J48" s="2189"/>
      <c r="K48" s="2189">
        <f t="shared" si="1"/>
        <v>942391</v>
      </c>
      <c r="L48" s="2189"/>
      <c r="M48" s="2189"/>
      <c r="N48" s="2190"/>
      <c r="O48" s="2191"/>
    </row>
    <row r="49" spans="1:16" s="2192" customFormat="1" ht="16.5" hidden="1" customHeight="1">
      <c r="A49" s="2186">
        <v>38</v>
      </c>
      <c r="B49" s="2186">
        <v>38</v>
      </c>
      <c r="C49" s="2187">
        <f>[9]CNKT!B52</f>
        <v>0</v>
      </c>
      <c r="D49" s="2188" t="str">
        <f>'BẢNG LƯƠNG KT'!C54</f>
        <v>Thảo e</v>
      </c>
      <c r="E49" s="2188" t="s">
        <v>259</v>
      </c>
      <c r="F49" s="2189">
        <f>'BẢNG LƯƠNG KT'!H54</f>
        <v>0</v>
      </c>
      <c r="G49" s="2189">
        <f>'BẢNG LƯƠNG KT'!L54</f>
        <v>0</v>
      </c>
      <c r="H49" s="2189">
        <f>'BẢNG LƯƠNG KT'!S54</f>
        <v>0</v>
      </c>
      <c r="I49" s="2189"/>
      <c r="J49" s="2189"/>
      <c r="K49" s="2189">
        <f t="shared" si="1"/>
        <v>0</v>
      </c>
      <c r="L49" s="2189"/>
      <c r="M49" s="2189"/>
      <c r="N49" s="2190"/>
      <c r="O49" s="2191"/>
    </row>
    <row r="50" spans="1:16" s="2192" customFormat="1" ht="22.5" customHeight="1">
      <c r="A50" s="4053" t="s">
        <v>322</v>
      </c>
      <c r="B50" s="4054"/>
      <c r="C50" s="4054"/>
      <c r="D50" s="4055"/>
      <c r="E50" s="2183"/>
      <c r="F50" s="2184">
        <f t="shared" ref="F50:M50" si="2">SUM(F51:F70)</f>
        <v>0</v>
      </c>
      <c r="G50" s="2184">
        <f t="shared" si="2"/>
        <v>5082268</v>
      </c>
      <c r="H50" s="2184">
        <f t="shared" si="2"/>
        <v>24040670</v>
      </c>
      <c r="I50" s="2184"/>
      <c r="J50" s="2184"/>
      <c r="K50" s="2184">
        <f t="shared" si="2"/>
        <v>29122938</v>
      </c>
      <c r="L50" s="2184">
        <f t="shared" si="2"/>
        <v>0</v>
      </c>
      <c r="M50" s="2184">
        <f t="shared" si="2"/>
        <v>0</v>
      </c>
      <c r="N50" s="2193"/>
      <c r="O50" s="2191" t="e">
        <f>K50-#REF!-#REF!-M50</f>
        <v>#REF!</v>
      </c>
      <c r="P50" s="2194"/>
    </row>
    <row r="51" spans="1:16" s="2192" customFormat="1" ht="16.5" customHeight="1">
      <c r="A51" s="2186">
        <v>38</v>
      </c>
      <c r="B51" s="2186">
        <v>1</v>
      </c>
      <c r="C51" s="2195"/>
      <c r="D51" s="2196" t="str">
        <f>'Chấm công công nhân'!L51</f>
        <v>Thảo Xa Đết</v>
      </c>
      <c r="E51" s="2188" t="s">
        <v>40</v>
      </c>
      <c r="F51" s="2189">
        <f>'BẢNG LƯƠNG KT'!H56</f>
        <v>0</v>
      </c>
      <c r="G51" s="2189">
        <f>'BẢNG LƯƠNG KT'!L56</f>
        <v>157630</v>
      </c>
      <c r="H51" s="2189">
        <f>'BẢNG LƯƠNG KT'!S56</f>
        <v>1173220</v>
      </c>
      <c r="I51" s="2189"/>
      <c r="J51" s="2189"/>
      <c r="K51" s="2189">
        <f t="shared" ref="K51:K70" si="3">SUM(F51:H51)</f>
        <v>1330850</v>
      </c>
      <c r="L51" s="2189"/>
      <c r="M51" s="2189"/>
      <c r="N51" s="2190"/>
      <c r="O51" s="2197"/>
      <c r="P51" s="2194"/>
    </row>
    <row r="52" spans="1:16" s="2192" customFormat="1" ht="16.5" customHeight="1">
      <c r="A52" s="2186">
        <v>39</v>
      </c>
      <c r="B52" s="2186">
        <v>2</v>
      </c>
      <c r="C52" s="2195"/>
      <c r="D52" s="2196" t="str">
        <f>'Chấm công công nhân'!L52</f>
        <v>Thảo Sột</v>
      </c>
      <c r="E52" s="2188" t="s">
        <v>40</v>
      </c>
      <c r="F52" s="2189">
        <f>'BẢNG LƯƠNG KT'!H57</f>
        <v>0</v>
      </c>
      <c r="G52" s="2189">
        <f>'BẢNG LƯƠNG KT'!L57</f>
        <v>658935</v>
      </c>
      <c r="H52" s="2189">
        <f>'BẢNG LƯƠNG KT'!S57</f>
        <v>1545045</v>
      </c>
      <c r="I52" s="2189"/>
      <c r="J52" s="2189"/>
      <c r="K52" s="2189">
        <f t="shared" si="3"/>
        <v>2203980</v>
      </c>
      <c r="L52" s="2189"/>
      <c r="M52" s="2189"/>
      <c r="N52" s="2190"/>
      <c r="O52" s="2197"/>
      <c r="P52" s="2194"/>
    </row>
    <row r="53" spans="1:16" s="2192" customFormat="1" ht="16.5" customHeight="1">
      <c r="A53" s="2186">
        <v>40</v>
      </c>
      <c r="B53" s="2186">
        <v>3</v>
      </c>
      <c r="C53" s="2195"/>
      <c r="D53" s="2196" t="str">
        <f>'Chấm công công nhân'!L53</f>
        <v>Stoong</v>
      </c>
      <c r="E53" s="2188" t="s">
        <v>40</v>
      </c>
      <c r="F53" s="2189">
        <f>'BẢNG LƯƠNG KT'!H58</f>
        <v>0</v>
      </c>
      <c r="G53" s="2189">
        <f>'BẢNG LƯƠNG KT'!L58</f>
        <v>425999</v>
      </c>
      <c r="H53" s="2189">
        <f>'BẢNG LƯƠNG KT'!S58</f>
        <v>1344115</v>
      </c>
      <c r="I53" s="2189"/>
      <c r="J53" s="2189"/>
      <c r="K53" s="2189">
        <f t="shared" si="3"/>
        <v>1770114</v>
      </c>
      <c r="L53" s="2189"/>
      <c r="M53" s="2189"/>
      <c r="N53" s="2190"/>
      <c r="O53" s="2197"/>
      <c r="P53" s="2194"/>
    </row>
    <row r="54" spans="1:16" s="2192" customFormat="1" ht="16.5" customHeight="1">
      <c r="A54" s="2186">
        <v>41</v>
      </c>
      <c r="B54" s="2186">
        <v>4</v>
      </c>
      <c r="C54" s="2195"/>
      <c r="D54" s="2196" t="str">
        <f>'Chấm công công nhân'!L54</f>
        <v>Nàng Phắt</v>
      </c>
      <c r="E54" s="2188" t="s">
        <v>40</v>
      </c>
      <c r="F54" s="2189">
        <f>'BẢNG LƯƠNG KT'!H59</f>
        <v>0</v>
      </c>
      <c r="G54" s="2189">
        <f>'BẢNG LƯƠNG KT'!L59</f>
        <v>407044</v>
      </c>
      <c r="H54" s="2189">
        <f>'BẢNG LƯƠNG KT'!S59</f>
        <v>1344115</v>
      </c>
      <c r="I54" s="2189"/>
      <c r="J54" s="2189"/>
      <c r="K54" s="2189">
        <f t="shared" si="3"/>
        <v>1751159</v>
      </c>
      <c r="L54" s="2189"/>
      <c r="M54" s="2189"/>
      <c r="N54" s="2190"/>
      <c r="O54" s="2197"/>
      <c r="P54" s="2194"/>
    </row>
    <row r="55" spans="1:16" s="2192" customFormat="1" ht="16.5" customHeight="1">
      <c r="A55" s="2186">
        <v>42</v>
      </c>
      <c r="B55" s="2186">
        <v>5</v>
      </c>
      <c r="C55" s="2195"/>
      <c r="D55" s="2196" t="str">
        <f>'Chấm công công nhân'!L55</f>
        <v>Nàng May</v>
      </c>
      <c r="E55" s="2188" t="s">
        <v>40</v>
      </c>
      <c r="F55" s="2189">
        <f>'BẢNG LƯƠNG KT'!H60</f>
        <v>0</v>
      </c>
      <c r="G55" s="2189">
        <f>'BẢNG LƯƠNG KT'!L60</f>
        <v>167606</v>
      </c>
      <c r="H55" s="2189">
        <f>'BẢNG LƯƠNG KT'!S60</f>
        <v>1394348</v>
      </c>
      <c r="I55" s="2189"/>
      <c r="J55" s="2189"/>
      <c r="K55" s="2189">
        <f t="shared" si="3"/>
        <v>1561954</v>
      </c>
      <c r="L55" s="2189"/>
      <c r="M55" s="2189"/>
      <c r="N55" s="2190"/>
      <c r="O55" s="2197"/>
      <c r="P55" s="2194"/>
    </row>
    <row r="56" spans="1:16" s="2192" customFormat="1" ht="16.5" customHeight="1">
      <c r="A56" s="2186">
        <v>43</v>
      </c>
      <c r="B56" s="2186">
        <v>6</v>
      </c>
      <c r="C56" s="2195"/>
      <c r="D56" s="2196" t="str">
        <f>'Chấm công công nhân'!L56</f>
        <v>Thảo Bênh</v>
      </c>
      <c r="E56" s="2188" t="s">
        <v>40</v>
      </c>
      <c r="F56" s="2189">
        <f>'BẢNG LƯƠNG KT'!H61</f>
        <v>0</v>
      </c>
      <c r="G56" s="2189">
        <f>'BẢNG LƯƠNG KT'!L61</f>
        <v>178374</v>
      </c>
      <c r="H56" s="2189">
        <f>'BẢNG LƯƠNG KT'!S61</f>
        <v>1394348</v>
      </c>
      <c r="I56" s="2189"/>
      <c r="J56" s="2189"/>
      <c r="K56" s="2189">
        <f t="shared" si="3"/>
        <v>1572722</v>
      </c>
      <c r="L56" s="2189"/>
      <c r="M56" s="2189"/>
      <c r="N56" s="2190"/>
      <c r="O56" s="2197"/>
      <c r="P56" s="2194"/>
    </row>
    <row r="57" spans="1:16" s="2192" customFormat="1" ht="16.5" customHeight="1">
      <c r="A57" s="2186">
        <v>44</v>
      </c>
      <c r="B57" s="2186">
        <v>7</v>
      </c>
      <c r="C57" s="2195"/>
      <c r="D57" s="2196" t="str">
        <f>'Chấm công công nhân'!L57</f>
        <v>Thảo Đinh</v>
      </c>
      <c r="E57" s="2188" t="s">
        <v>40</v>
      </c>
      <c r="F57" s="2189">
        <f>'BẢNG LƯƠNG KT'!H62</f>
        <v>0</v>
      </c>
      <c r="G57" s="2189">
        <f>'BẢNG LƯƠNG KT'!L62</f>
        <v>533024</v>
      </c>
      <c r="H57" s="2189">
        <f>'BẢNG LƯƠNG KT'!S62</f>
        <v>1786372</v>
      </c>
      <c r="I57" s="2189"/>
      <c r="J57" s="2189"/>
      <c r="K57" s="2189">
        <f t="shared" si="3"/>
        <v>2319396</v>
      </c>
      <c r="L57" s="2189"/>
      <c r="M57" s="2189"/>
      <c r="N57" s="2190"/>
      <c r="O57" s="2197"/>
      <c r="P57" s="2194"/>
    </row>
    <row r="58" spans="1:16" s="2192" customFormat="1" ht="16.5" customHeight="1">
      <c r="A58" s="2186">
        <v>45</v>
      </c>
      <c r="B58" s="2186">
        <v>8</v>
      </c>
      <c r="C58" s="2195"/>
      <c r="D58" s="2196" t="str">
        <f>'Chấm công công nhân'!L58</f>
        <v>Thảo Vi</v>
      </c>
      <c r="E58" s="2188" t="s">
        <v>40</v>
      </c>
      <c r="F58" s="2189">
        <f>'BẢNG LƯƠNG KT'!H63</f>
        <v>0</v>
      </c>
      <c r="G58" s="2189">
        <f>'BẢNG LƯƠNG KT'!L63</f>
        <v>201527</v>
      </c>
      <c r="H58" s="2189">
        <f>'BẢNG LƯƠNG KT'!S63</f>
        <v>1323917</v>
      </c>
      <c r="I58" s="2189"/>
      <c r="J58" s="2189"/>
      <c r="K58" s="2189">
        <f t="shared" si="3"/>
        <v>1525444</v>
      </c>
      <c r="L58" s="2189"/>
      <c r="M58" s="2189"/>
      <c r="N58" s="2190"/>
      <c r="O58" s="2197"/>
      <c r="P58" s="2194"/>
    </row>
    <row r="59" spans="1:16" s="2192" customFormat="1" ht="16.5" customHeight="1">
      <c r="A59" s="2186">
        <v>46</v>
      </c>
      <c r="B59" s="2186">
        <v>9</v>
      </c>
      <c r="C59" s="2195"/>
      <c r="D59" s="2196" t="str">
        <f>'Chấm công công nhân'!L59</f>
        <v>Thảo Văn</v>
      </c>
      <c r="E59" s="2188" t="s">
        <v>40</v>
      </c>
      <c r="F59" s="2189">
        <f>'BẢNG LƯƠNG KT'!H64</f>
        <v>0</v>
      </c>
      <c r="G59" s="2189">
        <f>'BẢNG LƯƠNG KT'!L64</f>
        <v>482866</v>
      </c>
      <c r="H59" s="2189">
        <f>'BẢNG LƯƠNG KT'!S64</f>
        <v>1645510</v>
      </c>
      <c r="I59" s="2189"/>
      <c r="J59" s="2189"/>
      <c r="K59" s="2189">
        <f t="shared" si="3"/>
        <v>2128376</v>
      </c>
      <c r="L59" s="2189"/>
      <c r="M59" s="2189"/>
      <c r="N59" s="2190"/>
      <c r="O59" s="2197"/>
      <c r="P59" s="2194"/>
    </row>
    <row r="60" spans="1:16" s="2192" customFormat="1" ht="16.5" customHeight="1">
      <c r="A60" s="2186">
        <v>47</v>
      </c>
      <c r="B60" s="2186">
        <v>10</v>
      </c>
      <c r="C60" s="2195"/>
      <c r="D60" s="2196" t="str">
        <f>'Chấm công công nhân'!L60</f>
        <v>Nàng Phìn</v>
      </c>
      <c r="E60" s="2188" t="s">
        <v>40</v>
      </c>
      <c r="F60" s="2189">
        <f>'BẢNG LƯƠNG KT'!H65</f>
        <v>0</v>
      </c>
      <c r="G60" s="2189">
        <f>'BẢNG LƯƠNG KT'!L65</f>
        <v>486856</v>
      </c>
      <c r="H60" s="2189">
        <f>'BẢNG LƯƠNG KT'!S65</f>
        <v>1494813</v>
      </c>
      <c r="I60" s="2189"/>
      <c r="J60" s="2189"/>
      <c r="K60" s="2189">
        <f t="shared" si="3"/>
        <v>1981669</v>
      </c>
      <c r="L60" s="2189"/>
      <c r="M60" s="2189"/>
      <c r="N60" s="2190"/>
      <c r="O60" s="2197"/>
      <c r="P60" s="2194"/>
    </row>
    <row r="61" spans="1:16" s="2192" customFormat="1" ht="16.5" customHeight="1">
      <c r="A61" s="2186">
        <v>48</v>
      </c>
      <c r="B61" s="2186">
        <v>11</v>
      </c>
      <c r="C61" s="2195"/>
      <c r="D61" s="2196" t="str">
        <f>'Chấm công công nhân'!L61</f>
        <v>Mẹ Sột</v>
      </c>
      <c r="E61" s="2188" t="s">
        <v>40</v>
      </c>
      <c r="F61" s="2189">
        <f>'BẢNG LƯƠNG KT'!H66</f>
        <v>0</v>
      </c>
      <c r="G61" s="2189">
        <f>'BẢNG LƯƠNG KT'!L66</f>
        <v>408695</v>
      </c>
      <c r="H61" s="2189">
        <f>'BẢNG LƯƠNG KT'!S66</f>
        <v>1494813</v>
      </c>
      <c r="I61" s="2189"/>
      <c r="J61" s="2189"/>
      <c r="K61" s="2189">
        <f t="shared" si="3"/>
        <v>1903508</v>
      </c>
      <c r="L61" s="2189"/>
      <c r="M61" s="2189"/>
      <c r="N61" s="2190"/>
      <c r="O61" s="2197"/>
      <c r="P61" s="2194"/>
    </row>
    <row r="62" spans="1:16" s="2192" customFormat="1" ht="16.5" customHeight="1">
      <c r="A62" s="2186">
        <v>49</v>
      </c>
      <c r="B62" s="2186">
        <v>12</v>
      </c>
      <c r="C62" s="2195"/>
      <c r="D62" s="2196" t="str">
        <f>'Chấm công công nhân'!L62</f>
        <v>Nàng Heo</v>
      </c>
      <c r="E62" s="2188" t="s">
        <v>40</v>
      </c>
      <c r="F62" s="2189">
        <f>'BẢNG LƯƠNG KT'!H67</f>
        <v>0</v>
      </c>
      <c r="G62" s="2189">
        <f>'BẢNG LƯƠNG KT'!L67</f>
        <v>214049</v>
      </c>
      <c r="H62" s="2189">
        <f>'BẢNG LƯƠNG KT'!S67</f>
        <v>1323917</v>
      </c>
      <c r="I62" s="2189"/>
      <c r="J62" s="2189"/>
      <c r="K62" s="2189">
        <f t="shared" si="3"/>
        <v>1537966</v>
      </c>
      <c r="L62" s="2189"/>
      <c r="M62" s="2189"/>
      <c r="N62" s="2190"/>
      <c r="O62" s="2197"/>
      <c r="P62" s="2194"/>
    </row>
    <row r="63" spans="1:16" s="2192" customFormat="1" ht="16.5" customHeight="1">
      <c r="A63" s="2186">
        <v>50</v>
      </c>
      <c r="B63" s="2186">
        <v>13</v>
      </c>
      <c r="C63" s="2195"/>
      <c r="D63" s="2196" t="str">
        <f>'Chấm công công nhân'!L63</f>
        <v>Thảo Chăn Ti</v>
      </c>
      <c r="E63" s="2188" t="s">
        <v>40</v>
      </c>
      <c r="F63" s="2189">
        <f>'BẢNG LƯƠNG KT'!H68</f>
        <v>0</v>
      </c>
      <c r="G63" s="2189">
        <f>'BẢNG LƯƠNG KT'!L68</f>
        <v>141667</v>
      </c>
      <c r="H63" s="2189">
        <f>'BẢNG LƯƠNG KT'!S68</f>
        <v>1173220</v>
      </c>
      <c r="I63" s="2189"/>
      <c r="J63" s="2189"/>
      <c r="K63" s="2189">
        <f t="shared" si="3"/>
        <v>1314887</v>
      </c>
      <c r="L63" s="2189"/>
      <c r="M63" s="2189"/>
      <c r="N63" s="2190"/>
      <c r="O63" s="2197"/>
      <c r="P63" s="2194"/>
    </row>
    <row r="64" spans="1:16" s="2192" customFormat="1" ht="16.5" customHeight="1">
      <c r="A64" s="2186">
        <v>51</v>
      </c>
      <c r="B64" s="2186">
        <v>14</v>
      </c>
      <c r="C64" s="2195"/>
      <c r="D64" s="2196" t="str">
        <f>'Chấm công công nhân'!L64</f>
        <v>Nàng Ve</v>
      </c>
      <c r="E64" s="2188" t="s">
        <v>40</v>
      </c>
      <c r="F64" s="2189">
        <f>'BẢNG LƯƠNG KT'!H69</f>
        <v>0</v>
      </c>
      <c r="G64" s="2189">
        <f>'BẢNG LƯƠNG KT'!L69</f>
        <v>466903</v>
      </c>
      <c r="H64" s="2189">
        <f>'BẢNG LƯƠNG KT'!S69</f>
        <v>1444580</v>
      </c>
      <c r="I64" s="2189"/>
      <c r="J64" s="2189"/>
      <c r="K64" s="2189">
        <f t="shared" si="3"/>
        <v>1911483</v>
      </c>
      <c r="L64" s="2189"/>
      <c r="M64" s="2189"/>
      <c r="N64" s="2190"/>
      <c r="O64" s="2197"/>
      <c r="P64" s="2194"/>
    </row>
    <row r="65" spans="1:17" s="2192" customFormat="1" ht="16.5" customHeight="1">
      <c r="A65" s="2186">
        <v>52</v>
      </c>
      <c r="B65" s="2186">
        <v>15</v>
      </c>
      <c r="C65" s="2195"/>
      <c r="D65" s="2196" t="str">
        <f>'Chấm công công nhân'!L65</f>
        <v>Nàng Phết</v>
      </c>
      <c r="E65" s="2188" t="s">
        <v>40</v>
      </c>
      <c r="F65" s="2189">
        <f>'BẢNG LƯƠNG KT'!H70</f>
        <v>0</v>
      </c>
      <c r="G65" s="2189">
        <f>'BẢNG LƯƠNG KT'!L70</f>
        <v>151093</v>
      </c>
      <c r="H65" s="2189">
        <f>'BẢNG LƯƠNG KT'!S70</f>
        <v>1173220</v>
      </c>
      <c r="I65" s="2189"/>
      <c r="J65" s="2189"/>
      <c r="K65" s="2189">
        <f t="shared" si="3"/>
        <v>1324313</v>
      </c>
      <c r="L65" s="2189"/>
      <c r="M65" s="2189"/>
      <c r="N65" s="2190"/>
      <c r="O65" s="2197"/>
      <c r="P65" s="2194"/>
    </row>
    <row r="66" spans="1:17" s="2192" customFormat="1" ht="16.5" customHeight="1">
      <c r="A66" s="2186">
        <v>53</v>
      </c>
      <c r="B66" s="2186">
        <v>16</v>
      </c>
      <c r="C66" s="2195"/>
      <c r="D66" s="2196" t="str">
        <f>'Chấm công công nhân'!L66</f>
        <v>Thảo On</v>
      </c>
      <c r="E66" s="2188" t="s">
        <v>40</v>
      </c>
      <c r="F66" s="2189">
        <f>'BẢNG LƯƠNG KT'!H71</f>
        <v>0</v>
      </c>
      <c r="G66" s="2189">
        <f>'BẢNG LƯƠNG KT'!L71</f>
        <v>0</v>
      </c>
      <c r="H66" s="2189">
        <f>'BẢNG LƯƠNG KT'!S71</f>
        <v>781462</v>
      </c>
      <c r="I66" s="2189"/>
      <c r="J66" s="2189"/>
      <c r="K66" s="2189">
        <f t="shared" si="3"/>
        <v>781462</v>
      </c>
      <c r="L66" s="2189"/>
      <c r="M66" s="2189"/>
      <c r="N66" s="2190"/>
      <c r="O66" s="2197"/>
      <c r="P66" s="2194"/>
    </row>
    <row r="67" spans="1:17" s="2192" customFormat="1" ht="16.5" customHeight="1">
      <c r="A67" s="2186">
        <v>54</v>
      </c>
      <c r="B67" s="2186">
        <v>17</v>
      </c>
      <c r="C67" s="2195"/>
      <c r="D67" s="2196" t="str">
        <f>'Chấm công công nhân'!L67</f>
        <v>Thảo Sum</v>
      </c>
      <c r="E67" s="2188" t="s">
        <v>40</v>
      </c>
      <c r="F67" s="2189">
        <f>'BẢNG LƯƠNG KT'!H72</f>
        <v>0</v>
      </c>
      <c r="G67" s="2189">
        <f>'BẢNG LƯƠNG KT'!L72</f>
        <v>0</v>
      </c>
      <c r="H67" s="2189">
        <f>'BẢNG LƯƠNG KT'!S72</f>
        <v>781462</v>
      </c>
      <c r="I67" s="2189"/>
      <c r="J67" s="2189"/>
      <c r="K67" s="2189">
        <f t="shared" si="3"/>
        <v>781462</v>
      </c>
      <c r="L67" s="2189"/>
      <c r="M67" s="2189"/>
      <c r="N67" s="2190"/>
      <c r="O67" s="2197"/>
      <c r="P67" s="2194"/>
    </row>
    <row r="68" spans="1:17" s="2192" customFormat="1" ht="16.5" customHeight="1">
      <c r="A68" s="2186">
        <v>55</v>
      </c>
      <c r="B68" s="2186">
        <v>18</v>
      </c>
      <c r="C68" s="2195"/>
      <c r="D68" s="2196" t="str">
        <f>'Chấm công công nhân'!L68</f>
        <v>Cha La</v>
      </c>
      <c r="E68" s="2188" t="s">
        <v>40</v>
      </c>
      <c r="F68" s="2189">
        <f>'BẢNG LƯƠNG KT'!H73</f>
        <v>0</v>
      </c>
      <c r="G68" s="2189">
        <f>'BẢNG LƯƠNG KT'!L73</f>
        <v>0</v>
      </c>
      <c r="H68" s="2189">
        <f>'BẢNG LƯƠNG KT'!S73</f>
        <v>781462</v>
      </c>
      <c r="I68" s="2189"/>
      <c r="J68" s="2189"/>
      <c r="K68" s="2189">
        <f t="shared" si="3"/>
        <v>781462</v>
      </c>
      <c r="L68" s="2189"/>
      <c r="M68" s="2189"/>
      <c r="N68" s="2190"/>
      <c r="O68" s="2197"/>
      <c r="P68" s="2194"/>
    </row>
    <row r="69" spans="1:17" s="2192" customFormat="1" ht="16.5" customHeight="1">
      <c r="A69" s="2186">
        <v>56</v>
      </c>
      <c r="B69" s="2186">
        <v>19</v>
      </c>
      <c r="C69" s="2195"/>
      <c r="D69" s="2196" t="str">
        <f>'Chấm công công nhân'!L69</f>
        <v>Nàng Binh</v>
      </c>
      <c r="E69" s="2188" t="s">
        <v>40</v>
      </c>
      <c r="F69" s="2189">
        <f>'BẢNG LƯƠNG KT'!H74</f>
        <v>0</v>
      </c>
      <c r="G69" s="2189">
        <f>'BẢNG LƯƠNG KT'!L74</f>
        <v>0</v>
      </c>
      <c r="H69" s="2189">
        <f>'BẢNG LƯƠNG KT'!S74</f>
        <v>640731</v>
      </c>
      <c r="I69" s="2189"/>
      <c r="J69" s="2189"/>
      <c r="K69" s="2189">
        <f t="shared" si="3"/>
        <v>640731</v>
      </c>
      <c r="L69" s="2189"/>
      <c r="M69" s="2189"/>
      <c r="N69" s="2190"/>
      <c r="O69" s="2197"/>
      <c r="P69" s="2194"/>
    </row>
    <row r="70" spans="1:17" s="2192" customFormat="1" ht="16.5" hidden="1" customHeight="1">
      <c r="A70" s="2186">
        <v>57</v>
      </c>
      <c r="B70" s="2186">
        <v>20</v>
      </c>
      <c r="C70" s="2195"/>
      <c r="D70" s="2196" t="str">
        <f>'Tong hop cong'!C71</f>
        <v>Thảo e</v>
      </c>
      <c r="E70" s="2188" t="s">
        <v>1139</v>
      </c>
      <c r="F70" s="2189">
        <f>'BẢNG LƯƠNG KT'!H75</f>
        <v>0</v>
      </c>
      <c r="G70" s="2189">
        <f>'BẢNG LƯƠNG KT'!L75</f>
        <v>0</v>
      </c>
      <c r="H70" s="2189">
        <f>'BẢNG LƯƠNG KT'!S75</f>
        <v>0</v>
      </c>
      <c r="I70" s="2189"/>
      <c r="J70" s="2189"/>
      <c r="K70" s="2189">
        <f t="shared" si="3"/>
        <v>0</v>
      </c>
      <c r="L70" s="2189"/>
      <c r="M70" s="2189"/>
      <c r="N70" s="2190"/>
      <c r="O70" s="2197"/>
      <c r="P70" s="2194"/>
    </row>
    <row r="71" spans="1:17" s="2192" customFormat="1" ht="21" customHeight="1">
      <c r="A71" s="4053" t="s">
        <v>371</v>
      </c>
      <c r="B71" s="4054"/>
      <c r="C71" s="4054"/>
      <c r="D71" s="4054"/>
      <c r="E71" s="4055"/>
      <c r="F71" s="2184">
        <f>SUM(F72:F88)</f>
        <v>0</v>
      </c>
      <c r="G71" s="2184">
        <f t="shared" ref="G71:L71" si="4">SUM(G72:G88)</f>
        <v>3586621</v>
      </c>
      <c r="H71" s="2184">
        <f t="shared" si="4"/>
        <v>30400000</v>
      </c>
      <c r="I71" s="2184">
        <f t="shared" si="4"/>
        <v>0</v>
      </c>
      <c r="J71" s="2184"/>
      <c r="K71" s="2184">
        <f>SUM(K72:K88)</f>
        <v>33986621</v>
      </c>
      <c r="L71" s="2184">
        <f t="shared" si="4"/>
        <v>0</v>
      </c>
      <c r="M71" s="2184">
        <f t="shared" ref="M71" si="5">SUM(M72:M79)</f>
        <v>0</v>
      </c>
      <c r="N71" s="2183"/>
      <c r="O71" s="2191" t="e">
        <f>K71-#REF!-#REF!-M71</f>
        <v>#REF!</v>
      </c>
      <c r="P71" s="2194" t="e">
        <f>#REF!-O71</f>
        <v>#REF!</v>
      </c>
    </row>
    <row r="72" spans="1:17" s="1972" customFormat="1" ht="16.5" customHeight="1">
      <c r="A72" s="2186">
        <v>57</v>
      </c>
      <c r="B72" s="2186">
        <v>1</v>
      </c>
      <c r="C72" s="2187"/>
      <c r="D72" s="2196" t="str">
        <f>'Chấm công công nhân'!L71</f>
        <v>Thảo Bun</v>
      </c>
      <c r="E72" s="2196" t="s">
        <v>40</v>
      </c>
      <c r="F72" s="2189">
        <f>'BẢNG LƯƠNG KT'!H77</f>
        <v>0</v>
      </c>
      <c r="G72" s="2189">
        <f>'BẢNG LƯƠNG KT'!L77</f>
        <v>556185</v>
      </c>
      <c r="H72" s="2189">
        <f>'BẢNG LƯƠNG KT'!S77</f>
        <v>2800000</v>
      </c>
      <c r="I72" s="2189">
        <f>'BẢNG LƯƠNG KT'!T77</f>
        <v>0</v>
      </c>
      <c r="J72" s="2189"/>
      <c r="K72" s="2189">
        <f>SUM(F72:J72)</f>
        <v>3356185</v>
      </c>
      <c r="L72" s="2189"/>
      <c r="M72" s="2189"/>
      <c r="N72" s="2198"/>
    </row>
    <row r="73" spans="1:17" s="1972" customFormat="1" ht="16.5" customHeight="1">
      <c r="A73" s="2186">
        <v>58</v>
      </c>
      <c r="B73" s="2186">
        <v>2</v>
      </c>
      <c r="C73" s="2187"/>
      <c r="D73" s="2196" t="str">
        <f>'Chấm công công nhân'!L72</f>
        <v>Thảo Nga</v>
      </c>
      <c r="E73" s="2196" t="s">
        <v>40</v>
      </c>
      <c r="F73" s="2189">
        <f>'BẢNG LƯƠNG KT'!H78</f>
        <v>0</v>
      </c>
      <c r="G73" s="2189">
        <f>'BẢNG LƯƠNG KT'!L78</f>
        <v>504800</v>
      </c>
      <c r="H73" s="2189">
        <f>'BẢNG LƯƠNG KT'!S78</f>
        <v>2300000</v>
      </c>
      <c r="I73" s="2189">
        <f>'BẢNG LƯƠNG KT'!T78</f>
        <v>0</v>
      </c>
      <c r="J73" s="2189"/>
      <c r="K73" s="2189">
        <f t="shared" ref="K73:K86" si="6">SUM(F73:J73)</f>
        <v>2804800</v>
      </c>
      <c r="L73" s="2189"/>
      <c r="M73" s="2189"/>
      <c r="N73" s="2198"/>
      <c r="Q73" s="3272"/>
    </row>
    <row r="74" spans="1:17" s="1972" customFormat="1" ht="16.5" customHeight="1">
      <c r="A74" s="2186">
        <v>59</v>
      </c>
      <c r="B74" s="2186">
        <v>3</v>
      </c>
      <c r="C74" s="2187"/>
      <c r="D74" s="2196" t="str">
        <f>'Chấm công công nhân'!L73</f>
        <v>Thảo Tia</v>
      </c>
      <c r="E74" s="2196" t="s">
        <v>40</v>
      </c>
      <c r="F74" s="2189">
        <f>'BẢNG LƯƠNG KT'!H79</f>
        <v>0</v>
      </c>
      <c r="G74" s="2189">
        <f>'BẢNG LƯƠNG KT'!L79</f>
        <v>563560</v>
      </c>
      <c r="H74" s="2189">
        <f>'BẢNG LƯƠNG KT'!S79</f>
        <v>2400000</v>
      </c>
      <c r="I74" s="2189">
        <f>'BẢNG LƯƠNG KT'!T79</f>
        <v>0</v>
      </c>
      <c r="J74" s="2189"/>
      <c r="K74" s="2189">
        <f t="shared" si="6"/>
        <v>2963560</v>
      </c>
      <c r="L74" s="2189"/>
      <c r="M74" s="2189"/>
      <c r="N74" s="2198"/>
    </row>
    <row r="75" spans="1:17" s="1972" customFormat="1" ht="16.5" customHeight="1">
      <c r="A75" s="2186">
        <v>60</v>
      </c>
      <c r="B75" s="2186">
        <v>4</v>
      </c>
      <c r="C75" s="2187"/>
      <c r="D75" s="2196" t="str">
        <f>'Chấm công công nhân'!L74</f>
        <v>Thảo Nuy</v>
      </c>
      <c r="E75" s="2196" t="s">
        <v>40</v>
      </c>
      <c r="F75" s="2189">
        <f>'BẢNG LƯƠNG KT'!H80</f>
        <v>0</v>
      </c>
      <c r="G75" s="2189">
        <f>'BẢNG LƯƠNG KT'!L80</f>
        <v>538326</v>
      </c>
      <c r="H75" s="2189">
        <f>'BẢNG LƯƠNG KT'!S80</f>
        <v>2300000</v>
      </c>
      <c r="I75" s="2189">
        <f>'BẢNG LƯƠNG KT'!T80</f>
        <v>0</v>
      </c>
      <c r="J75" s="2189"/>
      <c r="K75" s="2189">
        <f t="shared" si="6"/>
        <v>2838326</v>
      </c>
      <c r="L75" s="2189"/>
      <c r="M75" s="2189"/>
      <c r="N75" s="2198"/>
    </row>
    <row r="76" spans="1:17" s="1972" customFormat="1" ht="16.5" customHeight="1">
      <c r="A76" s="2186">
        <v>61</v>
      </c>
      <c r="B76" s="2186">
        <v>5</v>
      </c>
      <c r="C76" s="2187"/>
      <c r="D76" s="2196" t="str">
        <f>'Chấm công công nhân'!L75</f>
        <v>Thảo Xay</v>
      </c>
      <c r="E76" s="2196" t="s">
        <v>40</v>
      </c>
      <c r="F76" s="2189">
        <f>'BẢNG LƯƠNG KT'!H81</f>
        <v>0</v>
      </c>
      <c r="G76" s="2189">
        <f>'BẢNG LƯƠNG KT'!L81</f>
        <v>165835</v>
      </c>
      <c r="H76" s="2189">
        <f>'BẢNG LƯƠNG KT'!S81</f>
        <v>1700000</v>
      </c>
      <c r="I76" s="2189">
        <f>'BẢNG LƯƠNG KT'!T81</f>
        <v>0</v>
      </c>
      <c r="J76" s="2189"/>
      <c r="K76" s="2189">
        <f t="shared" si="6"/>
        <v>1865835</v>
      </c>
      <c r="L76" s="2189"/>
      <c r="M76" s="2189"/>
      <c r="N76" s="2198"/>
    </row>
    <row r="77" spans="1:17" s="1972" customFormat="1" ht="16.5" customHeight="1">
      <c r="A77" s="2186">
        <v>62</v>
      </c>
      <c r="B77" s="2186">
        <v>6</v>
      </c>
      <c r="C77" s="2187"/>
      <c r="D77" s="2196" t="str">
        <f>'Chấm công công nhân'!L76</f>
        <v>Nàng Nọi</v>
      </c>
      <c r="E77" s="2196" t="s">
        <v>40</v>
      </c>
      <c r="F77" s="2189">
        <f>'BẢNG LƯƠNG KT'!H82</f>
        <v>0</v>
      </c>
      <c r="G77" s="2189">
        <f>'BẢNG LƯƠNG KT'!L82</f>
        <v>0</v>
      </c>
      <c r="H77" s="2189">
        <f>'BẢNG LƯƠNG KT'!S82</f>
        <v>1600000</v>
      </c>
      <c r="I77" s="2189">
        <f>'BẢNG LƯƠNG KT'!T82</f>
        <v>0</v>
      </c>
      <c r="J77" s="2189"/>
      <c r="K77" s="2189">
        <f t="shared" si="6"/>
        <v>1600000</v>
      </c>
      <c r="L77" s="2189"/>
      <c r="M77" s="2189"/>
      <c r="N77" s="2198"/>
    </row>
    <row r="78" spans="1:17" s="1972" customFormat="1" ht="16.5" customHeight="1">
      <c r="A78" s="2186">
        <v>63</v>
      </c>
      <c r="B78" s="2186">
        <v>7</v>
      </c>
      <c r="C78" s="2187"/>
      <c r="D78" s="2196" t="str">
        <f>'Chấm công công nhân'!L77</f>
        <v>Thảo Khon</v>
      </c>
      <c r="E78" s="2196" t="s">
        <v>40</v>
      </c>
      <c r="F78" s="2189">
        <f>'BẢNG LƯƠNG KT'!H83</f>
        <v>0</v>
      </c>
      <c r="G78" s="2189">
        <f>'BẢNG LƯƠNG KT'!L83</f>
        <v>566231</v>
      </c>
      <c r="H78" s="2189">
        <f>'BẢNG LƯƠNG KT'!S83</f>
        <v>2300000</v>
      </c>
      <c r="I78" s="2189">
        <f>'BẢNG LƯƠNG KT'!T83</f>
        <v>0</v>
      </c>
      <c r="J78" s="2189"/>
      <c r="K78" s="2189">
        <f t="shared" si="6"/>
        <v>2866231</v>
      </c>
      <c r="L78" s="2189"/>
      <c r="M78" s="2189"/>
      <c r="N78" s="2198"/>
    </row>
    <row r="79" spans="1:17" s="1972" customFormat="1" ht="16.5" customHeight="1">
      <c r="A79" s="2186">
        <v>64</v>
      </c>
      <c r="B79" s="2186">
        <v>8</v>
      </c>
      <c r="C79" s="2187"/>
      <c r="D79" s="2196" t="str">
        <f>'Chấm công công nhân'!L78</f>
        <v>Thảo Tưng</v>
      </c>
      <c r="E79" s="2196" t="s">
        <v>40</v>
      </c>
      <c r="F79" s="2189">
        <f>'BẢNG LƯƠNG KT'!H84</f>
        <v>0</v>
      </c>
      <c r="G79" s="2189">
        <f>'BẢNG LƯƠNG KT'!L84</f>
        <v>58680</v>
      </c>
      <c r="H79" s="2189">
        <f>'BẢNG LƯƠNG KT'!S84</f>
        <v>2000000</v>
      </c>
      <c r="I79" s="2189">
        <f>'BẢNG LƯƠNG KT'!T84</f>
        <v>0</v>
      </c>
      <c r="J79" s="2189"/>
      <c r="K79" s="2189">
        <f t="shared" si="6"/>
        <v>2058680</v>
      </c>
      <c r="L79" s="2189"/>
      <c r="M79" s="2189"/>
      <c r="N79" s="2198"/>
    </row>
    <row r="80" spans="1:17" s="1972" customFormat="1" ht="16.5" customHeight="1">
      <c r="A80" s="2186">
        <v>65</v>
      </c>
      <c r="B80" s="2186">
        <v>9</v>
      </c>
      <c r="C80" s="2556"/>
      <c r="D80" s="2196" t="str">
        <f>'Chấm công công nhân'!L79</f>
        <v>Thảo Bắt</v>
      </c>
      <c r="E80" s="2196" t="s">
        <v>40</v>
      </c>
      <c r="F80" s="2189">
        <f>'BẢNG LƯƠNG KT'!H85</f>
        <v>0</v>
      </c>
      <c r="G80" s="2189">
        <f>'BẢNG LƯƠNG KT'!L85</f>
        <v>451382</v>
      </c>
      <c r="H80" s="2189">
        <f>'BẢNG LƯƠNG KT'!S85</f>
        <v>2600000</v>
      </c>
      <c r="I80" s="2189">
        <f>'BẢNG LƯƠNG KT'!T85</f>
        <v>0</v>
      </c>
      <c r="J80" s="2189"/>
      <c r="K80" s="2189">
        <f t="shared" si="6"/>
        <v>3051382</v>
      </c>
      <c r="L80" s="2189"/>
      <c r="M80" s="2189"/>
      <c r="N80" s="2198"/>
    </row>
    <row r="81" spans="1:16" s="1972" customFormat="1" ht="16.5" customHeight="1">
      <c r="A81" s="2186">
        <v>66</v>
      </c>
      <c r="B81" s="2186">
        <v>10</v>
      </c>
      <c r="C81" s="2556"/>
      <c r="D81" s="2196" t="str">
        <f>'Chấm công công nhân'!L80</f>
        <v>Thảo Lay</v>
      </c>
      <c r="E81" s="2196" t="s">
        <v>40</v>
      </c>
      <c r="F81" s="2189">
        <f>'BẢNG LƯƠNG KT'!H86</f>
        <v>0</v>
      </c>
      <c r="G81" s="2189">
        <f>'BẢNG LƯƠNG KT'!L86</f>
        <v>0</v>
      </c>
      <c r="H81" s="2189">
        <f>'BẢNG LƯƠNG KT'!S86</f>
        <v>500000</v>
      </c>
      <c r="I81" s="2189">
        <f>'BẢNG LƯƠNG KT'!T86</f>
        <v>0</v>
      </c>
      <c r="J81" s="2189"/>
      <c r="K81" s="2189">
        <f t="shared" si="6"/>
        <v>500000</v>
      </c>
      <c r="L81" s="2189"/>
      <c r="M81" s="2189"/>
      <c r="N81" s="2198"/>
    </row>
    <row r="82" spans="1:16" s="1972" customFormat="1" ht="16.5" customHeight="1">
      <c r="A82" s="2186">
        <v>67</v>
      </c>
      <c r="B82" s="2186">
        <v>11</v>
      </c>
      <c r="C82" s="2556"/>
      <c r="D82" s="2196" t="str">
        <f>'Chấm công công nhân'!L81</f>
        <v>Thảo Chăn</v>
      </c>
      <c r="E82" s="2196" t="s">
        <v>40</v>
      </c>
      <c r="F82" s="2189">
        <f>'BẢNG LƯƠNG KT'!H87</f>
        <v>0</v>
      </c>
      <c r="G82" s="2189">
        <f>'BẢNG LƯƠNG KT'!L87</f>
        <v>53418</v>
      </c>
      <c r="H82" s="2189">
        <f>'BẢNG LƯƠNG KT'!S87</f>
        <v>2000000</v>
      </c>
      <c r="I82" s="2189">
        <f>'BẢNG LƯƠNG KT'!T87</f>
        <v>0</v>
      </c>
      <c r="J82" s="2189"/>
      <c r="K82" s="2189">
        <f t="shared" si="6"/>
        <v>2053418</v>
      </c>
      <c r="L82" s="2189"/>
      <c r="M82" s="2189"/>
      <c r="N82" s="2198"/>
    </row>
    <row r="83" spans="1:16" s="1972" customFormat="1" ht="16.5" customHeight="1">
      <c r="A83" s="2186">
        <v>68</v>
      </c>
      <c r="B83" s="2186">
        <v>12</v>
      </c>
      <c r="C83" s="2556"/>
      <c r="D83" s="2196" t="str">
        <f>'Chấm công công nhân'!L82</f>
        <v>Thảo Lăm Ma</v>
      </c>
      <c r="E83" s="2196" t="s">
        <v>40</v>
      </c>
      <c r="F83" s="2189">
        <f>'BẢNG LƯƠNG KT'!H88</f>
        <v>0</v>
      </c>
      <c r="G83" s="2189">
        <f>'BẢNG LƯƠNG KT'!L88</f>
        <v>0</v>
      </c>
      <c r="H83" s="2189">
        <f>'BẢNG LƯƠNG KT'!S88</f>
        <v>600000</v>
      </c>
      <c r="I83" s="2189">
        <f>'BẢNG LƯƠNG KT'!T88</f>
        <v>0</v>
      </c>
      <c r="J83" s="2189"/>
      <c r="K83" s="2189">
        <f t="shared" si="6"/>
        <v>600000</v>
      </c>
      <c r="L83" s="2189"/>
      <c r="M83" s="2189"/>
      <c r="N83" s="2198"/>
    </row>
    <row r="84" spans="1:16" s="1972" customFormat="1" ht="16.5" customHeight="1">
      <c r="A84" s="2186">
        <v>69</v>
      </c>
      <c r="B84" s="2186">
        <v>13</v>
      </c>
      <c r="C84" s="2556"/>
      <c r="D84" s="2196" t="str">
        <f>'Chấm công công nhân'!L83</f>
        <v>Phò Đăm</v>
      </c>
      <c r="E84" s="2196" t="s">
        <v>40</v>
      </c>
      <c r="F84" s="2189">
        <f>'BẢNG LƯƠNG KT'!H89</f>
        <v>0</v>
      </c>
      <c r="G84" s="2189">
        <f>'BẢNG LƯƠNG KT'!L89</f>
        <v>0</v>
      </c>
      <c r="H84" s="2189">
        <f>'BẢNG LƯƠNG KT'!S89</f>
        <v>2200000</v>
      </c>
      <c r="I84" s="2189">
        <f>'BẢNG LƯƠNG KT'!T89</f>
        <v>0</v>
      </c>
      <c r="J84" s="2189"/>
      <c r="K84" s="2189">
        <f t="shared" si="6"/>
        <v>2200000</v>
      </c>
      <c r="L84" s="2189"/>
      <c r="M84" s="2189"/>
      <c r="N84" s="2198"/>
    </row>
    <row r="85" spans="1:16" s="1972" customFormat="1" ht="16.5" customHeight="1">
      <c r="A85" s="2186">
        <v>70</v>
      </c>
      <c r="B85" s="2186">
        <v>14</v>
      </c>
      <c r="C85" s="2556"/>
      <c r="D85" s="2196" t="str">
        <f>'Chấm công công nhân'!L84</f>
        <v>Thảo Đăm Đi</v>
      </c>
      <c r="E85" s="2196" t="s">
        <v>40</v>
      </c>
      <c r="F85" s="2189">
        <f>'BẢNG LƯƠNG KT'!H90</f>
        <v>0</v>
      </c>
      <c r="G85" s="2189">
        <f>'BẢNG LƯƠNG KT'!L90</f>
        <v>0</v>
      </c>
      <c r="H85" s="2189">
        <f>'BẢNG LƯƠNG KT'!S90</f>
        <v>600000</v>
      </c>
      <c r="I85" s="2189">
        <f>'BẢNG LƯƠNG KT'!T90</f>
        <v>0</v>
      </c>
      <c r="J85" s="2189"/>
      <c r="K85" s="2189">
        <f t="shared" si="6"/>
        <v>600000</v>
      </c>
      <c r="L85" s="2189"/>
      <c r="M85" s="2189"/>
      <c r="N85" s="2198"/>
    </row>
    <row r="86" spans="1:16" s="1972" customFormat="1" ht="16.5" customHeight="1">
      <c r="A86" s="2186">
        <v>71</v>
      </c>
      <c r="B86" s="2186">
        <v>15</v>
      </c>
      <c r="C86" s="2556"/>
      <c r="D86" s="2196" t="str">
        <f>'Chấm công công nhân'!L85</f>
        <v xml:space="preserve"> Thảo Khên </v>
      </c>
      <c r="E86" s="2196" t="s">
        <v>40</v>
      </c>
      <c r="F86" s="2189">
        <f>'BẢNG LƯƠNG KT'!H91</f>
        <v>0</v>
      </c>
      <c r="G86" s="2189">
        <f>'BẢNG LƯƠNG KT'!L91</f>
        <v>34722</v>
      </c>
      <c r="H86" s="2189">
        <f>'BẢNG LƯƠNG KT'!S91</f>
        <v>2000000</v>
      </c>
      <c r="I86" s="2189">
        <f>'BẢNG LƯƠNG KT'!T91</f>
        <v>0</v>
      </c>
      <c r="J86" s="2189"/>
      <c r="K86" s="2189">
        <f t="shared" si="6"/>
        <v>2034722</v>
      </c>
      <c r="L86" s="2189"/>
      <c r="M86" s="2189"/>
      <c r="N86" s="2198"/>
    </row>
    <row r="87" spans="1:16" s="1972" customFormat="1" ht="16.5" customHeight="1">
      <c r="A87" s="2186">
        <v>72</v>
      </c>
      <c r="B87" s="2186">
        <v>16</v>
      </c>
      <c r="C87" s="2556"/>
      <c r="D87" s="2196" t="str">
        <f>'Chấm công công nhân'!L86</f>
        <v xml:space="preserve"> Thảo Đăm </v>
      </c>
      <c r="E87" s="2196" t="s">
        <v>40</v>
      </c>
      <c r="F87" s="2189">
        <f>'BẢNG LƯƠNG KT'!H92</f>
        <v>0</v>
      </c>
      <c r="G87" s="2189">
        <f>'BẢNG LƯƠNG KT'!L92</f>
        <v>93482</v>
      </c>
      <c r="H87" s="2189">
        <f>'BẢNG LƯƠNG KT'!S92</f>
        <v>2500000</v>
      </c>
      <c r="I87" s="2189"/>
      <c r="J87" s="2189"/>
      <c r="K87" s="2189">
        <f t="shared" ref="K87:K88" si="7">SUM(F87:H87)</f>
        <v>2593482</v>
      </c>
      <c r="L87" s="2189"/>
      <c r="M87" s="2189"/>
      <c r="N87" s="2198"/>
    </row>
    <row r="88" spans="1:16" s="1972" customFormat="1" ht="16.5" hidden="1" customHeight="1">
      <c r="A88" s="2186">
        <v>73</v>
      </c>
      <c r="B88" s="2186">
        <v>17</v>
      </c>
      <c r="C88" s="2556"/>
      <c r="D88" s="2557" t="str">
        <f>'Tong hop cong'!C50</f>
        <v>Thảo e</v>
      </c>
      <c r="E88" s="2558" t="s">
        <v>259</v>
      </c>
      <c r="F88" s="2189">
        <f>'BẢNG LƯƠNG KT'!H93</f>
        <v>0</v>
      </c>
      <c r="G88" s="2189">
        <f>'BẢNG LƯƠNG KT'!L93</f>
        <v>0</v>
      </c>
      <c r="H88" s="2189">
        <f>'BẢNG LƯƠNG KT'!S93</f>
        <v>0</v>
      </c>
      <c r="I88" s="2189"/>
      <c r="J88" s="2189"/>
      <c r="K88" s="2189">
        <f t="shared" si="7"/>
        <v>0</v>
      </c>
      <c r="L88" s="2189"/>
      <c r="M88" s="2189"/>
      <c r="N88" s="2198"/>
    </row>
    <row r="89" spans="1:16" s="2202" customFormat="1" ht="18.75" customHeight="1">
      <c r="A89" s="4053" t="s">
        <v>1187</v>
      </c>
      <c r="B89" s="4054"/>
      <c r="C89" s="4054"/>
      <c r="D89" s="4054"/>
      <c r="E89" s="4055"/>
      <c r="F89" s="2184"/>
      <c r="G89" s="2184"/>
      <c r="H89" s="2184"/>
      <c r="I89" s="2184"/>
      <c r="J89" s="2184"/>
      <c r="K89" s="2184">
        <f>SUM(K90:K103)</f>
        <v>36400000</v>
      </c>
      <c r="L89" s="2184"/>
      <c r="M89" s="2184"/>
      <c r="N89" s="2199"/>
      <c r="O89" s="2200"/>
      <c r="P89" s="2201"/>
    </row>
    <row r="90" spans="1:16" s="2277" customFormat="1" ht="17.25" customHeight="1">
      <c r="A90" s="2186">
        <v>73</v>
      </c>
      <c r="B90" s="2186">
        <v>1</v>
      </c>
      <c r="C90" s="2187"/>
      <c r="D90" s="2196" t="str">
        <f>BV!C12</f>
        <v>Phò Đan</v>
      </c>
      <c r="E90" s="2196" t="s">
        <v>1705</v>
      </c>
      <c r="F90" s="2189"/>
      <c r="G90" s="2189"/>
      <c r="H90" s="2189"/>
      <c r="I90" s="2189"/>
      <c r="J90" s="2189"/>
      <c r="K90" s="2189">
        <f>BV!U12</f>
        <v>2600000</v>
      </c>
      <c r="L90" s="2189"/>
      <c r="M90" s="2189"/>
      <c r="N90" s="2188"/>
      <c r="O90" s="2275"/>
      <c r="P90" s="2276"/>
    </row>
    <row r="91" spans="1:16" s="2277" customFormat="1" ht="17.25" customHeight="1">
      <c r="A91" s="2186">
        <v>74</v>
      </c>
      <c r="B91" s="2186">
        <v>2</v>
      </c>
      <c r="C91" s="2187"/>
      <c r="D91" s="2196" t="str">
        <f>BV!C13</f>
        <v>Sâm Say</v>
      </c>
      <c r="E91" s="2196" t="s">
        <v>1705</v>
      </c>
      <c r="F91" s="2189"/>
      <c r="G91" s="2189"/>
      <c r="H91" s="2189"/>
      <c r="I91" s="2189"/>
      <c r="J91" s="2189"/>
      <c r="K91" s="2189">
        <f>BV!U13</f>
        <v>2600000</v>
      </c>
      <c r="L91" s="2189"/>
      <c r="M91" s="2189"/>
      <c r="N91" s="2188"/>
      <c r="O91" s="2275"/>
      <c r="P91" s="2276"/>
    </row>
    <row r="92" spans="1:16" s="2277" customFormat="1" ht="17.25" customHeight="1">
      <c r="A92" s="2186">
        <v>75</v>
      </c>
      <c r="B92" s="2186">
        <v>3</v>
      </c>
      <c r="C92" s="2187"/>
      <c r="D92" s="2196" t="str">
        <f>BV!C14</f>
        <v>Thảo Chanh</v>
      </c>
      <c r="E92" s="2196" t="s">
        <v>1705</v>
      </c>
      <c r="F92" s="2189"/>
      <c r="G92" s="2189"/>
      <c r="H92" s="2189"/>
      <c r="I92" s="2189"/>
      <c r="J92" s="2189"/>
      <c r="K92" s="2189">
        <f>BV!U14</f>
        <v>2600000</v>
      </c>
      <c r="L92" s="2189"/>
      <c r="M92" s="2189"/>
      <c r="N92" s="2188"/>
      <c r="O92" s="2275"/>
      <c r="P92" s="2276"/>
    </row>
    <row r="93" spans="1:16" s="2277" customFormat="1" ht="17.25" customHeight="1">
      <c r="A93" s="2186">
        <v>76</v>
      </c>
      <c r="B93" s="2186">
        <v>4</v>
      </c>
      <c r="C93" s="2187"/>
      <c r="D93" s="2196" t="str">
        <f>BV!C15</f>
        <v>Phò Viu</v>
      </c>
      <c r="E93" s="2196" t="s">
        <v>1705</v>
      </c>
      <c r="F93" s="2189"/>
      <c r="G93" s="2189"/>
      <c r="H93" s="2189"/>
      <c r="I93" s="2189"/>
      <c r="J93" s="2189"/>
      <c r="K93" s="2189">
        <f>BV!U15</f>
        <v>2600000</v>
      </c>
      <c r="L93" s="2189"/>
      <c r="M93" s="2189"/>
      <c r="N93" s="2188"/>
      <c r="O93" s="2275"/>
      <c r="P93" s="2276"/>
    </row>
    <row r="94" spans="1:16" s="2277" customFormat="1" ht="17.25" customHeight="1">
      <c r="A94" s="2186">
        <v>77</v>
      </c>
      <c r="B94" s="2186">
        <v>5</v>
      </c>
      <c r="C94" s="2556"/>
      <c r="D94" s="2196" t="str">
        <f>BV!C16</f>
        <v>Thảo Mi</v>
      </c>
      <c r="E94" s="2196" t="s">
        <v>1706</v>
      </c>
      <c r="F94" s="2189"/>
      <c r="G94" s="2189"/>
      <c r="H94" s="2189"/>
      <c r="I94" s="2189"/>
      <c r="J94" s="2189"/>
      <c r="K94" s="2189">
        <f>BV!U16</f>
        <v>2600000</v>
      </c>
      <c r="L94" s="2189"/>
      <c r="M94" s="2189"/>
      <c r="N94" s="2188"/>
      <c r="O94" s="2275"/>
      <c r="P94" s="2276"/>
    </row>
    <row r="95" spans="1:16" s="2277" customFormat="1" ht="17.25" customHeight="1">
      <c r="A95" s="2186">
        <v>78</v>
      </c>
      <c r="B95" s="2186">
        <v>6</v>
      </c>
      <c r="C95" s="2556"/>
      <c r="D95" s="2196" t="str">
        <f>BV!C17</f>
        <v>Thảo Xi</v>
      </c>
      <c r="E95" s="2196" t="s">
        <v>1706</v>
      </c>
      <c r="F95" s="2189"/>
      <c r="G95" s="2189"/>
      <c r="H95" s="2189"/>
      <c r="I95" s="2189"/>
      <c r="J95" s="2189"/>
      <c r="K95" s="2189">
        <f>BV!U17</f>
        <v>2600000</v>
      </c>
      <c r="L95" s="2189"/>
      <c r="M95" s="2189"/>
      <c r="N95" s="2188"/>
      <c r="O95" s="2275"/>
      <c r="P95" s="2276"/>
    </row>
    <row r="96" spans="1:16" s="2277" customFormat="1" ht="17.25" customHeight="1">
      <c r="A96" s="2186">
        <v>79</v>
      </c>
      <c r="B96" s="2186">
        <v>7</v>
      </c>
      <c r="C96" s="2556"/>
      <c r="D96" s="2196" t="str">
        <f>BV!C18</f>
        <v>Thảo Cu Đê</v>
      </c>
      <c r="E96" s="2196" t="s">
        <v>1706</v>
      </c>
      <c r="F96" s="2189"/>
      <c r="G96" s="2189"/>
      <c r="H96" s="2189"/>
      <c r="I96" s="2189"/>
      <c r="J96" s="2189"/>
      <c r="K96" s="2189">
        <f>BV!U18</f>
        <v>2600000</v>
      </c>
      <c r="L96" s="2189"/>
      <c r="M96" s="2189"/>
      <c r="N96" s="2188"/>
      <c r="O96" s="2275"/>
      <c r="P96" s="2276"/>
    </row>
    <row r="97" spans="1:17" s="2277" customFormat="1" ht="17.25" customHeight="1">
      <c r="A97" s="2186">
        <v>80</v>
      </c>
      <c r="B97" s="2186">
        <v>8</v>
      </c>
      <c r="C97" s="2556"/>
      <c r="D97" s="2196" t="str">
        <f>BV!C19</f>
        <v>Thảo Đin</v>
      </c>
      <c r="E97" s="2196" t="s">
        <v>1706</v>
      </c>
      <c r="F97" s="2189"/>
      <c r="G97" s="2189"/>
      <c r="H97" s="2189"/>
      <c r="I97" s="2189"/>
      <c r="J97" s="2189"/>
      <c r="K97" s="2189">
        <f>BV!U19</f>
        <v>2600000</v>
      </c>
      <c r="L97" s="2189"/>
      <c r="M97" s="2189"/>
      <c r="N97" s="2188"/>
      <c r="O97" s="2275"/>
      <c r="P97" s="2276"/>
    </row>
    <row r="98" spans="1:17" s="2277" customFormat="1" ht="17.25" customHeight="1">
      <c r="A98" s="2186">
        <v>81</v>
      </c>
      <c r="B98" s="2186">
        <v>9</v>
      </c>
      <c r="C98" s="2556"/>
      <c r="D98" s="2196" t="str">
        <f>BV!C20</f>
        <v>Thảo Pong</v>
      </c>
      <c r="E98" s="2196" t="s">
        <v>1706</v>
      </c>
      <c r="F98" s="2189"/>
      <c r="G98" s="2189"/>
      <c r="H98" s="2189"/>
      <c r="I98" s="2189"/>
      <c r="J98" s="2189"/>
      <c r="K98" s="2189">
        <f>BV!U20</f>
        <v>2600000</v>
      </c>
      <c r="L98" s="2189"/>
      <c r="M98" s="2189"/>
      <c r="N98" s="2188"/>
      <c r="O98" s="2275"/>
      <c r="P98" s="2276"/>
    </row>
    <row r="99" spans="1:17" s="2277" customFormat="1" ht="17.25" customHeight="1">
      <c r="A99" s="2186">
        <v>82</v>
      </c>
      <c r="B99" s="2186">
        <v>10</v>
      </c>
      <c r="C99" s="2556"/>
      <c r="D99" s="2196" t="str">
        <f>BV!C21</f>
        <v>Thảo Mút</v>
      </c>
      <c r="E99" s="2196" t="s">
        <v>1706</v>
      </c>
      <c r="F99" s="2189"/>
      <c r="G99" s="2189"/>
      <c r="H99" s="2189"/>
      <c r="I99" s="2189"/>
      <c r="J99" s="2189"/>
      <c r="K99" s="2189">
        <f>BV!U21</f>
        <v>2600000</v>
      </c>
      <c r="L99" s="2189"/>
      <c r="M99" s="2189"/>
      <c r="N99" s="2188"/>
      <c r="O99" s="2275"/>
      <c r="P99" s="2276"/>
    </row>
    <row r="100" spans="1:17" s="2277" customFormat="1" ht="17.25" customHeight="1">
      <c r="A100" s="2186">
        <v>83</v>
      </c>
      <c r="B100" s="2186">
        <v>11</v>
      </c>
      <c r="C100" s="2556"/>
      <c r="D100" s="2196" t="str">
        <f>BV!C22</f>
        <v>Thảo Đăm</v>
      </c>
      <c r="E100" s="2196" t="s">
        <v>1706</v>
      </c>
      <c r="F100" s="2189"/>
      <c r="G100" s="2189"/>
      <c r="H100" s="2189"/>
      <c r="I100" s="2189"/>
      <c r="J100" s="2189"/>
      <c r="K100" s="2189">
        <f>BV!U22</f>
        <v>2600000</v>
      </c>
      <c r="L100" s="2189"/>
      <c r="M100" s="2189"/>
      <c r="N100" s="2188"/>
      <c r="O100" s="2275"/>
      <c r="P100" s="2276"/>
    </row>
    <row r="101" spans="1:17" s="2277" customFormat="1" ht="17.25" customHeight="1">
      <c r="A101" s="2186">
        <v>84</v>
      </c>
      <c r="B101" s="2186">
        <v>12</v>
      </c>
      <c r="C101" s="2556"/>
      <c r="D101" s="2196" t="str">
        <f>BV!C23</f>
        <v>Phò Đăm</v>
      </c>
      <c r="E101" s="2196" t="s">
        <v>1706</v>
      </c>
      <c r="F101" s="2189"/>
      <c r="G101" s="2189"/>
      <c r="H101" s="2189"/>
      <c r="I101" s="2189"/>
      <c r="J101" s="2189"/>
      <c r="K101" s="2189">
        <f>BV!U23</f>
        <v>2600000</v>
      </c>
      <c r="L101" s="2189"/>
      <c r="M101" s="2189"/>
      <c r="N101" s="2188"/>
      <c r="O101" s="2275"/>
      <c r="P101" s="2276"/>
    </row>
    <row r="102" spans="1:17" s="2277" customFormat="1" ht="17.25" customHeight="1">
      <c r="A102" s="2186">
        <v>85</v>
      </c>
      <c r="B102" s="2186">
        <v>13</v>
      </c>
      <c r="C102" s="2556"/>
      <c r="D102" s="2196" t="str">
        <f>BV!C24</f>
        <v>Thảo Bay</v>
      </c>
      <c r="E102" s="2196" t="s">
        <v>1706</v>
      </c>
      <c r="F102" s="2189"/>
      <c r="G102" s="2189"/>
      <c r="H102" s="2189"/>
      <c r="I102" s="2189"/>
      <c r="J102" s="2189"/>
      <c r="K102" s="2189">
        <f>BV!U24</f>
        <v>2600000</v>
      </c>
      <c r="L102" s="2189"/>
      <c r="M102" s="2189"/>
      <c r="N102" s="2188"/>
      <c r="O102" s="2275"/>
      <c r="P102" s="2276"/>
    </row>
    <row r="103" spans="1:17" s="2277" customFormat="1" ht="17.25" customHeight="1">
      <c r="A103" s="2186">
        <v>86</v>
      </c>
      <c r="B103" s="2186">
        <v>14</v>
      </c>
      <c r="C103" s="2556"/>
      <c r="D103" s="2196" t="str">
        <f>BV!C25</f>
        <v>Thảo Bê</v>
      </c>
      <c r="E103" s="2196" t="s">
        <v>1706</v>
      </c>
      <c r="F103" s="2189"/>
      <c r="G103" s="2189"/>
      <c r="H103" s="2189"/>
      <c r="I103" s="2189"/>
      <c r="J103" s="2189"/>
      <c r="K103" s="2189">
        <f>BV!U25</f>
        <v>2600000</v>
      </c>
      <c r="L103" s="2189"/>
      <c r="M103" s="2189"/>
      <c r="N103" s="2188"/>
      <c r="O103" s="2275"/>
      <c r="P103" s="2276"/>
    </row>
    <row r="104" spans="1:17" s="2192" customFormat="1" ht="31.5" customHeight="1">
      <c r="A104" s="4060" t="s">
        <v>1188</v>
      </c>
      <c r="B104" s="4061"/>
      <c r="C104" s="4061"/>
      <c r="D104" s="4061"/>
      <c r="E104" s="4062"/>
      <c r="F104" s="2184">
        <f t="shared" ref="F104:L104" si="8">F11+F50+F71</f>
        <v>0</v>
      </c>
      <c r="G104" s="2184">
        <f t="shared" si="8"/>
        <v>21440660</v>
      </c>
      <c r="H104" s="2184">
        <f t="shared" si="8"/>
        <v>107663002</v>
      </c>
      <c r="I104" s="2184"/>
      <c r="J104" s="2184"/>
      <c r="K104" s="2184">
        <f t="shared" si="8"/>
        <v>129103662</v>
      </c>
      <c r="L104" s="2184">
        <f t="shared" si="8"/>
        <v>0</v>
      </c>
      <c r="M104" s="2184" t="e">
        <f>M11+M50+M71+#REF!</f>
        <v>#REF!</v>
      </c>
      <c r="N104" s="2203"/>
      <c r="O104" s="2204"/>
      <c r="P104" s="2205"/>
      <c r="Q104" s="3554">
        <f>'1'!U52+'2'!U39+'3'!S33</f>
        <v>129103662</v>
      </c>
    </row>
    <row r="105" spans="1:17" s="2192" customFormat="1" ht="27.75" customHeight="1">
      <c r="A105" s="4060" t="s">
        <v>1189</v>
      </c>
      <c r="B105" s="4061"/>
      <c r="C105" s="4061"/>
      <c r="D105" s="4061"/>
      <c r="E105" s="4062"/>
      <c r="F105" s="2184"/>
      <c r="G105" s="2184"/>
      <c r="H105" s="2184"/>
      <c r="I105" s="2184"/>
      <c r="J105" s="2184"/>
      <c r="K105" s="2184">
        <f>K89</f>
        <v>36400000</v>
      </c>
      <c r="L105" s="2184">
        <f>L89</f>
        <v>0</v>
      </c>
      <c r="M105" s="2184"/>
      <c r="N105" s="2203"/>
      <c r="O105" s="2204"/>
      <c r="P105" s="2205"/>
      <c r="Q105" s="3253">
        <f>F106+H106+G106+J71+K105</f>
        <v>165503662</v>
      </c>
    </row>
    <row r="106" spans="1:17" s="2192" customFormat="1" ht="21.75" customHeight="1">
      <c r="A106" s="4063" t="s">
        <v>1191</v>
      </c>
      <c r="B106" s="4064"/>
      <c r="C106" s="4064"/>
      <c r="D106" s="4064"/>
      <c r="E106" s="4065"/>
      <c r="F106" s="2184">
        <f>SUM(F104:F105)</f>
        <v>0</v>
      </c>
      <c r="G106" s="2184">
        <f t="shared" ref="G106:L106" si="9">SUM(G104:G105)</f>
        <v>21440660</v>
      </c>
      <c r="H106" s="2184">
        <f t="shared" si="9"/>
        <v>107663002</v>
      </c>
      <c r="I106" s="2184"/>
      <c r="J106" s="2184"/>
      <c r="K106" s="2184">
        <f t="shared" si="9"/>
        <v>165503662</v>
      </c>
      <c r="L106" s="2184">
        <f t="shared" si="9"/>
        <v>0</v>
      </c>
      <c r="M106" s="2184" t="e">
        <f>SUM(M104:M105)</f>
        <v>#REF!</v>
      </c>
      <c r="N106" s="2206"/>
      <c r="O106" s="2191"/>
      <c r="P106" s="2194"/>
      <c r="Q106" s="3253">
        <f>K104+K105</f>
        <v>165503662</v>
      </c>
    </row>
    <row r="107" spans="1:17" s="2192" customFormat="1" ht="21.75" customHeight="1">
      <c r="A107" s="4057" t="s">
        <v>1920</v>
      </c>
      <c r="B107" s="4057"/>
      <c r="C107" s="4057"/>
      <c r="D107" s="4057"/>
      <c r="E107" s="4057"/>
      <c r="F107" s="4057"/>
      <c r="G107" s="4057"/>
      <c r="H107" s="4057"/>
      <c r="I107" s="4057"/>
      <c r="J107" s="4057"/>
      <c r="K107" s="4057"/>
      <c r="L107" s="4057"/>
      <c r="M107" s="4057"/>
      <c r="N107" s="4057"/>
      <c r="O107" s="2191"/>
      <c r="P107" s="2194"/>
      <c r="Q107" s="3253"/>
    </row>
    <row r="108" spans="1:17">
      <c r="B108" s="2168"/>
      <c r="C108" s="2207"/>
      <c r="D108" s="2176"/>
      <c r="E108" s="2176"/>
      <c r="F108" s="2177"/>
      <c r="G108" s="2176"/>
      <c r="H108" s="2176"/>
      <c r="I108" s="2176"/>
      <c r="J108" s="2176"/>
      <c r="K108" s="4058" t="s">
        <v>1914</v>
      </c>
      <c r="L108" s="4058"/>
      <c r="M108" s="4058"/>
      <c r="N108" s="4058"/>
      <c r="O108" s="2208"/>
      <c r="Q108" s="2209"/>
    </row>
    <row r="109" spans="1:17" s="2212" customFormat="1">
      <c r="A109" s="4037" t="s">
        <v>45</v>
      </c>
      <c r="B109" s="4037"/>
      <c r="C109" s="4037"/>
      <c r="D109" s="4037"/>
      <c r="E109" s="4037"/>
      <c r="F109" s="4036" t="s">
        <v>44</v>
      </c>
      <c r="G109" s="4036"/>
      <c r="H109" s="4036"/>
      <c r="I109" s="2938"/>
      <c r="J109" s="3265"/>
      <c r="K109" s="4037" t="s">
        <v>615</v>
      </c>
      <c r="L109" s="4037"/>
      <c r="M109" s="4037"/>
      <c r="N109" s="4037"/>
      <c r="O109" s="2209"/>
      <c r="P109" s="2211"/>
      <c r="Q109" s="2211">
        <f>'1'!U52+'2'!U39+'3'!S33+BV!U26</f>
        <v>165503662</v>
      </c>
    </row>
    <row r="110" spans="1:17" s="2212" customFormat="1">
      <c r="A110" s="2168"/>
      <c r="B110" s="2160"/>
      <c r="C110" s="2213"/>
      <c r="D110" s="2160"/>
      <c r="E110" s="2160"/>
      <c r="F110" s="2214"/>
      <c r="G110" s="2215"/>
      <c r="H110" s="2215"/>
      <c r="I110" s="2215"/>
      <c r="J110" s="2215"/>
      <c r="K110" s="2216"/>
      <c r="L110" s="2160"/>
      <c r="M110" s="2160"/>
      <c r="N110" s="2160"/>
      <c r="O110" s="2217"/>
      <c r="P110" s="2211"/>
    </row>
    <row r="111" spans="1:17" s="2212" customFormat="1">
      <c r="A111" s="2168"/>
      <c r="B111" s="2160"/>
      <c r="C111" s="2213"/>
      <c r="D111" s="2160"/>
      <c r="E111" s="2160"/>
      <c r="F111" s="2214"/>
      <c r="G111" s="2215"/>
      <c r="H111" s="2215"/>
      <c r="I111" s="2215"/>
      <c r="J111" s="2215"/>
      <c r="K111" s="2216"/>
      <c r="L111" s="2160"/>
      <c r="M111" s="2160"/>
      <c r="N111" s="2160"/>
      <c r="O111" s="2170"/>
    </row>
    <row r="112" spans="1:17">
      <c r="B112" s="2168"/>
      <c r="C112" s="2207"/>
      <c r="D112" s="2176"/>
      <c r="E112" s="2176"/>
      <c r="F112" s="2218"/>
      <c r="G112" s="2218"/>
      <c r="H112" s="2218"/>
      <c r="I112" s="2218"/>
      <c r="J112" s="2218"/>
      <c r="K112" s="2218"/>
      <c r="L112" s="2218"/>
      <c r="M112" s="2218"/>
      <c r="N112" s="2219"/>
      <c r="O112" s="2209"/>
    </row>
    <row r="113" spans="2:16">
      <c r="B113" s="2168"/>
      <c r="C113" s="2207"/>
      <c r="D113" s="2176"/>
      <c r="E113" s="2176"/>
      <c r="F113" s="2218"/>
      <c r="G113" s="2218"/>
      <c r="H113" s="2218"/>
      <c r="I113" s="2218"/>
      <c r="J113" s="2218"/>
      <c r="K113" s="2218"/>
      <c r="L113" s="2218"/>
      <c r="M113" s="2218"/>
      <c r="N113" s="2219"/>
      <c r="O113" s="2209"/>
    </row>
    <row r="114" spans="2:16">
      <c r="B114" s="2168"/>
      <c r="C114" s="2207"/>
      <c r="D114" s="2176"/>
      <c r="E114" s="2176"/>
      <c r="F114" s="2218"/>
      <c r="G114" s="2218"/>
      <c r="H114" s="2218"/>
      <c r="I114" s="2218"/>
      <c r="J114" s="2218"/>
      <c r="K114" s="2218"/>
      <c r="L114" s="2218"/>
      <c r="M114" s="2218"/>
      <c r="N114" s="2219"/>
      <c r="O114" s="2209"/>
    </row>
    <row r="115" spans="2:16">
      <c r="B115" s="2168"/>
      <c r="C115" s="2207"/>
      <c r="D115" s="2176"/>
      <c r="E115" s="2176"/>
      <c r="F115" s="2220"/>
      <c r="G115" s="2220"/>
      <c r="H115" s="2221"/>
      <c r="I115" s="2221"/>
      <c r="J115" s="2221"/>
      <c r="K115" s="2221"/>
      <c r="L115" s="2220"/>
      <c r="M115" s="2220"/>
      <c r="N115" s="2176"/>
    </row>
    <row r="116" spans="2:16">
      <c r="B116" s="2168"/>
      <c r="C116" s="2207"/>
      <c r="D116" s="2176"/>
      <c r="E116" s="2176"/>
      <c r="F116" s="2220"/>
      <c r="G116" s="2222"/>
      <c r="H116" s="2221"/>
      <c r="I116" s="2221"/>
      <c r="J116" s="2221"/>
      <c r="K116" s="2221"/>
      <c r="L116" s="2220"/>
      <c r="M116" s="2220"/>
      <c r="N116" s="2176"/>
    </row>
    <row r="117" spans="2:16">
      <c r="B117" s="2168"/>
      <c r="C117" s="2207"/>
      <c r="D117" s="2176"/>
      <c r="E117" s="2176"/>
      <c r="F117" s="2177"/>
      <c r="G117" s="2223"/>
      <c r="H117" s="2224"/>
      <c r="I117" s="2224"/>
      <c r="J117" s="2224"/>
      <c r="K117" s="4037"/>
      <c r="L117" s="4037"/>
      <c r="M117" s="2210"/>
      <c r="N117" s="2210"/>
      <c r="O117" s="2217"/>
    </row>
    <row r="118" spans="2:16">
      <c r="B118" s="2168"/>
      <c r="C118" s="2207"/>
      <c r="D118" s="2176"/>
      <c r="E118" s="2176"/>
      <c r="F118" s="2177"/>
      <c r="G118" s="2225"/>
      <c r="H118" s="2226"/>
      <c r="I118" s="2226"/>
      <c r="J118" s="2226"/>
      <c r="K118" s="2227"/>
      <c r="L118" s="2177"/>
      <c r="M118" s="2176"/>
      <c r="N118" s="2176"/>
    </row>
    <row r="119" spans="2:16">
      <c r="B119" s="2168"/>
      <c r="C119" s="2207"/>
      <c r="D119" s="2176"/>
      <c r="E119" s="2176"/>
      <c r="F119" s="2228"/>
      <c r="G119" s="2229"/>
      <c r="H119" s="2229"/>
      <c r="I119" s="2229"/>
      <c r="J119" s="2229"/>
      <c r="K119" s="2230"/>
      <c r="L119" s="3357"/>
      <c r="M119" s="2176"/>
      <c r="N119" s="2176"/>
    </row>
    <row r="120" spans="2:16">
      <c r="F120" s="2231"/>
      <c r="G120" s="4038"/>
      <c r="H120" s="4038"/>
      <c r="I120" s="2939"/>
      <c r="J120" s="3266"/>
      <c r="K120" s="2208"/>
      <c r="O120" s="2209"/>
      <c r="P120" s="2209"/>
    </row>
    <row r="121" spans="2:16">
      <c r="F121" s="2231"/>
      <c r="G121" s="4039"/>
      <c r="H121" s="4035"/>
      <c r="I121" s="2937"/>
      <c r="J121" s="3264"/>
      <c r="K121" s="2232"/>
      <c r="L121" s="2232"/>
    </row>
    <row r="122" spans="2:16" ht="18.75">
      <c r="F122" s="2233"/>
      <c r="G122" s="4040"/>
      <c r="H122" s="4041"/>
      <c r="I122" s="2940"/>
      <c r="J122" s="3267"/>
      <c r="K122" s="2234"/>
      <c r="L122" s="2208"/>
    </row>
    <row r="123" spans="2:16">
      <c r="G123" s="4034"/>
      <c r="H123" s="4035"/>
      <c r="I123" s="2937"/>
      <c r="J123" s="3264"/>
      <c r="K123" s="2209"/>
    </row>
    <row r="124" spans="2:16">
      <c r="H124" s="2217"/>
      <c r="I124" s="2217"/>
      <c r="J124" s="2217"/>
      <c r="K124" s="2234"/>
    </row>
    <row r="125" spans="2:16">
      <c r="H125" s="2209"/>
      <c r="I125" s="2209"/>
      <c r="J125" s="2209"/>
      <c r="K125" s="2209"/>
      <c r="L125" s="2208"/>
    </row>
    <row r="126" spans="2:16">
      <c r="H126" s="2234"/>
      <c r="I126" s="2234"/>
      <c r="J126" s="2234"/>
      <c r="K126" s="2217"/>
    </row>
    <row r="127" spans="2:16">
      <c r="F127" s="2231"/>
    </row>
    <row r="128" spans="2:16">
      <c r="F128" s="2231"/>
      <c r="G128" s="2217"/>
    </row>
    <row r="129" spans="6:13">
      <c r="F129" s="2231"/>
      <c r="H129" s="2208"/>
      <c r="I129" s="2208"/>
      <c r="J129" s="2208"/>
      <c r="M129" s="2217"/>
    </row>
    <row r="137" spans="6:13">
      <c r="F137" s="2173" t="s">
        <v>1190</v>
      </c>
    </row>
  </sheetData>
  <mergeCells count="33">
    <mergeCell ref="A107:N107"/>
    <mergeCell ref="K108:N108"/>
    <mergeCell ref="A109:E109"/>
    <mergeCell ref="B7:N7"/>
    <mergeCell ref="A105:E105"/>
    <mergeCell ref="A106:E106"/>
    <mergeCell ref="A11:D11"/>
    <mergeCell ref="A50:D50"/>
    <mergeCell ref="A71:E71"/>
    <mergeCell ref="A89:E89"/>
    <mergeCell ref="A104:E104"/>
    <mergeCell ref="B1:N1"/>
    <mergeCell ref="B2:N2"/>
    <mergeCell ref="B3:N3"/>
    <mergeCell ref="M8:N8"/>
    <mergeCell ref="A9:B10"/>
    <mergeCell ref="C9:C10"/>
    <mergeCell ref="D9:D10"/>
    <mergeCell ref="E9:E10"/>
    <mergeCell ref="K9:K10"/>
    <mergeCell ref="L9:L10"/>
    <mergeCell ref="F9:I9"/>
    <mergeCell ref="J9:J10"/>
    <mergeCell ref="N9:N10"/>
    <mergeCell ref="M9:M10"/>
    <mergeCell ref="A5:D5"/>
    <mergeCell ref="G123:H123"/>
    <mergeCell ref="F109:H109"/>
    <mergeCell ref="K117:L117"/>
    <mergeCell ref="G120:H120"/>
    <mergeCell ref="G121:H121"/>
    <mergeCell ref="G122:H122"/>
    <mergeCell ref="K109:N109"/>
  </mergeCells>
  <pageMargins left="0.51181102362204722" right="0.51181102362204722" top="0.31496062992125984" bottom="0.39370078740157483" header="0.39370078740157483" footer="0.3937007874015748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B110"/>
  <sheetViews>
    <sheetView topLeftCell="A82" zoomScale="70" zoomScaleNormal="70" workbookViewId="0">
      <selection activeCell="G77" sqref="G77:G92"/>
    </sheetView>
  </sheetViews>
  <sheetFormatPr defaultColWidth="9.25" defaultRowHeight="16.5"/>
  <cols>
    <col min="1" max="1" width="7.25" style="914" customWidth="1"/>
    <col min="2" max="2" width="9.375" style="909" customWidth="1"/>
    <col min="3" max="3" width="24.875" style="915" customWidth="1"/>
    <col min="4" max="4" width="6.375" style="915" hidden="1" customWidth="1"/>
    <col min="5" max="5" width="8" style="909" hidden="1" customWidth="1"/>
    <col min="6" max="6" width="23" style="909" hidden="1" customWidth="1"/>
    <col min="7" max="7" width="14.75" style="911" customWidth="1"/>
    <col min="8" max="8" width="21.375" style="909" customWidth="1"/>
    <col min="9" max="9" width="15.125" style="909" customWidth="1"/>
    <col min="10" max="10" width="13.375" style="911" customWidth="1"/>
    <col min="11" max="11" width="7.875" style="924" customWidth="1"/>
    <col min="12" max="12" width="15.625" style="912" customWidth="1"/>
    <col min="13" max="13" width="14.125" style="909" customWidth="1"/>
    <col min="14" max="14" width="13.625" style="909" customWidth="1"/>
    <col min="15" max="15" width="11.75" style="909" customWidth="1"/>
    <col min="16" max="16" width="14" style="909" customWidth="1"/>
    <col min="17" max="18" width="15.375" style="909" customWidth="1"/>
    <col min="19" max="19" width="17.625" style="909" customWidth="1"/>
    <col min="20" max="20" width="17.625" style="909" hidden="1" customWidth="1"/>
    <col min="21" max="21" width="19.75" style="909" customWidth="1"/>
    <col min="22" max="22" width="17.125" style="909" customWidth="1"/>
    <col min="23" max="23" width="17.125" style="909" hidden="1" customWidth="1"/>
    <col min="24" max="24" width="15.875" style="909" hidden="1" customWidth="1"/>
    <col min="25" max="25" width="15.75" style="909" hidden="1" customWidth="1"/>
    <col min="26" max="26" width="13.5" style="909" hidden="1" customWidth="1"/>
    <col min="27" max="27" width="13.875" style="909" customWidth="1"/>
    <col min="28" max="28" width="14.25" style="909" bestFit="1" customWidth="1"/>
    <col min="29" max="16384" width="9.25" style="909"/>
  </cols>
  <sheetData>
    <row r="1" spans="1:25">
      <c r="A1" s="2040">
        <v>1</v>
      </c>
      <c r="B1" s="909">
        <v>2</v>
      </c>
      <c r="C1" s="2479">
        <v>3</v>
      </c>
      <c r="D1" s="909">
        <v>4</v>
      </c>
      <c r="E1" s="2479">
        <v>5</v>
      </c>
      <c r="F1" s="909">
        <v>6</v>
      </c>
      <c r="G1" s="2479">
        <v>7</v>
      </c>
      <c r="H1" s="909">
        <v>8</v>
      </c>
      <c r="I1" s="2479">
        <v>9</v>
      </c>
      <c r="J1" s="909">
        <v>10</v>
      </c>
      <c r="K1" s="2479">
        <v>11</v>
      </c>
      <c r="L1" s="909">
        <v>12</v>
      </c>
      <c r="M1" s="2479">
        <v>13</v>
      </c>
      <c r="N1" s="909">
        <v>14</v>
      </c>
      <c r="O1" s="2479">
        <v>15</v>
      </c>
      <c r="P1" s="909">
        <v>16</v>
      </c>
      <c r="S1" s="2479">
        <v>17</v>
      </c>
      <c r="T1" s="2934"/>
    </row>
    <row r="2" spans="1:25">
      <c r="A2" s="2040"/>
    </row>
    <row r="3" spans="1:25" ht="18" customHeight="1">
      <c r="A3" s="4094" t="s">
        <v>165</v>
      </c>
      <c r="B3" s="4094"/>
      <c r="C3" s="4094"/>
      <c r="D3" s="4094"/>
      <c r="E3" s="4094"/>
      <c r="F3" s="4094"/>
      <c r="G3" s="4094"/>
      <c r="H3" s="4094"/>
      <c r="I3" s="4094"/>
      <c r="J3" s="4094"/>
      <c r="K3" s="4094"/>
      <c r="L3" s="4094"/>
      <c r="M3" s="4094"/>
      <c r="N3" s="4094"/>
      <c r="O3" s="4094"/>
      <c r="P3" s="4094"/>
      <c r="Q3" s="4094"/>
      <c r="R3" s="4094"/>
      <c r="S3" s="4094"/>
      <c r="T3" s="4094"/>
      <c r="U3" s="4094"/>
      <c r="V3" s="4094"/>
      <c r="W3" s="2426"/>
    </row>
    <row r="4" spans="1:25" ht="16.5" customHeight="1">
      <c r="A4" s="4094" t="s">
        <v>171</v>
      </c>
      <c r="B4" s="4094"/>
      <c r="C4" s="4094"/>
      <c r="D4" s="4094"/>
      <c r="E4" s="4094"/>
      <c r="F4" s="4094"/>
      <c r="G4" s="4094"/>
      <c r="H4" s="4094"/>
      <c r="I4" s="4094"/>
      <c r="J4" s="4094"/>
      <c r="K4" s="4094"/>
      <c r="L4" s="4094"/>
      <c r="M4" s="4094"/>
      <c r="N4" s="4094"/>
      <c r="O4" s="4094"/>
      <c r="P4" s="4094"/>
      <c r="Q4" s="4094"/>
      <c r="R4" s="4094"/>
      <c r="S4" s="4094"/>
      <c r="T4" s="4094"/>
      <c r="U4" s="4094"/>
      <c r="V4" s="4094"/>
      <c r="W4" s="2426"/>
    </row>
    <row r="5" spans="1:25" ht="16.5" customHeight="1">
      <c r="A5" s="4094" t="s">
        <v>726</v>
      </c>
      <c r="B5" s="4094"/>
      <c r="C5" s="4094"/>
      <c r="D5" s="4094"/>
      <c r="E5" s="4094"/>
      <c r="F5" s="4094"/>
      <c r="G5" s="4094"/>
      <c r="H5" s="4094"/>
      <c r="I5" s="4094"/>
      <c r="J5" s="4094"/>
      <c r="K5" s="4094"/>
      <c r="L5" s="4094"/>
      <c r="M5" s="4094"/>
      <c r="N5" s="4094"/>
      <c r="O5" s="4094"/>
      <c r="P5" s="4094"/>
      <c r="Q5" s="4094"/>
      <c r="R5" s="4094"/>
      <c r="S5" s="4094"/>
      <c r="T5" s="4094"/>
      <c r="U5" s="4094"/>
      <c r="V5" s="4094"/>
      <c r="W5" s="2426"/>
    </row>
    <row r="6" spans="1:25" ht="25.5" customHeight="1">
      <c r="A6" s="4086" t="s">
        <v>602</v>
      </c>
      <c r="B6" s="4086"/>
      <c r="C6" s="4086"/>
      <c r="D6" s="4086"/>
      <c r="E6" s="4086"/>
      <c r="F6" s="4086"/>
      <c r="G6" s="4086"/>
      <c r="H6" s="4086"/>
      <c r="I6" s="1973"/>
      <c r="J6" s="1973"/>
      <c r="K6" s="1973"/>
      <c r="L6" s="1973"/>
      <c r="M6" s="1973"/>
      <c r="N6" s="1973"/>
      <c r="O6" s="1973"/>
      <c r="P6" s="1973"/>
      <c r="Q6" s="2948"/>
      <c r="R6" s="3899"/>
      <c r="S6" s="1973"/>
      <c r="T6" s="2933"/>
      <c r="U6" s="1973"/>
      <c r="V6" s="1973"/>
      <c r="W6" s="2426"/>
    </row>
    <row r="7" spans="1:25" s="2004" customFormat="1" ht="27.75" customHeight="1">
      <c r="A7" s="4021" t="s">
        <v>541</v>
      </c>
      <c r="B7" s="4021"/>
      <c r="C7" s="4021"/>
      <c r="D7" s="4021"/>
      <c r="E7" s="4021"/>
      <c r="F7" s="4021"/>
      <c r="G7" s="4021"/>
      <c r="H7" s="4021"/>
      <c r="I7" s="1992"/>
      <c r="J7" s="1992"/>
      <c r="K7" s="1992"/>
      <c r="L7" s="1992"/>
      <c r="M7" s="1992"/>
      <c r="N7" s="1992"/>
      <c r="O7" s="1992"/>
      <c r="P7" s="1992"/>
      <c r="Q7" s="2949"/>
      <c r="R7" s="3900"/>
      <c r="S7" s="1992"/>
      <c r="T7" s="2935"/>
      <c r="U7" s="1992"/>
      <c r="V7" s="1992"/>
      <c r="W7" s="2427"/>
    </row>
    <row r="8" spans="1:25" s="910" customFormat="1" ht="34.5" customHeight="1">
      <c r="A8" s="4103" t="s">
        <v>1810</v>
      </c>
      <c r="B8" s="4103"/>
      <c r="C8" s="4103"/>
      <c r="D8" s="4103"/>
      <c r="E8" s="4103"/>
      <c r="F8" s="4103"/>
      <c r="G8" s="4103"/>
      <c r="H8" s="4103"/>
      <c r="I8" s="4103"/>
      <c r="J8" s="4103"/>
      <c r="K8" s="4103"/>
      <c r="L8" s="4103"/>
      <c r="M8" s="4103"/>
      <c r="N8" s="4103"/>
      <c r="O8" s="4103"/>
      <c r="P8" s="4103"/>
      <c r="Q8" s="4103"/>
      <c r="R8" s="4103"/>
      <c r="S8" s="4103"/>
      <c r="T8" s="4103"/>
      <c r="U8" s="4103"/>
      <c r="V8" s="4103"/>
      <c r="W8" s="2428"/>
    </row>
    <row r="9" spans="1:25" s="910" customFormat="1" ht="15" hidden="1" customHeight="1">
      <c r="A9" s="1381"/>
      <c r="B9" s="1381"/>
      <c r="C9" s="1385"/>
      <c r="D9" s="1384"/>
      <c r="E9" s="4097"/>
      <c r="F9" s="4097"/>
      <c r="G9" s="4097"/>
      <c r="H9" s="1381"/>
      <c r="I9" s="1969"/>
      <c r="J9" s="1381"/>
      <c r="K9" s="1381"/>
      <c r="L9" s="1381"/>
      <c r="M9" s="1381"/>
      <c r="N9" s="1381"/>
      <c r="O9" s="1568"/>
      <c r="P9" s="1568"/>
      <c r="Q9" s="1969"/>
      <c r="R9" s="1969"/>
      <c r="S9" s="1381"/>
      <c r="T9" s="1969"/>
      <c r="U9" s="1381"/>
      <c r="V9" s="1381"/>
      <c r="W9" s="1969"/>
    </row>
    <row r="10" spans="1:25" ht="21" hidden="1" customHeight="1">
      <c r="C10" s="1385" t="s">
        <v>894</v>
      </c>
      <c r="D10" s="1386" t="s">
        <v>894</v>
      </c>
      <c r="E10" s="4066">
        <f>'BẢNG PHÂN TOÁN'!L14</f>
        <v>646.20000000000005</v>
      </c>
      <c r="F10" s="4066"/>
      <c r="G10" s="4066"/>
      <c r="H10" s="917">
        <v>655.8</v>
      </c>
      <c r="I10" s="917"/>
      <c r="J10" s="916"/>
      <c r="K10" s="918"/>
      <c r="L10" s="919"/>
      <c r="M10" s="920">
        <f>M16*655.8*46.1</f>
        <v>16053393.779999999</v>
      </c>
      <c r="N10" s="920">
        <f>N16*76.9*655.8</f>
        <v>5446550.1600000001</v>
      </c>
      <c r="O10" s="920">
        <f>O16*655.8*76.8</f>
        <v>251827.19999999998</v>
      </c>
      <c r="P10" s="920">
        <f>P16*107.6*655.8</f>
        <v>70564.079999999987</v>
      </c>
      <c r="Q10" s="920">
        <f>Q16*20000</f>
        <v>12900000</v>
      </c>
      <c r="R10" s="920">
        <f>R16*25000</f>
        <v>18500000</v>
      </c>
      <c r="S10" s="920"/>
      <c r="T10" s="920"/>
      <c r="U10" s="3361" t="s">
        <v>1154</v>
      </c>
      <c r="V10" s="3361"/>
      <c r="W10" s="920"/>
    </row>
    <row r="11" spans="1:25" s="921" customFormat="1" ht="24" customHeight="1">
      <c r="A11" s="4088" t="s">
        <v>1</v>
      </c>
      <c r="B11" s="4089"/>
      <c r="C11" s="4081" t="s">
        <v>20</v>
      </c>
      <c r="D11" s="4098" t="s">
        <v>239</v>
      </c>
      <c r="E11" s="4076" t="s">
        <v>26</v>
      </c>
      <c r="F11" s="4068" t="s">
        <v>9</v>
      </c>
      <c r="G11" s="4069" t="s">
        <v>27</v>
      </c>
      <c r="H11" s="4070"/>
      <c r="I11" s="4070"/>
      <c r="J11" s="4070"/>
      <c r="K11" s="4070"/>
      <c r="L11" s="4070"/>
      <c r="M11" s="4070"/>
      <c r="N11" s="4070"/>
      <c r="O11" s="4070"/>
      <c r="P11" s="4070"/>
      <c r="Q11" s="4070"/>
      <c r="R11" s="4070"/>
      <c r="S11" s="4070"/>
      <c r="T11" s="4071"/>
      <c r="U11" s="4079" t="s">
        <v>1162</v>
      </c>
      <c r="V11" s="4080" t="s">
        <v>1152</v>
      </c>
      <c r="W11" s="2431"/>
    </row>
    <row r="12" spans="1:25" s="921" customFormat="1" ht="41.25" customHeight="1">
      <c r="A12" s="4090"/>
      <c r="B12" s="4091"/>
      <c r="C12" s="4082"/>
      <c r="D12" s="4098"/>
      <c r="E12" s="4077"/>
      <c r="F12" s="4068"/>
      <c r="G12" s="4067" t="s">
        <v>1143</v>
      </c>
      <c r="H12" s="4067"/>
      <c r="I12" s="4080" t="s">
        <v>31</v>
      </c>
      <c r="J12" s="4080"/>
      <c r="K12" s="4080"/>
      <c r="L12" s="4080"/>
      <c r="M12" s="4074" t="s">
        <v>1353</v>
      </c>
      <c r="N12" s="4075"/>
      <c r="O12" s="4075"/>
      <c r="P12" s="4075"/>
      <c r="Q12" s="4075"/>
      <c r="R12" s="4075"/>
      <c r="S12" s="4075"/>
      <c r="T12" s="4072" t="s">
        <v>1352</v>
      </c>
      <c r="U12" s="4079"/>
      <c r="V12" s="4080"/>
      <c r="W12" s="2431"/>
    </row>
    <row r="13" spans="1:25" s="921" customFormat="1" ht="75.75" customHeight="1">
      <c r="A13" s="4092"/>
      <c r="B13" s="4093"/>
      <c r="C13" s="4083"/>
      <c r="D13" s="4098"/>
      <c r="E13" s="4078"/>
      <c r="F13" s="4068"/>
      <c r="G13" s="2054" t="s">
        <v>362</v>
      </c>
      <c r="H13" s="2438" t="s">
        <v>1244</v>
      </c>
      <c r="I13" s="2055" t="s">
        <v>1148</v>
      </c>
      <c r="J13" s="2054" t="s">
        <v>1149</v>
      </c>
      <c r="K13" s="2056" t="s">
        <v>37</v>
      </c>
      <c r="L13" s="2056" t="s">
        <v>38</v>
      </c>
      <c r="M13" s="2057" t="s">
        <v>954</v>
      </c>
      <c r="N13" s="2057" t="s">
        <v>955</v>
      </c>
      <c r="O13" s="2057" t="s">
        <v>1241</v>
      </c>
      <c r="P13" s="2057" t="s">
        <v>1242</v>
      </c>
      <c r="Q13" s="2956" t="s">
        <v>1352</v>
      </c>
      <c r="R13" s="3898" t="s">
        <v>1890</v>
      </c>
      <c r="S13" s="2056" t="s">
        <v>24</v>
      </c>
      <c r="T13" s="4073"/>
      <c r="U13" s="4079"/>
      <c r="V13" s="4080"/>
      <c r="W13" s="2431"/>
    </row>
    <row r="14" spans="1:25" s="921" customFormat="1" ht="26.25" hidden="1" customHeight="1">
      <c r="A14" s="2058" t="s">
        <v>66</v>
      </c>
      <c r="B14" s="2058" t="s">
        <v>67</v>
      </c>
      <c r="C14" s="2058" t="s">
        <v>81</v>
      </c>
      <c r="D14" s="2058"/>
      <c r="E14" s="2058" t="s">
        <v>69</v>
      </c>
      <c r="F14" s="2058"/>
      <c r="G14" s="2058" t="s">
        <v>70</v>
      </c>
      <c r="H14" s="2058" t="s">
        <v>73</v>
      </c>
      <c r="I14" s="2058"/>
      <c r="J14" s="2059" t="s">
        <v>86</v>
      </c>
      <c r="K14" s="2058" t="s">
        <v>87</v>
      </c>
      <c r="L14" s="2058" t="s">
        <v>73</v>
      </c>
      <c r="M14" s="2058" t="s">
        <v>88</v>
      </c>
      <c r="N14" s="2058" t="s">
        <v>89</v>
      </c>
      <c r="O14" s="2058" t="s">
        <v>88</v>
      </c>
      <c r="P14" s="2058" t="s">
        <v>89</v>
      </c>
      <c r="Q14" s="2058"/>
      <c r="R14" s="2058"/>
      <c r="S14" s="2058" t="s">
        <v>73</v>
      </c>
      <c r="T14" s="2058"/>
      <c r="U14" s="2058" t="s">
        <v>90</v>
      </c>
      <c r="V14" s="2060" t="s">
        <v>76</v>
      </c>
      <c r="W14" s="2432"/>
      <c r="Y14" s="1615" t="s">
        <v>979</v>
      </c>
    </row>
    <row r="15" spans="1:25" s="2415" customFormat="1" ht="36.75" customHeight="1">
      <c r="A15" s="4095" t="s">
        <v>606</v>
      </c>
      <c r="B15" s="4096"/>
      <c r="C15" s="2439" t="s">
        <v>607</v>
      </c>
      <c r="D15" s="2439" t="s">
        <v>606</v>
      </c>
      <c r="E15" s="2439" t="s">
        <v>606</v>
      </c>
      <c r="F15" s="2439" t="s">
        <v>606</v>
      </c>
      <c r="G15" s="2439" t="s">
        <v>608</v>
      </c>
      <c r="H15" s="2439" t="s">
        <v>609</v>
      </c>
      <c r="I15" s="2439" t="s">
        <v>610</v>
      </c>
      <c r="J15" s="2439" t="s">
        <v>611</v>
      </c>
      <c r="K15" s="2439" t="s">
        <v>635</v>
      </c>
      <c r="L15" s="2439" t="s">
        <v>692</v>
      </c>
      <c r="M15" s="2439" t="s">
        <v>636</v>
      </c>
      <c r="N15" s="2439" t="s">
        <v>637</v>
      </c>
      <c r="O15" s="2439" t="s">
        <v>1245</v>
      </c>
      <c r="P15" s="2439" t="s">
        <v>693</v>
      </c>
      <c r="Q15" s="2439" t="s">
        <v>694</v>
      </c>
      <c r="R15" s="2439" t="s">
        <v>1251</v>
      </c>
      <c r="S15" s="2439" t="s">
        <v>1246</v>
      </c>
      <c r="T15" s="2439" t="s">
        <v>1246</v>
      </c>
      <c r="U15" s="2439" t="s">
        <v>1702</v>
      </c>
      <c r="V15" s="2439" t="s">
        <v>697</v>
      </c>
      <c r="W15" s="2433"/>
      <c r="Y15" s="2416">
        <v>20000</v>
      </c>
    </row>
    <row r="16" spans="1:25" s="1538" customFormat="1" ht="26.25" customHeight="1">
      <c r="A16" s="2061" t="s">
        <v>52</v>
      </c>
      <c r="B16" s="4099" t="s">
        <v>321</v>
      </c>
      <c r="C16" s="4099"/>
      <c r="D16" s="2061"/>
      <c r="E16" s="2061"/>
      <c r="F16" s="2061"/>
      <c r="G16" s="3064">
        <f>SUM(G17:G54)</f>
        <v>0</v>
      </c>
      <c r="H16" s="3064">
        <f t="shared" ref="H16:V16" si="0">SUM(H17:H54)</f>
        <v>0</v>
      </c>
      <c r="I16" s="3064">
        <f t="shared" si="0"/>
        <v>6078</v>
      </c>
      <c r="J16" s="3064">
        <f t="shared" si="0"/>
        <v>3295.6709999999989</v>
      </c>
      <c r="K16" s="3064">
        <f t="shared" si="0"/>
        <v>0</v>
      </c>
      <c r="L16" s="3064">
        <f t="shared" si="0"/>
        <v>12771771</v>
      </c>
      <c r="M16" s="3064">
        <f>SUM(M17:M54)</f>
        <v>531</v>
      </c>
      <c r="N16" s="3064">
        <f t="shared" si="0"/>
        <v>108</v>
      </c>
      <c r="O16" s="3064">
        <f t="shared" si="0"/>
        <v>5</v>
      </c>
      <c r="P16" s="3064">
        <f t="shared" si="0"/>
        <v>1</v>
      </c>
      <c r="Q16" s="3064">
        <f t="shared" si="0"/>
        <v>645</v>
      </c>
      <c r="R16" s="3901">
        <f t="shared" si="0"/>
        <v>740</v>
      </c>
      <c r="S16" s="3064">
        <f>SUM(S17:S54)</f>
        <v>53222332</v>
      </c>
      <c r="T16" s="3064">
        <f t="shared" si="0"/>
        <v>0</v>
      </c>
      <c r="U16" s="3064">
        <f t="shared" si="0"/>
        <v>65994103</v>
      </c>
      <c r="V16" s="3064">
        <f t="shared" si="0"/>
        <v>65994103</v>
      </c>
      <c r="W16" s="2434"/>
      <c r="Y16" s="2957"/>
    </row>
    <row r="17" spans="1:23" s="1539" customFormat="1" ht="34.5" customHeight="1">
      <c r="A17" s="2063">
        <v>1</v>
      </c>
      <c r="B17" s="2063">
        <v>1</v>
      </c>
      <c r="C17" s="2087" t="str">
        <f>'Chấm công công nhân'!L13</f>
        <v>Vắt Đi</v>
      </c>
      <c r="D17" s="2064" t="e">
        <f>VLOOKUP(C17,'Mã số NV'!$B$6:$D$53,3,0)</f>
        <v>#N/A</v>
      </c>
      <c r="E17" s="2065" t="s">
        <v>40</v>
      </c>
      <c r="F17" s="2065"/>
      <c r="G17" s="2066"/>
      <c r="H17" s="2067">
        <f t="shared" ref="H17:H53" si="1">G17*25000</f>
        <v>0</v>
      </c>
      <c r="I17" s="2067">
        <f>+VLOOKUP(C17,'Tong hop cong'!C13:S13,17,0)</f>
        <v>0</v>
      </c>
      <c r="J17" s="2068">
        <f>+VLOOKUP(C17,'Tong hop cong'!C13:U13,19,0)</f>
        <v>0</v>
      </c>
      <c r="K17" s="2069" t="str">
        <f>VLOOKUP(C17,'Tong hop cong'!C13:AA13,25,0)</f>
        <v>A</v>
      </c>
      <c r="L17" s="2070">
        <f>VLOOKUP(C17,'1'!$C$14:$L$51,10,0)</f>
        <v>0</v>
      </c>
      <c r="M17" s="2068">
        <f>+VLOOKUP(C17,'Tong hop cong'!C13:V13,20,0)</f>
        <v>11</v>
      </c>
      <c r="N17" s="2068">
        <f>+VLOOKUP(C17,'Tong hop cong'!C13:W13,21,0)</f>
        <v>3</v>
      </c>
      <c r="O17" s="2068">
        <f>+VLOOKUP(C17,'Tong hop cong'!C13:X13,22,0)</f>
        <v>0</v>
      </c>
      <c r="P17" s="2068">
        <f>+VLOOKUP(C17,'Tong hop cong'!C13:Y13,23,0)</f>
        <v>0</v>
      </c>
      <c r="Q17" s="2068">
        <f>M17+N17+O17+P17</f>
        <v>14</v>
      </c>
      <c r="R17" s="2068">
        <f>+VLOOKUP(C17,'1'!$C$14:$R$50,16,0)</f>
        <v>20</v>
      </c>
      <c r="S17" s="2070">
        <f>VLOOKUP(C17,'1'!$C$14:$S$51,17,0)</f>
        <v>1263849</v>
      </c>
      <c r="T17" s="2070"/>
      <c r="U17" s="3633">
        <f t="shared" ref="U17:U54" si="2">H17+L17+S17</f>
        <v>1263849</v>
      </c>
      <c r="V17" s="3634">
        <f t="shared" ref="V17:V54" si="3">U17</f>
        <v>1263849</v>
      </c>
      <c r="W17" s="2435" t="s">
        <v>1552</v>
      </c>
    </row>
    <row r="18" spans="1:23" s="1539" customFormat="1" ht="27.75" customHeight="1">
      <c r="A18" s="2063">
        <v>2</v>
      </c>
      <c r="B18" s="2063">
        <v>2</v>
      </c>
      <c r="C18" s="2087" t="str">
        <f>'Chấm công công nhân'!L14</f>
        <v>Mẹ Leo</v>
      </c>
      <c r="D18" s="2064" t="e">
        <f>VLOOKUP(C18,'Mã số NV'!$B$6:$D$53,3,0)</f>
        <v>#N/A</v>
      </c>
      <c r="E18" s="2065" t="s">
        <v>40</v>
      </c>
      <c r="F18" s="2065"/>
      <c r="G18" s="2066"/>
      <c r="H18" s="2067">
        <f t="shared" si="1"/>
        <v>0</v>
      </c>
      <c r="I18" s="2067">
        <f>+VLOOKUP(C18,'Tong hop cong'!C14:S14,17,0)</f>
        <v>346</v>
      </c>
      <c r="J18" s="2068">
        <f>+VLOOKUP(C18,'Tong hop cong'!C14:U14,19,0)</f>
        <v>187.61141263573541</v>
      </c>
      <c r="K18" s="2069" t="str">
        <f>VLOOKUP(C18,'Tong hop cong'!C14:AA14,25,0)</f>
        <v>B</v>
      </c>
      <c r="L18" s="2070">
        <f>VLOOKUP(C18,'1'!$C$14:$L$51,10,0)</f>
        <v>703160</v>
      </c>
      <c r="M18" s="2068">
        <f>+VLOOKUP(C18,'Tong hop cong'!C14:V14,20,0)</f>
        <v>19</v>
      </c>
      <c r="N18" s="2068">
        <f>+VLOOKUP(C18,'Tong hop cong'!C14:W14,21,0)</f>
        <v>4</v>
      </c>
      <c r="O18" s="2068">
        <f>+VLOOKUP(C18,'Tong hop cong'!C14:X14,22,0)</f>
        <v>0</v>
      </c>
      <c r="P18" s="2068">
        <f>+VLOOKUP(C18,'Tong hop cong'!C14:Y14,23,0)</f>
        <v>0</v>
      </c>
      <c r="Q18" s="2068">
        <f>M18+N18+O18+P18</f>
        <v>23</v>
      </c>
      <c r="R18" s="2068">
        <f>+VLOOKUP(C18,'1'!$C$14:$R$50,16,0)</f>
        <v>20</v>
      </c>
      <c r="S18" s="2070">
        <f>VLOOKUP(C18,'1'!$C$14:$S$51,17,0)</f>
        <v>1736139</v>
      </c>
      <c r="T18" s="2070"/>
      <c r="U18" s="3633">
        <f t="shared" si="2"/>
        <v>2439299</v>
      </c>
      <c r="V18" s="3634">
        <f t="shared" si="3"/>
        <v>2439299</v>
      </c>
      <c r="W18" s="2435" t="s">
        <v>1552</v>
      </c>
    </row>
    <row r="19" spans="1:23" s="1539" customFormat="1" ht="27.75" customHeight="1">
      <c r="A19" s="2063">
        <v>3</v>
      </c>
      <c r="B19" s="2063">
        <v>3</v>
      </c>
      <c r="C19" s="2087" t="str">
        <f>'Chấm công công nhân'!L15</f>
        <v xml:space="preserve">Thảo Ken </v>
      </c>
      <c r="D19" s="2064" t="e">
        <f>VLOOKUP(C19,'Mã số NV'!$B$6:$D$53,3,0)</f>
        <v>#N/A</v>
      </c>
      <c r="E19" s="2065" t="s">
        <v>40</v>
      </c>
      <c r="F19" s="2065"/>
      <c r="G19" s="2066"/>
      <c r="H19" s="2067">
        <f t="shared" si="1"/>
        <v>0</v>
      </c>
      <c r="I19" s="2067">
        <f>+VLOOKUP(C19,'Tong hop cong'!C15:S15,17,0)</f>
        <v>0</v>
      </c>
      <c r="J19" s="2068">
        <f>+VLOOKUP(C19,'Tong hop cong'!C15:U15,19,0)</f>
        <v>0</v>
      </c>
      <c r="K19" s="2069" t="str">
        <f>VLOOKUP(C19,'Tong hop cong'!C15:AA15,25,0)</f>
        <v>A</v>
      </c>
      <c r="L19" s="2070">
        <f>VLOOKUP(C19,'1'!$C$14:$L$51,10,0)</f>
        <v>0</v>
      </c>
      <c r="M19" s="2068">
        <f>+VLOOKUP(C19,'Tong hop cong'!C15:V15,20,0)</f>
        <v>12</v>
      </c>
      <c r="N19" s="2068">
        <f>+VLOOKUP(C19,'Tong hop cong'!C15:W15,21,0)</f>
        <v>3</v>
      </c>
      <c r="O19" s="2068">
        <f>+VLOOKUP(C19,'Tong hop cong'!C15:X15,22,0)</f>
        <v>0</v>
      </c>
      <c r="P19" s="2068">
        <f>+VLOOKUP(C19,'Tong hop cong'!C15:Y15,23,0)</f>
        <v>0</v>
      </c>
      <c r="Q19" s="2068">
        <f t="shared" ref="Q19:Q53" si="4">M19+N19+O19+P19</f>
        <v>15</v>
      </c>
      <c r="R19" s="2068">
        <f>+VLOOKUP(C19,'1'!$C$14:$R$50,16,0)</f>
        <v>20</v>
      </c>
      <c r="S19" s="2070">
        <f>VLOOKUP(C19,'1'!$C$14:$S$51,17,0)</f>
        <v>1314082</v>
      </c>
      <c r="T19" s="2070"/>
      <c r="U19" s="3633">
        <f t="shared" si="2"/>
        <v>1314082</v>
      </c>
      <c r="V19" s="3634">
        <f t="shared" si="3"/>
        <v>1314082</v>
      </c>
      <c r="W19" s="2435" t="s">
        <v>1552</v>
      </c>
    </row>
    <row r="20" spans="1:23" s="1539" customFormat="1" ht="27.75" customHeight="1">
      <c r="A20" s="2063">
        <v>4</v>
      </c>
      <c r="B20" s="2063">
        <v>4</v>
      </c>
      <c r="C20" s="2087" t="str">
        <f>'Chấm công công nhân'!L16</f>
        <v>Thảo Phút</v>
      </c>
      <c r="D20" s="2064" t="e">
        <f>VLOOKUP(C20,'Mã số NV'!$B$6:$D$53,3,0)</f>
        <v>#N/A</v>
      </c>
      <c r="E20" s="2065" t="s">
        <v>40</v>
      </c>
      <c r="F20" s="2065"/>
      <c r="G20" s="2066"/>
      <c r="H20" s="2067">
        <f t="shared" si="1"/>
        <v>0</v>
      </c>
      <c r="I20" s="2067">
        <f>+VLOOKUP(C20,'Tong hop cong'!C16:S16,17,0)</f>
        <v>318</v>
      </c>
      <c r="J20" s="2068">
        <f>+VLOOKUP(C20,'Tong hop cong'!C16:U16,19,0)</f>
        <v>172.42898617966432</v>
      </c>
      <c r="K20" s="2069" t="str">
        <f>VLOOKUP(C20,'Tong hop cong'!C16:AA16,25,0)</f>
        <v>A</v>
      </c>
      <c r="L20" s="2070">
        <f>VLOOKUP(C20,'1'!$C$14:$L$51,10,0)</f>
        <v>679684</v>
      </c>
      <c r="M20" s="2068">
        <f>+VLOOKUP(C20,'Tong hop cong'!C16:V16,20,0)</f>
        <v>21</v>
      </c>
      <c r="N20" s="2068">
        <f>+VLOOKUP(C20,'Tong hop cong'!C16:W16,21,0)</f>
        <v>4</v>
      </c>
      <c r="O20" s="2068">
        <f>+VLOOKUP(C20,'Tong hop cong'!C16:X16,22,0)</f>
        <v>0</v>
      </c>
      <c r="P20" s="2068">
        <f>+VLOOKUP(C20,'Tong hop cong'!C16:Y16,23,0)</f>
        <v>0</v>
      </c>
      <c r="Q20" s="2068">
        <f t="shared" si="4"/>
        <v>25</v>
      </c>
      <c r="R20" s="2068">
        <f>+VLOOKUP(C20,'1'!$C$14:$R$50,16,0)</f>
        <v>20</v>
      </c>
      <c r="S20" s="2070">
        <f>VLOOKUP(C20,'1'!$C$14:$S$51,17,0)</f>
        <v>1836604</v>
      </c>
      <c r="T20" s="2070"/>
      <c r="U20" s="3633">
        <f t="shared" si="2"/>
        <v>2516288</v>
      </c>
      <c r="V20" s="3634">
        <f t="shared" si="3"/>
        <v>2516288</v>
      </c>
      <c r="W20" s="2435" t="s">
        <v>1552</v>
      </c>
    </row>
    <row r="21" spans="1:23" s="1539" customFormat="1" ht="27.75" customHeight="1">
      <c r="A21" s="2063">
        <v>5</v>
      </c>
      <c r="B21" s="2063">
        <v>5</v>
      </c>
      <c r="C21" s="2087" t="str">
        <f>'Chấm công công nhân'!L17</f>
        <v>Thảo Mằn</v>
      </c>
      <c r="D21" s="2064"/>
      <c r="E21" s="2065" t="s">
        <v>40</v>
      </c>
      <c r="F21" s="2065"/>
      <c r="G21" s="2066"/>
      <c r="H21" s="2067">
        <f t="shared" si="1"/>
        <v>0</v>
      </c>
      <c r="I21" s="2067">
        <f>+VLOOKUP(C21,'Tong hop cong'!C17:S17,17,0)</f>
        <v>40</v>
      </c>
      <c r="J21" s="2068">
        <f>+VLOOKUP(C21,'Tong hop cong'!C17:U17,19,0)</f>
        <v>21.689180651530105</v>
      </c>
      <c r="K21" s="2069" t="str">
        <f>VLOOKUP(C21,'Tong hop cong'!C17:AA17,25,0)</f>
        <v>B</v>
      </c>
      <c r="L21" s="2070">
        <f>VLOOKUP(C21,'1'!$C$14:$L$51,10,0)</f>
        <v>81290</v>
      </c>
      <c r="M21" s="2068">
        <f>+VLOOKUP(C21,'Tong hop cong'!C17:V17,20,0)</f>
        <v>12</v>
      </c>
      <c r="N21" s="2068">
        <f>+VLOOKUP(C21,'Tong hop cong'!C17:W17,21,0)</f>
        <v>3</v>
      </c>
      <c r="O21" s="2068">
        <f>+VLOOKUP(C21,'Tong hop cong'!C17:X17,22,0)</f>
        <v>0</v>
      </c>
      <c r="P21" s="2068">
        <f>+VLOOKUP(C21,'Tong hop cong'!C17:Y17,23,0)</f>
        <v>0</v>
      </c>
      <c r="Q21" s="2068">
        <f t="shared" si="4"/>
        <v>15</v>
      </c>
      <c r="R21" s="2068">
        <f>+VLOOKUP(C21,'1'!$C$14:$R$50,16,0)</f>
        <v>20</v>
      </c>
      <c r="S21" s="2070">
        <f>VLOOKUP(C21,'1'!$C$14:$S$51,17,0)</f>
        <v>1314082</v>
      </c>
      <c r="T21" s="2070"/>
      <c r="U21" s="3633">
        <f t="shared" si="2"/>
        <v>1395372</v>
      </c>
      <c r="V21" s="3634">
        <f t="shared" si="3"/>
        <v>1395372</v>
      </c>
      <c r="W21" s="2435" t="s">
        <v>1552</v>
      </c>
    </row>
    <row r="22" spans="1:23" s="1539" customFormat="1" ht="27.75" customHeight="1">
      <c r="A22" s="2063">
        <v>6</v>
      </c>
      <c r="B22" s="2063">
        <v>6</v>
      </c>
      <c r="C22" s="2087" t="str">
        <f>'Chấm công công nhân'!L18</f>
        <v>Nàng Chay</v>
      </c>
      <c r="D22" s="2064"/>
      <c r="E22" s="2065" t="s">
        <v>40</v>
      </c>
      <c r="F22" s="2065"/>
      <c r="G22" s="2066"/>
      <c r="H22" s="2067">
        <f t="shared" si="1"/>
        <v>0</v>
      </c>
      <c r="I22" s="2067">
        <f>+VLOOKUP(C22,'Tong hop cong'!C18:S18,17,0)</f>
        <v>0</v>
      </c>
      <c r="J22" s="2068">
        <f>+VLOOKUP(C22,'Tong hop cong'!C18:U18,19,0)</f>
        <v>0</v>
      </c>
      <c r="K22" s="2069" t="str">
        <f>VLOOKUP(C22,'Tong hop cong'!C18:AA18,25,0)</f>
        <v>B</v>
      </c>
      <c r="L22" s="2070">
        <f>VLOOKUP(C22,'1'!$C$14:$L$51,10,0)</f>
        <v>0</v>
      </c>
      <c r="M22" s="2068">
        <f>+VLOOKUP(C22,'Tong hop cong'!C18:V18,20,0)</f>
        <v>13</v>
      </c>
      <c r="N22" s="2068">
        <f>+VLOOKUP(C22,'Tong hop cong'!C18:W18,21,0)</f>
        <v>3</v>
      </c>
      <c r="O22" s="2068">
        <f>+VLOOKUP(C22,'Tong hop cong'!C18:X18,22,0)</f>
        <v>0</v>
      </c>
      <c r="P22" s="2068">
        <f>+VLOOKUP(C22,'Tong hop cong'!C18:Y18,23,0)</f>
        <v>0</v>
      </c>
      <c r="Q22" s="2068">
        <f t="shared" si="4"/>
        <v>16</v>
      </c>
      <c r="R22" s="2068">
        <f>+VLOOKUP(C22,'1'!$C$14:$R$50,16,0)</f>
        <v>20</v>
      </c>
      <c r="S22" s="2070">
        <f>VLOOKUP(C22,'1'!$C$14:$S$51,17,0)</f>
        <v>1364314</v>
      </c>
      <c r="T22" s="2070"/>
      <c r="U22" s="3633">
        <f t="shared" si="2"/>
        <v>1364314</v>
      </c>
      <c r="V22" s="3634">
        <f t="shared" si="3"/>
        <v>1364314</v>
      </c>
      <c r="W22" s="2435" t="s">
        <v>1552</v>
      </c>
    </row>
    <row r="23" spans="1:23" s="1539" customFormat="1" ht="27.75" customHeight="1">
      <c r="A23" s="2063">
        <v>7</v>
      </c>
      <c r="B23" s="2063">
        <v>7</v>
      </c>
      <c r="C23" s="2087" t="str">
        <f>'Chấm công công nhân'!L19</f>
        <v>Thảo Sắp</v>
      </c>
      <c r="D23" s="2064"/>
      <c r="E23" s="2065" t="s">
        <v>40</v>
      </c>
      <c r="F23" s="2065"/>
      <c r="G23" s="2066"/>
      <c r="H23" s="2067">
        <f t="shared" si="1"/>
        <v>0</v>
      </c>
      <c r="I23" s="2067">
        <f>+VLOOKUP(C23,'Tong hop cong'!C19:S19,17,0)</f>
        <v>262</v>
      </c>
      <c r="J23" s="2068">
        <f>+VLOOKUP(C23,'Tong hop cong'!C19:U19,19,0)</f>
        <v>142.06413326752218</v>
      </c>
      <c r="K23" s="2069" t="str">
        <f>VLOOKUP(C23,'Tong hop cong'!C19:AA19,25,0)</f>
        <v>A</v>
      </c>
      <c r="L23" s="2070">
        <f>VLOOKUP(C23,'1'!$C$14:$L$51,10,0)</f>
        <v>559991</v>
      </c>
      <c r="M23" s="2068">
        <f>+VLOOKUP(C23,'Tong hop cong'!C19:V19,20,0)</f>
        <v>22</v>
      </c>
      <c r="N23" s="2068">
        <f>+VLOOKUP(C23,'Tong hop cong'!C19:W19,21,0)</f>
        <v>4</v>
      </c>
      <c r="O23" s="2068">
        <f>+VLOOKUP(C23,'Tong hop cong'!C19:X19,22,0)</f>
        <v>0</v>
      </c>
      <c r="P23" s="2068">
        <f>+VLOOKUP(C23,'Tong hop cong'!C19:Y19,23,0)</f>
        <v>0</v>
      </c>
      <c r="Q23" s="2068">
        <f t="shared" si="4"/>
        <v>26</v>
      </c>
      <c r="R23" s="2068">
        <f>+VLOOKUP(C23,'1'!$C$14:$R$50,16,0)</f>
        <v>20</v>
      </c>
      <c r="S23" s="2070">
        <f>VLOOKUP(C23,'1'!$C$14:$S$51,17,0)</f>
        <v>1886836</v>
      </c>
      <c r="T23" s="2070"/>
      <c r="U23" s="3633">
        <f t="shared" si="2"/>
        <v>2446827</v>
      </c>
      <c r="V23" s="3634">
        <f t="shared" si="3"/>
        <v>2446827</v>
      </c>
      <c r="W23" s="2435" t="s">
        <v>1552</v>
      </c>
    </row>
    <row r="24" spans="1:23" s="1539" customFormat="1" ht="27.75" customHeight="1">
      <c r="A24" s="2063">
        <v>8</v>
      </c>
      <c r="B24" s="2063">
        <v>8</v>
      </c>
      <c r="C24" s="2087" t="str">
        <f>'Chấm công công nhân'!L20</f>
        <v>Thảo Say</v>
      </c>
      <c r="D24" s="2064"/>
      <c r="E24" s="2065" t="s">
        <v>40</v>
      </c>
      <c r="F24" s="2065"/>
      <c r="G24" s="2066"/>
      <c r="H24" s="2067">
        <f t="shared" si="1"/>
        <v>0</v>
      </c>
      <c r="I24" s="2067">
        <f>+VLOOKUP(C24,'Tong hop cong'!C20:S20,17,0)</f>
        <v>444</v>
      </c>
      <c r="J24" s="2068">
        <f>+VLOOKUP(C24,'Tong hop cong'!C20:U20,19,0)</f>
        <v>240.74990523198414</v>
      </c>
      <c r="K24" s="2069" t="str">
        <f>VLOOKUP(C24,'Tong hop cong'!C20:AA20,25,0)</f>
        <v>A</v>
      </c>
      <c r="L24" s="2070">
        <f>VLOOKUP(C24,'1'!$C$14:$L$51,10,0)</f>
        <v>948993</v>
      </c>
      <c r="M24" s="2068">
        <f>+VLOOKUP(C24,'Tong hop cong'!C20:V20,20,0)</f>
        <v>21</v>
      </c>
      <c r="N24" s="2068">
        <f>+VLOOKUP(C24,'Tong hop cong'!C20:W20,21,0)</f>
        <v>4</v>
      </c>
      <c r="O24" s="2068">
        <f>+VLOOKUP(C24,'Tong hop cong'!C20:X20,22,0)</f>
        <v>0</v>
      </c>
      <c r="P24" s="2068">
        <f>+VLOOKUP(C24,'Tong hop cong'!C20:Y20,23,0)</f>
        <v>0</v>
      </c>
      <c r="Q24" s="2068">
        <f t="shared" si="4"/>
        <v>25</v>
      </c>
      <c r="R24" s="2068">
        <f>+VLOOKUP(C24,'1'!$C$14:$R$50,16,0)</f>
        <v>20</v>
      </c>
      <c r="S24" s="2070">
        <f>VLOOKUP(C24,'1'!$C$14:$S$51,17,0)</f>
        <v>1836604</v>
      </c>
      <c r="T24" s="2070"/>
      <c r="U24" s="3633">
        <f t="shared" si="2"/>
        <v>2785597</v>
      </c>
      <c r="V24" s="3634">
        <f t="shared" si="3"/>
        <v>2785597</v>
      </c>
      <c r="W24" s="2435" t="s">
        <v>1552</v>
      </c>
    </row>
    <row r="25" spans="1:23" s="1539" customFormat="1" ht="27.75" customHeight="1">
      <c r="A25" s="2063">
        <v>9</v>
      </c>
      <c r="B25" s="2063">
        <v>9</v>
      </c>
      <c r="C25" s="2087" t="str">
        <f>'Chấm công công nhân'!L21</f>
        <v>Thảo Cợt</v>
      </c>
      <c r="D25" s="2064"/>
      <c r="E25" s="2065" t="s">
        <v>40</v>
      </c>
      <c r="F25" s="2065"/>
      <c r="G25" s="2066"/>
      <c r="H25" s="2067">
        <f t="shared" si="1"/>
        <v>0</v>
      </c>
      <c r="I25" s="2067">
        <f>+VLOOKUP(C25,'Tong hop cong'!C21:S21,17,0)</f>
        <v>199</v>
      </c>
      <c r="J25" s="2068">
        <f>+VLOOKUP(C25,'Tong hop cong'!C21:U21,19,0)</f>
        <v>107.90367374136225</v>
      </c>
      <c r="K25" s="2069" t="str">
        <f>VLOOKUP(C25,'Tong hop cong'!C21:AA21,25,0)</f>
        <v>C</v>
      </c>
      <c r="L25" s="2070">
        <f>VLOOKUP(C25,'1'!$C$14:$L$51,10,0)</f>
        <v>383500</v>
      </c>
      <c r="M25" s="2068">
        <f>+VLOOKUP(C25,'Tong hop cong'!C21:V21,20,0)</f>
        <v>11</v>
      </c>
      <c r="N25" s="2068">
        <f>+VLOOKUP(C25,'Tong hop cong'!C21:W21,21,0)</f>
        <v>2</v>
      </c>
      <c r="O25" s="2068">
        <f>+VLOOKUP(C25,'Tong hop cong'!C21:X21,22,0)</f>
        <v>0</v>
      </c>
      <c r="P25" s="2068">
        <f>+VLOOKUP(C25,'Tong hop cong'!C21:Y21,23,0)</f>
        <v>0</v>
      </c>
      <c r="Q25" s="2068">
        <f t="shared" si="4"/>
        <v>13</v>
      </c>
      <c r="R25" s="2068">
        <f>+VLOOKUP(C25,'1'!$C$14:$R$50,16,0)</f>
        <v>20</v>
      </c>
      <c r="S25" s="2070">
        <f>VLOOKUP(C25,'1'!$C$14:$S$51,17,0)</f>
        <v>1193418</v>
      </c>
      <c r="T25" s="2070"/>
      <c r="U25" s="3633">
        <f t="shared" si="2"/>
        <v>1576918</v>
      </c>
      <c r="V25" s="3634">
        <f t="shared" si="3"/>
        <v>1576918</v>
      </c>
      <c r="W25" s="2435" t="s">
        <v>1552</v>
      </c>
    </row>
    <row r="26" spans="1:23" s="1539" customFormat="1" ht="27.75" customHeight="1">
      <c r="A26" s="2063">
        <v>10</v>
      </c>
      <c r="B26" s="2063">
        <v>10</v>
      </c>
      <c r="C26" s="2087" t="str">
        <f>'Chấm công công nhân'!L22</f>
        <v>Thảo Hôm</v>
      </c>
      <c r="D26" s="2064"/>
      <c r="E26" s="2065" t="s">
        <v>40</v>
      </c>
      <c r="F26" s="2065"/>
      <c r="G26" s="2066"/>
      <c r="H26" s="2067">
        <f t="shared" si="1"/>
        <v>0</v>
      </c>
      <c r="I26" s="2067">
        <f>+VLOOKUP(C26,'Tong hop cong'!C22:S22,17,0)</f>
        <v>372</v>
      </c>
      <c r="J26" s="2068">
        <f>+VLOOKUP(C26,'Tong hop cong'!C22:U22,19,0)</f>
        <v>201.70938005922994</v>
      </c>
      <c r="K26" s="2069" t="str">
        <f>VLOOKUP(C26,'Tong hop cong'!C22:AA22,25,0)</f>
        <v>A</v>
      </c>
      <c r="L26" s="2070">
        <f>VLOOKUP(C26,'1'!$C$14:$L$51,10,0)</f>
        <v>795102</v>
      </c>
      <c r="M26" s="2068">
        <f>+VLOOKUP(C26,'Tong hop cong'!C22:V22,20,0)</f>
        <v>17</v>
      </c>
      <c r="N26" s="2068">
        <f>+VLOOKUP(C26,'Tong hop cong'!C22:W22,21,0)</f>
        <v>4</v>
      </c>
      <c r="O26" s="2068">
        <f>+VLOOKUP(C26,'Tong hop cong'!C22:X22,22,0)</f>
        <v>0</v>
      </c>
      <c r="P26" s="2068">
        <f>+VLOOKUP(C26,'Tong hop cong'!C22:Y22,23,0)</f>
        <v>0</v>
      </c>
      <c r="Q26" s="2068">
        <f t="shared" si="4"/>
        <v>21</v>
      </c>
      <c r="R26" s="2068">
        <f>+VLOOKUP(C26,'1'!$C$14:$R$50,16,0)</f>
        <v>20</v>
      </c>
      <c r="S26" s="2070">
        <f>VLOOKUP(C26,'1'!$C$14:$S$51,17,0)</f>
        <v>1635675</v>
      </c>
      <c r="T26" s="2070"/>
      <c r="U26" s="3633">
        <f t="shared" si="2"/>
        <v>2430777</v>
      </c>
      <c r="V26" s="3634">
        <f t="shared" si="3"/>
        <v>2430777</v>
      </c>
      <c r="W26" s="2435" t="s">
        <v>1552</v>
      </c>
    </row>
    <row r="27" spans="1:23" s="1539" customFormat="1" ht="27.75" customHeight="1">
      <c r="A27" s="2063">
        <v>11</v>
      </c>
      <c r="B27" s="2063">
        <v>11</v>
      </c>
      <c r="C27" s="2087" t="str">
        <f>'Chấm công công nhân'!L23</f>
        <v xml:space="preserve">Thảo Khăm  </v>
      </c>
      <c r="D27" s="2064"/>
      <c r="E27" s="2065" t="s">
        <v>40</v>
      </c>
      <c r="F27" s="2065"/>
      <c r="G27" s="2066"/>
      <c r="H27" s="2067">
        <f t="shared" si="1"/>
        <v>0</v>
      </c>
      <c r="I27" s="2067">
        <f>+VLOOKUP(C27,'Tong hop cong'!C23:S23,17,0)</f>
        <v>0</v>
      </c>
      <c r="J27" s="2068">
        <f>+VLOOKUP(C27,'Tong hop cong'!C23:U23,19,0)</f>
        <v>0</v>
      </c>
      <c r="K27" s="2069" t="str">
        <f>VLOOKUP(C27,'Tong hop cong'!C23:AA23,25,0)</f>
        <v>B</v>
      </c>
      <c r="L27" s="2070">
        <f>VLOOKUP(C27,'1'!$C$14:$L$51,10,0)</f>
        <v>0</v>
      </c>
      <c r="M27" s="2068">
        <f>+VLOOKUP(C27,'Tong hop cong'!C23:V23,20,0)</f>
        <v>9</v>
      </c>
      <c r="N27" s="2068">
        <f>+VLOOKUP(C27,'Tong hop cong'!C23:W23,21,0)</f>
        <v>1</v>
      </c>
      <c r="O27" s="2068">
        <f>+VLOOKUP(C27,'Tong hop cong'!C23:X23,22,0)</f>
        <v>0</v>
      </c>
      <c r="P27" s="2068">
        <f>+VLOOKUP(C27,'Tong hop cong'!C23:Y23,23,0)</f>
        <v>0</v>
      </c>
      <c r="Q27" s="2068">
        <f t="shared" si="4"/>
        <v>10</v>
      </c>
      <c r="R27" s="2068">
        <f>+VLOOKUP(C27,'1'!$C$14:$R$50,16,0)</f>
        <v>20</v>
      </c>
      <c r="S27" s="2070">
        <f>VLOOKUP(C27,'1'!$C$14:$S$51,17,0)</f>
        <v>1022522</v>
      </c>
      <c r="T27" s="2070"/>
      <c r="U27" s="3633">
        <f t="shared" si="2"/>
        <v>1022522</v>
      </c>
      <c r="V27" s="3634">
        <f t="shared" si="3"/>
        <v>1022522</v>
      </c>
      <c r="W27" s="2435" t="s">
        <v>1552</v>
      </c>
    </row>
    <row r="28" spans="1:23" s="1539" customFormat="1" ht="27.75" customHeight="1">
      <c r="A28" s="2063">
        <v>12</v>
      </c>
      <c r="B28" s="2063">
        <v>12</v>
      </c>
      <c r="C28" s="2087" t="str">
        <f>'Chấm công công nhân'!L24</f>
        <v>Thảo Hăm</v>
      </c>
      <c r="D28" s="2064"/>
      <c r="E28" s="2065" t="s">
        <v>40</v>
      </c>
      <c r="F28" s="2065"/>
      <c r="G28" s="2066"/>
      <c r="H28" s="2067">
        <f t="shared" si="1"/>
        <v>0</v>
      </c>
      <c r="I28" s="2067">
        <f>+VLOOKUP(C28,'Tong hop cong'!C24:S24,17,0)</f>
        <v>0</v>
      </c>
      <c r="J28" s="2068">
        <f>+VLOOKUP(C28,'Tong hop cong'!C24:U24,19,0)</f>
        <v>0</v>
      </c>
      <c r="K28" s="2069" t="str">
        <f>VLOOKUP(C28,'Tong hop cong'!C24:AA24,25,0)</f>
        <v>A</v>
      </c>
      <c r="L28" s="2070">
        <f>VLOOKUP(C28,'1'!$C$14:$L$51,10,0)</f>
        <v>0</v>
      </c>
      <c r="M28" s="2068">
        <f>+VLOOKUP(C28,'Tong hop cong'!C24:V24,20,0)</f>
        <v>14</v>
      </c>
      <c r="N28" s="2068">
        <f>+VLOOKUP(C28,'Tong hop cong'!C24:W24,21,0)</f>
        <v>2</v>
      </c>
      <c r="O28" s="2068">
        <f>+VLOOKUP(C28,'Tong hop cong'!C24:X24,22,0)</f>
        <v>0</v>
      </c>
      <c r="P28" s="2068">
        <f>+VLOOKUP(C28,'Tong hop cong'!C24:Y24,23,0)</f>
        <v>0</v>
      </c>
      <c r="Q28" s="2068">
        <f t="shared" si="4"/>
        <v>16</v>
      </c>
      <c r="R28" s="2068">
        <f>+VLOOKUP(C28,'1'!$C$14:$R$50,16,0)</f>
        <v>20</v>
      </c>
      <c r="S28" s="2070">
        <f>VLOOKUP(C28,'1'!$C$14:$S$51,17,0)</f>
        <v>1344115</v>
      </c>
      <c r="T28" s="2070"/>
      <c r="U28" s="3633">
        <f t="shared" si="2"/>
        <v>1344115</v>
      </c>
      <c r="V28" s="3634">
        <f t="shared" si="3"/>
        <v>1344115</v>
      </c>
      <c r="W28" s="2435" t="s">
        <v>1552</v>
      </c>
    </row>
    <row r="29" spans="1:23" s="1539" customFormat="1" ht="27.75" customHeight="1">
      <c r="A29" s="2063">
        <v>13</v>
      </c>
      <c r="B29" s="2063">
        <v>13</v>
      </c>
      <c r="C29" s="2087" t="str">
        <f>'Chấm công công nhân'!L25</f>
        <v>Nang Lon</v>
      </c>
      <c r="D29" s="2064"/>
      <c r="E29" s="2065" t="s">
        <v>40</v>
      </c>
      <c r="F29" s="2065"/>
      <c r="G29" s="2066"/>
      <c r="H29" s="2067">
        <f t="shared" si="1"/>
        <v>0</v>
      </c>
      <c r="I29" s="2067">
        <f>+VLOOKUP(C29,'Tong hop cong'!C25:S25,17,0)</f>
        <v>0</v>
      </c>
      <c r="J29" s="2068">
        <f>+VLOOKUP(C29,'Tong hop cong'!C25:U25,19,0)</f>
        <v>0</v>
      </c>
      <c r="K29" s="2069" t="str">
        <f>VLOOKUP(C29,'Tong hop cong'!C25:AA25,25,0)</f>
        <v>B</v>
      </c>
      <c r="L29" s="2070">
        <f>VLOOKUP(C29,'1'!$C$14:$L$51,10,0)</f>
        <v>0</v>
      </c>
      <c r="M29" s="2068">
        <f>+VLOOKUP(C29,'Tong hop cong'!C25:V25,20,0)</f>
        <v>14</v>
      </c>
      <c r="N29" s="2068">
        <f>+VLOOKUP(C29,'Tong hop cong'!C25:W25,21,0)</f>
        <v>2</v>
      </c>
      <c r="O29" s="2068">
        <f>+VLOOKUP(C29,'Tong hop cong'!C25:X25,22,0)</f>
        <v>0</v>
      </c>
      <c r="P29" s="2068">
        <f>+VLOOKUP(C29,'Tong hop cong'!C25:Y25,23,0)</f>
        <v>0</v>
      </c>
      <c r="Q29" s="2068">
        <f>M29+N29+O29+P29</f>
        <v>16</v>
      </c>
      <c r="R29" s="2068">
        <f>+VLOOKUP(C29,'1'!$C$14:$R$50,16,0)</f>
        <v>20</v>
      </c>
      <c r="S29" s="2070">
        <f>VLOOKUP(C29,'1'!$C$14:$S$51,17,0)</f>
        <v>1344115</v>
      </c>
      <c r="T29" s="2070"/>
      <c r="U29" s="3633">
        <f t="shared" si="2"/>
        <v>1344115</v>
      </c>
      <c r="V29" s="3634">
        <f t="shared" si="3"/>
        <v>1344115</v>
      </c>
      <c r="W29" s="2435" t="s">
        <v>1552</v>
      </c>
    </row>
    <row r="30" spans="1:23" s="1539" customFormat="1" ht="27.75" customHeight="1">
      <c r="A30" s="2063">
        <v>14</v>
      </c>
      <c r="B30" s="2063">
        <v>14</v>
      </c>
      <c r="C30" s="2087" t="str">
        <f>'Chấm công công nhân'!L26</f>
        <v>Thảo Pheng</v>
      </c>
      <c r="D30" s="2064"/>
      <c r="E30" s="2065" t="s">
        <v>40</v>
      </c>
      <c r="F30" s="2065"/>
      <c r="G30" s="2066"/>
      <c r="H30" s="2067">
        <f t="shared" si="1"/>
        <v>0</v>
      </c>
      <c r="I30" s="2067">
        <f>+VLOOKUP(C30,'Tong hop cong'!C26:S26,17,0)</f>
        <v>102</v>
      </c>
      <c r="J30" s="2068">
        <f>+VLOOKUP(C30,'Tong hop cong'!C26:U26,19,0)</f>
        <v>55.307410661401761</v>
      </c>
      <c r="K30" s="2069" t="str">
        <f>VLOOKUP(C30,'Tong hop cong'!C26:AA26,25,0)</f>
        <v>B</v>
      </c>
      <c r="L30" s="2070">
        <f>VLOOKUP(C30,'1'!$C$14:$L$51,10,0)</f>
        <v>207290</v>
      </c>
      <c r="M30" s="2068">
        <f>+VLOOKUP(C30,'Tong hop cong'!C26:V26,20,0)</f>
        <v>14</v>
      </c>
      <c r="N30" s="2068">
        <f>+VLOOKUP(C30,'Tong hop cong'!C26:W26,21,0)</f>
        <v>2</v>
      </c>
      <c r="O30" s="2068">
        <f>+VLOOKUP(C30,'Tong hop cong'!C26:X26,22,0)</f>
        <v>0</v>
      </c>
      <c r="P30" s="2068">
        <f>+VLOOKUP(C30,'Tong hop cong'!C26:Y26,23,0)</f>
        <v>0</v>
      </c>
      <c r="Q30" s="2068">
        <f t="shared" si="4"/>
        <v>16</v>
      </c>
      <c r="R30" s="2068">
        <f>+VLOOKUP(C30,'1'!$C$14:$R$50,16,0)</f>
        <v>20</v>
      </c>
      <c r="S30" s="2070">
        <f>VLOOKUP(C30,'1'!$C$14:$S$51,17,0)</f>
        <v>1344115</v>
      </c>
      <c r="T30" s="2070"/>
      <c r="U30" s="3633">
        <f t="shared" si="2"/>
        <v>1551405</v>
      </c>
      <c r="V30" s="3634">
        <f t="shared" si="3"/>
        <v>1551405</v>
      </c>
      <c r="W30" s="2435" t="s">
        <v>1552</v>
      </c>
    </row>
    <row r="31" spans="1:23" s="1539" customFormat="1" ht="27.75" customHeight="1">
      <c r="A31" s="2063">
        <v>15</v>
      </c>
      <c r="B31" s="2063">
        <v>15</v>
      </c>
      <c r="C31" s="2087" t="str">
        <f>'Chấm công công nhân'!L27</f>
        <v>Thảo kok</v>
      </c>
      <c r="D31" s="2064" t="str">
        <f>VLOOKUP(C31,'Mã số NV'!$B$6:$D$53,3,0)</f>
        <v>01874</v>
      </c>
      <c r="E31" s="2065" t="s">
        <v>40</v>
      </c>
      <c r="F31" s="2065"/>
      <c r="G31" s="2066"/>
      <c r="H31" s="2067">
        <f t="shared" si="1"/>
        <v>0</v>
      </c>
      <c r="I31" s="2067">
        <f>+VLOOKUP(C31,'Tong hop cong'!C27:S27,17,0)</f>
        <v>261</v>
      </c>
      <c r="J31" s="2068">
        <f>+VLOOKUP(C31,'Tong hop cong'!C27:U27,19,0)</f>
        <v>141.52190375123391</v>
      </c>
      <c r="K31" s="2069" t="str">
        <f>VLOOKUP(C31,'Tong hop cong'!C27:AA27,25,0)</f>
        <v>A</v>
      </c>
      <c r="L31" s="2070">
        <f>VLOOKUP(C31,'1'!$C$14:$L$51,10,0)</f>
        <v>557854</v>
      </c>
      <c r="M31" s="2068">
        <f>+VLOOKUP(C31,'Tong hop cong'!C27:V27,20,0)</f>
        <v>12</v>
      </c>
      <c r="N31" s="2068">
        <f>+VLOOKUP(C31,'Tong hop cong'!C27:W27,21,0)</f>
        <v>3</v>
      </c>
      <c r="O31" s="2068">
        <f>+VLOOKUP(C31,'Tong hop cong'!C27:X27,22,0)</f>
        <v>0</v>
      </c>
      <c r="P31" s="2068">
        <f>+VLOOKUP(C31,'Tong hop cong'!C27:Y27,23,0)</f>
        <v>0</v>
      </c>
      <c r="Q31" s="2068">
        <f t="shared" si="4"/>
        <v>15</v>
      </c>
      <c r="R31" s="2068">
        <f>+VLOOKUP(C31,'1'!$C$14:$R$50,16,0)</f>
        <v>20</v>
      </c>
      <c r="S31" s="2070">
        <f>VLOOKUP(C31,'1'!$C$14:$S$51,17,0)</f>
        <v>1314082</v>
      </c>
      <c r="T31" s="2070"/>
      <c r="U31" s="3633">
        <f t="shared" si="2"/>
        <v>1871936</v>
      </c>
      <c r="V31" s="3634">
        <f t="shared" si="3"/>
        <v>1871936</v>
      </c>
      <c r="W31" s="2435" t="s">
        <v>1552</v>
      </c>
    </row>
    <row r="32" spans="1:23" s="1539" customFormat="1" ht="27.75" customHeight="1">
      <c r="A32" s="2063">
        <v>16</v>
      </c>
      <c r="B32" s="2063">
        <v>16</v>
      </c>
      <c r="C32" s="2087" t="str">
        <f>'Chấm công công nhân'!L28</f>
        <v>Nàng Sút Chay</v>
      </c>
      <c r="D32" s="2064" t="e">
        <f>VLOOKUP(C32,'Mã số NV'!$B$6:$D$53,3,0)</f>
        <v>#N/A</v>
      </c>
      <c r="E32" s="2065" t="s">
        <v>40</v>
      </c>
      <c r="F32" s="2065"/>
      <c r="G32" s="2066"/>
      <c r="H32" s="2067">
        <f t="shared" si="1"/>
        <v>0</v>
      </c>
      <c r="I32" s="2067">
        <f>+VLOOKUP(C32,'Tong hop cong'!C28:S28,17,0)</f>
        <v>70</v>
      </c>
      <c r="J32" s="2068">
        <f>+VLOOKUP(C32,'Tong hop cong'!C28:U28,19,0)</f>
        <v>37.956066140177683</v>
      </c>
      <c r="K32" s="2069" t="str">
        <f>VLOOKUP(C32,'Tong hop cong'!C28:AA28,25,0)</f>
        <v>A</v>
      </c>
      <c r="L32" s="2070">
        <f>VLOOKUP(C32,'1'!$C$14:$L$51,10,0)</f>
        <v>149616</v>
      </c>
      <c r="M32" s="2068">
        <f>+VLOOKUP(C32,'Tong hop cong'!C28:V28,20,0)</f>
        <v>11</v>
      </c>
      <c r="N32" s="2068">
        <f>+VLOOKUP(C32,'Tong hop cong'!C28:W28,21,0)</f>
        <v>3</v>
      </c>
      <c r="O32" s="2068">
        <f>+VLOOKUP(C32,'Tong hop cong'!C28:X28,22,0)</f>
        <v>0</v>
      </c>
      <c r="P32" s="2068">
        <f>+VLOOKUP(C32,'Tong hop cong'!C28:Y28,23,0)</f>
        <v>0</v>
      </c>
      <c r="Q32" s="2068">
        <f t="shared" si="4"/>
        <v>14</v>
      </c>
      <c r="R32" s="2068">
        <f>+VLOOKUP(C32,'1'!$C$14:$R$50,16,0)</f>
        <v>20</v>
      </c>
      <c r="S32" s="2070">
        <f>VLOOKUP(C32,'1'!$C$14:$S$51,17,0)</f>
        <v>1263849</v>
      </c>
      <c r="T32" s="2070"/>
      <c r="U32" s="3633">
        <f t="shared" si="2"/>
        <v>1413465</v>
      </c>
      <c r="V32" s="3634">
        <f t="shared" si="3"/>
        <v>1413465</v>
      </c>
      <c r="W32" s="2435" t="s">
        <v>1552</v>
      </c>
    </row>
    <row r="33" spans="1:23" s="1539" customFormat="1" ht="27.75" customHeight="1">
      <c r="A33" s="2063">
        <v>17</v>
      </c>
      <c r="B33" s="2063">
        <v>17</v>
      </c>
      <c r="C33" s="2087" t="str">
        <f>'Chấm công công nhân'!L29</f>
        <v>Thảo Khăm Phay</v>
      </c>
      <c r="D33" s="2064" t="e">
        <f>VLOOKUP(C33,'Mã số NV'!$B$6:$D$53,3,0)</f>
        <v>#N/A</v>
      </c>
      <c r="E33" s="2065" t="s">
        <v>40</v>
      </c>
      <c r="F33" s="2065"/>
      <c r="G33" s="2066"/>
      <c r="H33" s="2067">
        <f t="shared" si="1"/>
        <v>0</v>
      </c>
      <c r="I33" s="2067">
        <f>+VLOOKUP(C33,'Tong hop cong'!C29:S29,17,0)</f>
        <v>70</v>
      </c>
      <c r="J33" s="2068">
        <f>+VLOOKUP(C33,'Tong hop cong'!C29:U29,19,0)</f>
        <v>37.956066140177683</v>
      </c>
      <c r="K33" s="2069" t="str">
        <f>VLOOKUP(C33,'Tong hop cong'!C29:AA29,25,0)</f>
        <v>B</v>
      </c>
      <c r="L33" s="2070">
        <f>VLOOKUP(C33,'1'!$C$14:$L$51,10,0)</f>
        <v>142258</v>
      </c>
      <c r="M33" s="2068">
        <f>+VLOOKUP(C33,'Tong hop cong'!C29:V29,20,0)</f>
        <v>11</v>
      </c>
      <c r="N33" s="2068">
        <f>+VLOOKUP(C33,'Tong hop cong'!C29:W29,21,0)</f>
        <v>3</v>
      </c>
      <c r="O33" s="2068">
        <f>+VLOOKUP(C33,'Tong hop cong'!C29:X29,22,0)</f>
        <v>0</v>
      </c>
      <c r="P33" s="2068">
        <f>+VLOOKUP(C33,'Tong hop cong'!C29:Y29,23,0)</f>
        <v>0</v>
      </c>
      <c r="Q33" s="2068">
        <f t="shared" si="4"/>
        <v>14</v>
      </c>
      <c r="R33" s="2068">
        <f>+VLOOKUP(C33,'1'!$C$14:$R$50,16,0)</f>
        <v>20</v>
      </c>
      <c r="S33" s="2070">
        <f>VLOOKUP(C33,'1'!$C$14:$S$51,17,0)</f>
        <v>1263849</v>
      </c>
      <c r="T33" s="2070"/>
      <c r="U33" s="3633">
        <f t="shared" si="2"/>
        <v>1406107</v>
      </c>
      <c r="V33" s="3634">
        <f t="shared" si="3"/>
        <v>1406107</v>
      </c>
      <c r="W33" s="2435" t="s">
        <v>1552</v>
      </c>
    </row>
    <row r="34" spans="1:23" s="1539" customFormat="1" ht="27.75" customHeight="1">
      <c r="A34" s="2063">
        <v>18</v>
      </c>
      <c r="B34" s="2063">
        <v>18</v>
      </c>
      <c r="C34" s="2087" t="str">
        <f>'Chấm công công nhân'!L30</f>
        <v>Thảo Sớm</v>
      </c>
      <c r="D34" s="2064" t="e">
        <f>VLOOKUP(C34,'Mã số NV'!$B$6:$D$53,3,0)</f>
        <v>#N/A</v>
      </c>
      <c r="E34" s="2065" t="s">
        <v>40</v>
      </c>
      <c r="F34" s="2065"/>
      <c r="G34" s="2066"/>
      <c r="H34" s="2067">
        <f t="shared" si="1"/>
        <v>0</v>
      </c>
      <c r="I34" s="2067">
        <f>+VLOOKUP(C34,'Tong hop cong'!C30:S30,17,0)</f>
        <v>134</v>
      </c>
      <c r="J34" s="2068">
        <f>+VLOOKUP(C34,'Tong hop cong'!C30:U30,19,0)</f>
        <v>72.658755182625839</v>
      </c>
      <c r="K34" s="2069" t="str">
        <f>VLOOKUP(C34,'Tong hop cong'!C30:AA30,25,0)</f>
        <v>A</v>
      </c>
      <c r="L34" s="2070">
        <f>VLOOKUP(C34,'1'!$C$14:$L$51,10,0)</f>
        <v>286408</v>
      </c>
      <c r="M34" s="2068">
        <f>+VLOOKUP(C34,'Tong hop cong'!C30:V30,20,0)</f>
        <v>12</v>
      </c>
      <c r="N34" s="2068">
        <f>+VLOOKUP(C34,'Tong hop cong'!C30:W30,21,0)</f>
        <v>3</v>
      </c>
      <c r="O34" s="2068">
        <f>+VLOOKUP(C34,'Tong hop cong'!C30:X30,22,0)</f>
        <v>0</v>
      </c>
      <c r="P34" s="2068">
        <f>+VLOOKUP(C34,'Tong hop cong'!C30:Y30,23,0)</f>
        <v>0</v>
      </c>
      <c r="Q34" s="2068">
        <f t="shared" si="4"/>
        <v>15</v>
      </c>
      <c r="R34" s="2068">
        <f>+VLOOKUP(C34,'1'!$C$14:$R$50,16,0)</f>
        <v>20</v>
      </c>
      <c r="S34" s="2070">
        <f>VLOOKUP(C34,'1'!$C$14:$S$51,17,0)</f>
        <v>1314082</v>
      </c>
      <c r="T34" s="2070"/>
      <c r="U34" s="3633">
        <f t="shared" si="2"/>
        <v>1600490</v>
      </c>
      <c r="V34" s="3634">
        <f t="shared" si="3"/>
        <v>1600490</v>
      </c>
      <c r="W34" s="2435" t="s">
        <v>1552</v>
      </c>
    </row>
    <row r="35" spans="1:23" s="1539" customFormat="1" ht="27.75" customHeight="1">
      <c r="A35" s="2063">
        <v>19</v>
      </c>
      <c r="B35" s="2063">
        <v>19</v>
      </c>
      <c r="C35" s="2087" t="str">
        <f>'Chấm công công nhân'!L31</f>
        <v>Pha Xúc</v>
      </c>
      <c r="D35" s="2064" t="e">
        <f>VLOOKUP(C35,'Mã số NV'!$B$6:$D$53,3,0)</f>
        <v>#N/A</v>
      </c>
      <c r="E35" s="2065" t="s">
        <v>40</v>
      </c>
      <c r="F35" s="2065"/>
      <c r="G35" s="2066"/>
      <c r="H35" s="2067">
        <f t="shared" si="1"/>
        <v>0</v>
      </c>
      <c r="I35" s="2067">
        <f>+VLOOKUP(C35,'Tong hop cong'!C31:S31,17,0)</f>
        <v>0</v>
      </c>
      <c r="J35" s="2068">
        <f>+VLOOKUP(C35,'Tong hop cong'!C31:U31,19,0)</f>
        <v>0</v>
      </c>
      <c r="K35" s="2069" t="str">
        <f>VLOOKUP(C35,'Tong hop cong'!C31:AA31,25,0)</f>
        <v>B</v>
      </c>
      <c r="L35" s="2070">
        <f>VLOOKUP(C35,'1'!$C$14:$L$51,10,0)</f>
        <v>0</v>
      </c>
      <c r="M35" s="2068">
        <f>+VLOOKUP(C35,'Tong hop cong'!C31:V31,20,0)</f>
        <v>11</v>
      </c>
      <c r="N35" s="2068">
        <f>+VLOOKUP(C35,'Tong hop cong'!C31:W31,21,0)</f>
        <v>2</v>
      </c>
      <c r="O35" s="2068">
        <f>+VLOOKUP(C35,'Tong hop cong'!C31:X31,22,0)</f>
        <v>0</v>
      </c>
      <c r="P35" s="2068">
        <f>+VLOOKUP(C35,'Tong hop cong'!C31:Y31,23,0)</f>
        <v>0</v>
      </c>
      <c r="Q35" s="2068">
        <f t="shared" si="4"/>
        <v>13</v>
      </c>
      <c r="R35" s="2068">
        <f>+VLOOKUP(C35,'1'!$C$14:$R$50,16,0)</f>
        <v>20</v>
      </c>
      <c r="S35" s="2070">
        <f>VLOOKUP(C35,'1'!$C$14:$S$51,17,0)</f>
        <v>1193418</v>
      </c>
      <c r="T35" s="2070"/>
      <c r="U35" s="3633">
        <f t="shared" si="2"/>
        <v>1193418</v>
      </c>
      <c r="V35" s="3634">
        <f t="shared" si="3"/>
        <v>1193418</v>
      </c>
      <c r="W35" s="2435" t="s">
        <v>1552</v>
      </c>
    </row>
    <row r="36" spans="1:23" s="1539" customFormat="1" ht="27.75" customHeight="1">
      <c r="A36" s="2063">
        <v>20</v>
      </c>
      <c r="B36" s="2063">
        <v>20</v>
      </c>
      <c r="C36" s="2087" t="str">
        <f>'Chấm công công nhân'!L32</f>
        <v>Nàng Phon</v>
      </c>
      <c r="D36" s="2064" t="e">
        <f>VLOOKUP(C36,'Mã số NV'!$B$6:$D$53,3,0)</f>
        <v>#N/A</v>
      </c>
      <c r="E36" s="2065" t="s">
        <v>40</v>
      </c>
      <c r="F36" s="2065"/>
      <c r="G36" s="2066"/>
      <c r="H36" s="2067">
        <f t="shared" si="1"/>
        <v>0</v>
      </c>
      <c r="I36" s="2067">
        <f>+VLOOKUP(C36,'Tong hop cong'!C32:S32,17,0)</f>
        <v>40</v>
      </c>
      <c r="J36" s="2068">
        <f>+VLOOKUP(C36,'Tong hop cong'!C32:U32,19,0)</f>
        <v>21.689180651530105</v>
      </c>
      <c r="K36" s="2069" t="str">
        <f>VLOOKUP(C36,'Tong hop cong'!C32:AA32,25,0)</f>
        <v>A</v>
      </c>
      <c r="L36" s="2070">
        <f>VLOOKUP(C36,'1'!$C$14:$L$51,10,0)</f>
        <v>85495</v>
      </c>
      <c r="M36" s="2068">
        <f>+VLOOKUP(C36,'Tong hop cong'!C32:V32,20,0)</f>
        <v>13</v>
      </c>
      <c r="N36" s="2068">
        <f>+VLOOKUP(C36,'Tong hop cong'!C32:W32,21,0)</f>
        <v>4</v>
      </c>
      <c r="O36" s="2068">
        <f>+VLOOKUP(C36,'Tong hop cong'!C32:X32,22,0)</f>
        <v>0</v>
      </c>
      <c r="P36" s="2068">
        <f>+VLOOKUP(C36,'Tong hop cong'!C32:Y32,23,0)</f>
        <v>0</v>
      </c>
      <c r="Q36" s="2068">
        <f>M36+N36+O36+P36</f>
        <v>17</v>
      </c>
      <c r="R36" s="2068">
        <f>+VLOOKUP(C36,'1'!$C$14:$R$50,16,0)</f>
        <v>20</v>
      </c>
      <c r="S36" s="2070">
        <f>VLOOKUP(C36,'1'!$C$14:$S$51,17,0)</f>
        <v>1434745</v>
      </c>
      <c r="T36" s="2070"/>
      <c r="U36" s="3633">
        <f t="shared" si="2"/>
        <v>1520240</v>
      </c>
      <c r="V36" s="3634">
        <f t="shared" si="3"/>
        <v>1520240</v>
      </c>
      <c r="W36" s="2435" t="s">
        <v>1552</v>
      </c>
    </row>
    <row r="37" spans="1:23" s="1539" customFormat="1" ht="27.75" customHeight="1">
      <c r="A37" s="2063">
        <v>21</v>
      </c>
      <c r="B37" s="2063">
        <v>21</v>
      </c>
      <c r="C37" s="2087" t="str">
        <f>'Chấm công công nhân'!L33</f>
        <v>Thảo Chăn</v>
      </c>
      <c r="D37" s="2064" t="e">
        <f>VLOOKUP(C37,'Mã số NV'!$B$6:$D$53,3,0)</f>
        <v>#N/A</v>
      </c>
      <c r="E37" s="2065" t="s">
        <v>40</v>
      </c>
      <c r="F37" s="2065"/>
      <c r="G37" s="2066"/>
      <c r="H37" s="2067">
        <f t="shared" si="1"/>
        <v>0</v>
      </c>
      <c r="I37" s="2067">
        <f>+VLOOKUP(C37,'Tong hop cong'!C33:S33,17,0)</f>
        <v>262</v>
      </c>
      <c r="J37" s="2068">
        <f>+VLOOKUP(C37,'Tong hop cong'!C33:U33,19,0)</f>
        <v>142.06413326752218</v>
      </c>
      <c r="K37" s="2069" t="str">
        <f>VLOOKUP(C37,'Tong hop cong'!C33:AA33,25,0)</f>
        <v>A</v>
      </c>
      <c r="L37" s="2070">
        <f>VLOOKUP(C37,'1'!$C$14:$L$51,10,0)</f>
        <v>559991</v>
      </c>
      <c r="M37" s="2068">
        <f>+VLOOKUP(C37,'Tong hop cong'!C33:V33,20,0)</f>
        <v>14</v>
      </c>
      <c r="N37" s="2068">
        <f>+VLOOKUP(C37,'Tong hop cong'!C33:W33,21,0)</f>
        <v>3</v>
      </c>
      <c r="O37" s="2068">
        <f>+VLOOKUP(C37,'Tong hop cong'!C33:X33,22,0)</f>
        <v>0</v>
      </c>
      <c r="P37" s="2068">
        <f>+VLOOKUP(C37,'Tong hop cong'!C33:Y33,23,0)</f>
        <v>0</v>
      </c>
      <c r="Q37" s="2068">
        <f t="shared" si="4"/>
        <v>17</v>
      </c>
      <c r="R37" s="2068">
        <f>+VLOOKUP(C37,'1'!$C$14:$R$50,16,0)</f>
        <v>20</v>
      </c>
      <c r="S37" s="2070">
        <f>VLOOKUP(C37,'1'!$C$14:$S$51,17,0)</f>
        <v>1414546</v>
      </c>
      <c r="T37" s="2070"/>
      <c r="U37" s="3633">
        <f t="shared" si="2"/>
        <v>1974537</v>
      </c>
      <c r="V37" s="3634">
        <f t="shared" si="3"/>
        <v>1974537</v>
      </c>
      <c r="W37" s="2435" t="s">
        <v>1552</v>
      </c>
    </row>
    <row r="38" spans="1:23" s="1539" customFormat="1" ht="27.75" customHeight="1">
      <c r="A38" s="2063">
        <v>22</v>
      </c>
      <c r="B38" s="2063">
        <v>22</v>
      </c>
      <c r="C38" s="2087" t="str">
        <f>'Chấm công công nhân'!L34</f>
        <v>Thong La</v>
      </c>
      <c r="D38" s="2064" t="e">
        <f>VLOOKUP(C38,'Mã số NV'!$B$6:$D$53,3,0)</f>
        <v>#N/A</v>
      </c>
      <c r="E38" s="2065" t="s">
        <v>40</v>
      </c>
      <c r="F38" s="2065"/>
      <c r="G38" s="2066"/>
      <c r="H38" s="2067">
        <f t="shared" si="1"/>
        <v>0</v>
      </c>
      <c r="I38" s="2067">
        <f>+VLOOKUP(C38,'Tong hop cong'!C34:S34,17,0)</f>
        <v>133</v>
      </c>
      <c r="J38" s="2068">
        <f>+VLOOKUP(C38,'Tong hop cong'!C34:U34,19,0)</f>
        <v>72.116525666337594</v>
      </c>
      <c r="K38" s="2069" t="str">
        <f>VLOOKUP(C38,'Tong hop cong'!C34:AA34,25,0)</f>
        <v>A</v>
      </c>
      <c r="L38" s="2070">
        <f>VLOOKUP(C38,'1'!$C$14:$L$51,10,0)</f>
        <v>284270</v>
      </c>
      <c r="M38" s="2068">
        <f>+VLOOKUP(C38,'Tong hop cong'!C34:V34,20,0)</f>
        <v>14</v>
      </c>
      <c r="N38" s="2068">
        <f>+VLOOKUP(C38,'Tong hop cong'!C34:W34,21,0)</f>
        <v>3</v>
      </c>
      <c r="O38" s="2068">
        <f>+VLOOKUP(C38,'Tong hop cong'!C34:X34,22,0)</f>
        <v>0</v>
      </c>
      <c r="P38" s="2068">
        <f>+VLOOKUP(C38,'Tong hop cong'!C34:Y34,23,0)</f>
        <v>0</v>
      </c>
      <c r="Q38" s="2068">
        <f t="shared" si="4"/>
        <v>17</v>
      </c>
      <c r="R38" s="2068">
        <f>+VLOOKUP(C38,'1'!$C$14:$R$50,16,0)</f>
        <v>20</v>
      </c>
      <c r="S38" s="2070">
        <f>VLOOKUP(C38,'1'!$C$14:$S$51,17,0)</f>
        <v>1414546</v>
      </c>
      <c r="T38" s="2070"/>
      <c r="U38" s="3633">
        <f t="shared" si="2"/>
        <v>1698816</v>
      </c>
      <c r="V38" s="3634">
        <f t="shared" si="3"/>
        <v>1698816</v>
      </c>
      <c r="W38" s="2435" t="s">
        <v>1552</v>
      </c>
    </row>
    <row r="39" spans="1:23" s="1539" customFormat="1" ht="27.75" customHeight="1">
      <c r="A39" s="2063">
        <v>23</v>
      </c>
      <c r="B39" s="2063">
        <v>23</v>
      </c>
      <c r="C39" s="2087" t="str">
        <f>'Chấm công công nhân'!L35</f>
        <v>Thảo Cum Pha</v>
      </c>
      <c r="D39" s="2064" t="e">
        <f>VLOOKUP(C39,'Mã số NV'!$B$6:$D$53,3,0)</f>
        <v>#N/A</v>
      </c>
      <c r="E39" s="2065" t="s">
        <v>40</v>
      </c>
      <c r="F39" s="2065"/>
      <c r="G39" s="2066"/>
      <c r="H39" s="2067">
        <f t="shared" si="1"/>
        <v>0</v>
      </c>
      <c r="I39" s="2067">
        <f>+VLOOKUP(C39,'Tong hop cong'!C35:S35,17,0)</f>
        <v>21</v>
      </c>
      <c r="J39" s="2068">
        <f>+VLOOKUP(C39,'Tong hop cong'!C35:U35,19,0)</f>
        <v>11.386819842053303</v>
      </c>
      <c r="K39" s="2069" t="str">
        <f>VLOOKUP(C39,'Tong hop cong'!C35:AA35,25,0)</f>
        <v>B</v>
      </c>
      <c r="L39" s="2070">
        <f>VLOOKUP(C39,'1'!$C$14:$L$51,10,0)</f>
        <v>42677</v>
      </c>
      <c r="M39" s="2068">
        <f>+VLOOKUP(C39,'Tong hop cong'!C35:V35,20,0)</f>
        <v>8</v>
      </c>
      <c r="N39" s="2068">
        <f>+VLOOKUP(C39,'Tong hop cong'!C35:W35,21,0)</f>
        <v>2</v>
      </c>
      <c r="O39" s="2068">
        <f>+VLOOKUP(C39,'Tong hop cong'!C35:X35,22,0)</f>
        <v>0</v>
      </c>
      <c r="P39" s="2068">
        <f>+VLOOKUP(C39,'Tong hop cong'!C35:Y35,23,0)</f>
        <v>0</v>
      </c>
      <c r="Q39" s="2068">
        <f t="shared" si="4"/>
        <v>10</v>
      </c>
      <c r="R39" s="2068">
        <f>+VLOOKUP(C39,'1'!$C$14:$R$50,16,0)</f>
        <v>20</v>
      </c>
      <c r="S39" s="2070">
        <f>VLOOKUP(C39,'1'!$C$14:$S$51,17,0)</f>
        <v>1042721</v>
      </c>
      <c r="T39" s="2070"/>
      <c r="U39" s="3633">
        <f t="shared" si="2"/>
        <v>1085398</v>
      </c>
      <c r="V39" s="3634">
        <f t="shared" si="3"/>
        <v>1085398</v>
      </c>
      <c r="W39" s="2435" t="s">
        <v>1552</v>
      </c>
    </row>
    <row r="40" spans="1:23" s="1539" customFormat="1" ht="27.75" customHeight="1">
      <c r="A40" s="2063">
        <v>24</v>
      </c>
      <c r="B40" s="2063">
        <v>24</v>
      </c>
      <c r="C40" s="2087" t="str">
        <f>'Chấm công công nhân'!L36</f>
        <v>T Ô Vên</v>
      </c>
      <c r="D40" s="2064" t="e">
        <f>VLOOKUP(C40,'Mã số NV'!$B$6:$D$53,3,0)</f>
        <v>#N/A</v>
      </c>
      <c r="E40" s="2065" t="s">
        <v>40</v>
      </c>
      <c r="F40" s="2065"/>
      <c r="G40" s="2066"/>
      <c r="H40" s="2067">
        <f t="shared" si="1"/>
        <v>0</v>
      </c>
      <c r="I40" s="2067">
        <f>+VLOOKUP(C40,'Tong hop cong'!C36:S36,17,0)</f>
        <v>206</v>
      </c>
      <c r="J40" s="2068">
        <f>+VLOOKUP(C40,'Tong hop cong'!C36:U36,19,0)</f>
        <v>111.69928035538004</v>
      </c>
      <c r="K40" s="2069" t="str">
        <f>VLOOKUP(C40,'Tong hop cong'!C36:AA36,25,0)</f>
        <v>B</v>
      </c>
      <c r="L40" s="2070">
        <f>VLOOKUP(C40,'1'!$C$14:$L$51,10,0)</f>
        <v>418644</v>
      </c>
      <c r="M40" s="2068">
        <f>+VLOOKUP(C40,'Tong hop cong'!C36:V36,20,0)</f>
        <v>14</v>
      </c>
      <c r="N40" s="2068">
        <f>+VLOOKUP(C40,'Tong hop cong'!C36:W36,21,0)</f>
        <v>3</v>
      </c>
      <c r="O40" s="2068">
        <f>+VLOOKUP(C40,'Tong hop cong'!C36:X36,22,0)</f>
        <v>0</v>
      </c>
      <c r="P40" s="2068">
        <f>+VLOOKUP(C40,'Tong hop cong'!C36:Y36,23,0)</f>
        <v>0</v>
      </c>
      <c r="Q40" s="2068">
        <f t="shared" si="4"/>
        <v>17</v>
      </c>
      <c r="R40" s="2068">
        <f>+VLOOKUP(C40,'1'!$C$14:$R$50,16,0)</f>
        <v>20</v>
      </c>
      <c r="S40" s="2070">
        <f>VLOOKUP(C40,'1'!$C$14:$S$51,17,0)</f>
        <v>1414546</v>
      </c>
      <c r="T40" s="2070"/>
      <c r="U40" s="3633">
        <f t="shared" si="2"/>
        <v>1833190</v>
      </c>
      <c r="V40" s="3634">
        <f t="shared" si="3"/>
        <v>1833190</v>
      </c>
      <c r="W40" s="2435" t="s">
        <v>1552</v>
      </c>
    </row>
    <row r="41" spans="1:23" s="1539" customFormat="1" ht="27.75" customHeight="1">
      <c r="A41" s="2063">
        <v>25</v>
      </c>
      <c r="B41" s="2063">
        <v>25</v>
      </c>
      <c r="C41" s="2087" t="str">
        <f>'Chấm công công nhân'!L37</f>
        <v>Nàng Lam</v>
      </c>
      <c r="D41" s="2064" t="e">
        <f>VLOOKUP(C41,'Mã số NV'!$B$6:$D$53,3,0)</f>
        <v>#N/A</v>
      </c>
      <c r="E41" s="2065" t="s">
        <v>40</v>
      </c>
      <c r="F41" s="2065"/>
      <c r="G41" s="2066"/>
      <c r="H41" s="2067">
        <f t="shared" si="1"/>
        <v>0</v>
      </c>
      <c r="I41" s="2067">
        <f>+VLOOKUP(C41,'Tong hop cong'!C37:S37,17,0)</f>
        <v>247</v>
      </c>
      <c r="J41" s="2068">
        <f>+VLOOKUP(C41,'Tong hop cong'!C37:U37,19,0)</f>
        <v>133.93069052319839</v>
      </c>
      <c r="K41" s="2069" t="str">
        <f>VLOOKUP(C41,'Tong hop cong'!C37:AA37,25,0)</f>
        <v>A</v>
      </c>
      <c r="L41" s="2070">
        <f>VLOOKUP(C41,'1'!$C$14:$L$51,10,0)</f>
        <v>527931</v>
      </c>
      <c r="M41" s="2068">
        <f>+VLOOKUP(C41,'Tong hop cong'!C37:V37,20,0)</f>
        <v>18</v>
      </c>
      <c r="N41" s="2068">
        <f>+VLOOKUP(C41,'Tong hop cong'!C37:W37,21,0)</f>
        <v>4</v>
      </c>
      <c r="O41" s="2068">
        <f>+VLOOKUP(C41,'Tong hop cong'!C37:X37,22,0)</f>
        <v>0</v>
      </c>
      <c r="P41" s="2068">
        <f>+VLOOKUP(C41,'Tong hop cong'!C37:Y37,23,0)</f>
        <v>0</v>
      </c>
      <c r="Q41" s="2068">
        <f t="shared" si="4"/>
        <v>22</v>
      </c>
      <c r="R41" s="2068">
        <f>+VLOOKUP(C41,'1'!$C$14:$R$50,16,0)</f>
        <v>20</v>
      </c>
      <c r="S41" s="2070">
        <f>VLOOKUP(C41,'1'!$C$14:$S$51,17,0)</f>
        <v>1685907</v>
      </c>
      <c r="T41" s="2070"/>
      <c r="U41" s="3633">
        <f t="shared" si="2"/>
        <v>2213838</v>
      </c>
      <c r="V41" s="3634">
        <f t="shared" si="3"/>
        <v>2213838</v>
      </c>
      <c r="W41" s="2435" t="s">
        <v>1552</v>
      </c>
    </row>
    <row r="42" spans="1:23" s="1539" customFormat="1" ht="27.75" customHeight="1">
      <c r="A42" s="2063">
        <v>26</v>
      </c>
      <c r="B42" s="2063">
        <v>26</v>
      </c>
      <c r="C42" s="2087" t="str">
        <f>'Chấm công công nhân'!L38</f>
        <v>Nàng Hđao</v>
      </c>
      <c r="D42" s="2064" t="e">
        <f>VLOOKUP(C42,'Mã số NV'!$B$6:$D$53,3,0)</f>
        <v>#N/A</v>
      </c>
      <c r="E42" s="2065" t="s">
        <v>40</v>
      </c>
      <c r="F42" s="2065"/>
      <c r="G42" s="2066"/>
      <c r="H42" s="2067">
        <f t="shared" si="1"/>
        <v>0</v>
      </c>
      <c r="I42" s="2067">
        <f>+VLOOKUP(C42,'Tong hop cong'!C38:S38,17,0)</f>
        <v>48</v>
      </c>
      <c r="J42" s="2068">
        <f>+VLOOKUP(C42,'Tong hop cong'!C38:U38,19,0)</f>
        <v>26.027016781836124</v>
      </c>
      <c r="K42" s="2069" t="str">
        <f>VLOOKUP(C42,'Tong hop cong'!C38:AA38,25,0)</f>
        <v>B</v>
      </c>
      <c r="L42" s="2070">
        <f>VLOOKUP(C42,'1'!$C$14:$L$51,10,0)</f>
        <v>97548</v>
      </c>
      <c r="M42" s="2068">
        <f>+VLOOKUP(C42,'Tong hop cong'!C38:V38,20,0)</f>
        <v>13</v>
      </c>
      <c r="N42" s="2068">
        <f>+VLOOKUP(C42,'Tong hop cong'!C38:W38,21,0)</f>
        <v>3</v>
      </c>
      <c r="O42" s="2068">
        <f>+VLOOKUP(C42,'Tong hop cong'!C38:X38,22,0)</f>
        <v>0</v>
      </c>
      <c r="P42" s="2068">
        <f>+VLOOKUP(C42,'Tong hop cong'!C38:Y38,23,0)</f>
        <v>0</v>
      </c>
      <c r="Q42" s="2068">
        <f t="shared" si="4"/>
        <v>16</v>
      </c>
      <c r="R42" s="2068">
        <f>+VLOOKUP(C42,'1'!$C$14:$R$50,16,0)</f>
        <v>20</v>
      </c>
      <c r="S42" s="2070">
        <f>VLOOKUP(C42,'1'!$C$14:$S$51,17,0)</f>
        <v>1364314</v>
      </c>
      <c r="T42" s="2070"/>
      <c r="U42" s="3633">
        <f t="shared" si="2"/>
        <v>1461862</v>
      </c>
      <c r="V42" s="3634">
        <f t="shared" si="3"/>
        <v>1461862</v>
      </c>
      <c r="W42" s="2435" t="s">
        <v>1552</v>
      </c>
    </row>
    <row r="43" spans="1:23" s="1539" customFormat="1" ht="27.75" customHeight="1">
      <c r="A43" s="2063">
        <v>27</v>
      </c>
      <c r="B43" s="2063">
        <v>27</v>
      </c>
      <c r="C43" s="2087" t="str">
        <f>'Chấm công công nhân'!L39</f>
        <v>Thảo Tong</v>
      </c>
      <c r="D43" s="2064" t="e">
        <f>VLOOKUP(C43,'Mã số NV'!$B$6:$D$53,3,0)</f>
        <v>#N/A</v>
      </c>
      <c r="E43" s="2065" t="s">
        <v>40</v>
      </c>
      <c r="F43" s="2065"/>
      <c r="G43" s="2066"/>
      <c r="H43" s="2067">
        <f t="shared" si="1"/>
        <v>0</v>
      </c>
      <c r="I43" s="2067">
        <f>+VLOOKUP(C43,'Tong hop cong'!C39:S39,17,0)</f>
        <v>118</v>
      </c>
      <c r="J43" s="2068">
        <f>+VLOOKUP(C43,'Tong hop cong'!C39:U39,19,0)</f>
        <v>63.9830829220138</v>
      </c>
      <c r="K43" s="2069" t="str">
        <f>VLOOKUP(C43,'Tong hop cong'!C39:AA39,25,0)</f>
        <v>B</v>
      </c>
      <c r="L43" s="2070">
        <f>VLOOKUP(C43,'1'!$C$14:$L$51,10,0)</f>
        <v>239806</v>
      </c>
      <c r="M43" s="2068">
        <f>+VLOOKUP(C43,'Tong hop cong'!C39:V39,20,0)</f>
        <v>14</v>
      </c>
      <c r="N43" s="2068">
        <f>+VLOOKUP(C43,'Tong hop cong'!C39:W39,21,0)</f>
        <v>3</v>
      </c>
      <c r="O43" s="2068">
        <f>+VLOOKUP(C43,'Tong hop cong'!C39:X39,22,0)</f>
        <v>0</v>
      </c>
      <c r="P43" s="2068">
        <f>+VLOOKUP(C43,'Tong hop cong'!C39:Y39,23,0)</f>
        <v>0</v>
      </c>
      <c r="Q43" s="2068">
        <f t="shared" si="4"/>
        <v>17</v>
      </c>
      <c r="R43" s="2068">
        <f>+VLOOKUP(C43,'1'!$C$14:$R$50,16,0)</f>
        <v>20</v>
      </c>
      <c r="S43" s="2070">
        <f>VLOOKUP(C43,'1'!$C$14:$S$51,17,0)</f>
        <v>1414546</v>
      </c>
      <c r="T43" s="2070"/>
      <c r="U43" s="3633">
        <f t="shared" si="2"/>
        <v>1654352</v>
      </c>
      <c r="V43" s="3634">
        <f t="shared" si="3"/>
        <v>1654352</v>
      </c>
      <c r="W43" s="2435" t="s">
        <v>1552</v>
      </c>
    </row>
    <row r="44" spans="1:23" s="1539" customFormat="1" ht="27.75" customHeight="1">
      <c r="A44" s="2063">
        <v>28</v>
      </c>
      <c r="B44" s="2063">
        <v>28</v>
      </c>
      <c r="C44" s="2087" t="str">
        <f>'Chấm công công nhân'!L40</f>
        <v>Thảo Khốc</v>
      </c>
      <c r="D44" s="2064" t="e">
        <f>VLOOKUP(C44,'Mã số NV'!$B$6:$D$53,3,0)</f>
        <v>#N/A</v>
      </c>
      <c r="E44" s="2065" t="s">
        <v>40</v>
      </c>
      <c r="F44" s="2065"/>
      <c r="G44" s="2066"/>
      <c r="H44" s="2067">
        <f t="shared" si="1"/>
        <v>0</v>
      </c>
      <c r="I44" s="2067">
        <f>+VLOOKUP(C44,'Tong hop cong'!C40:S40,17,0)</f>
        <v>427</v>
      </c>
      <c r="J44" s="2068">
        <f>+VLOOKUP(C44,'Tong hop cong'!C40:U40,19,0)</f>
        <v>231.53200345508384</v>
      </c>
      <c r="K44" s="2069" t="str">
        <f>VLOOKUP(C44,'Tong hop cong'!C40:AA40,25,0)</f>
        <v>A</v>
      </c>
      <c r="L44" s="2070">
        <f>VLOOKUP(C44,'1'!$C$14:$L$51,10,0)</f>
        <v>912657</v>
      </c>
      <c r="M44" s="2068">
        <f>+VLOOKUP(C44,'Tong hop cong'!C40:V40,20,0)</f>
        <v>19</v>
      </c>
      <c r="N44" s="2068">
        <f>+VLOOKUP(C44,'Tong hop cong'!C40:W40,21,0)</f>
        <v>3</v>
      </c>
      <c r="O44" s="2068">
        <f>+VLOOKUP(C44,'Tong hop cong'!C40:X40,22,0)</f>
        <v>0</v>
      </c>
      <c r="P44" s="2068">
        <f>+VLOOKUP(C44,'Tong hop cong'!C40:Y40,23,0)</f>
        <v>0</v>
      </c>
      <c r="Q44" s="2068">
        <f t="shared" si="4"/>
        <v>22</v>
      </c>
      <c r="R44" s="2068">
        <f>+VLOOKUP(C44,'1'!$C$14:$R$50,16,0)</f>
        <v>20</v>
      </c>
      <c r="S44" s="2070">
        <f>VLOOKUP(C44,'1'!$C$14:$S$51,17,0)</f>
        <v>1665708</v>
      </c>
      <c r="T44" s="2070"/>
      <c r="U44" s="3633">
        <f t="shared" si="2"/>
        <v>2578365</v>
      </c>
      <c r="V44" s="3634">
        <f t="shared" si="3"/>
        <v>2578365</v>
      </c>
      <c r="W44" s="2435" t="s">
        <v>1552</v>
      </c>
    </row>
    <row r="45" spans="1:23" s="1539" customFormat="1" ht="27.75" customHeight="1">
      <c r="A45" s="2063">
        <v>29</v>
      </c>
      <c r="B45" s="2063">
        <v>29</v>
      </c>
      <c r="C45" s="2087" t="str">
        <f>'Chấm công công nhân'!L41</f>
        <v>Thảo Sợt</v>
      </c>
      <c r="D45" s="2064"/>
      <c r="E45" s="2065" t="s">
        <v>40</v>
      </c>
      <c r="F45" s="2065"/>
      <c r="G45" s="2066"/>
      <c r="H45" s="2067">
        <f t="shared" si="1"/>
        <v>0</v>
      </c>
      <c r="I45" s="2067">
        <f>+VLOOKUP(C45,'Tong hop cong'!C41:S41,17,0)</f>
        <v>430</v>
      </c>
      <c r="J45" s="2068">
        <f>+VLOOKUP(C45,'Tong hop cong'!C41:U41,19,0)</f>
        <v>233.1586920039486</v>
      </c>
      <c r="K45" s="2069" t="str">
        <f>VLOOKUP(C45,'Tong hop cong'!C41:AA41,25,0)</f>
        <v>B</v>
      </c>
      <c r="L45" s="2070">
        <f>VLOOKUP(C45,'1'!$C$14:$L$51,10,0)</f>
        <v>873869</v>
      </c>
      <c r="M45" s="2068">
        <f>+VLOOKUP(C45,'Tong hop cong'!C41:V41,20,0)</f>
        <v>19</v>
      </c>
      <c r="N45" s="2068">
        <f>+VLOOKUP(C45,'Tong hop cong'!C41:W41,21,0)</f>
        <v>3</v>
      </c>
      <c r="O45" s="2068">
        <f>+VLOOKUP(C45,'Tong hop cong'!C41:X41,22,0)</f>
        <v>0</v>
      </c>
      <c r="P45" s="2068">
        <f>+VLOOKUP(C45,'Tong hop cong'!C41:Y41,23,0)</f>
        <v>0</v>
      </c>
      <c r="Q45" s="2068">
        <f t="shared" si="4"/>
        <v>22</v>
      </c>
      <c r="R45" s="2068">
        <f>+VLOOKUP(C45,'1'!$C$14:$R$50,16,0)</f>
        <v>20</v>
      </c>
      <c r="S45" s="2070">
        <f>VLOOKUP(C45,'1'!$C$14:$S$51,17,0)</f>
        <v>1665708</v>
      </c>
      <c r="T45" s="2070"/>
      <c r="U45" s="3633">
        <f t="shared" si="2"/>
        <v>2539577</v>
      </c>
      <c r="V45" s="3634">
        <f t="shared" si="3"/>
        <v>2539577</v>
      </c>
      <c r="W45" s="2435" t="s">
        <v>1552</v>
      </c>
    </row>
    <row r="46" spans="1:23" s="1539" customFormat="1" ht="27.75" customHeight="1">
      <c r="A46" s="2063">
        <v>30</v>
      </c>
      <c r="B46" s="2063">
        <v>30</v>
      </c>
      <c r="C46" s="2087" t="str">
        <f>'Chấm công công nhân'!L42</f>
        <v>Thảo Văn</v>
      </c>
      <c r="D46" s="2064"/>
      <c r="E46" s="2065" t="s">
        <v>40</v>
      </c>
      <c r="F46" s="2065"/>
      <c r="G46" s="2066"/>
      <c r="H46" s="2067">
        <f t="shared" si="1"/>
        <v>0</v>
      </c>
      <c r="I46" s="2067">
        <f>+VLOOKUP(C46,'Tong hop cong'!C42:S42,17,0)</f>
        <v>0</v>
      </c>
      <c r="J46" s="2068">
        <f>+VLOOKUP(C46,'Tong hop cong'!C42:U42,19,0)</f>
        <v>0</v>
      </c>
      <c r="K46" s="2069" t="str">
        <f>VLOOKUP(C46,'Tong hop cong'!C42:AA42,25,0)</f>
        <v>C</v>
      </c>
      <c r="L46" s="2070">
        <f>VLOOKUP(C46,'1'!$C$14:$L$51,10,0)</f>
        <v>0</v>
      </c>
      <c r="M46" s="2068">
        <f>+VLOOKUP(C46,'Tong hop cong'!C42:V42,20,0)</f>
        <v>13</v>
      </c>
      <c r="N46" s="2068">
        <f>+VLOOKUP(C46,'Tong hop cong'!C42:W42,21,0)</f>
        <v>2</v>
      </c>
      <c r="O46" s="2068">
        <f>+VLOOKUP(C46,'Tong hop cong'!C42:X42,22,0)</f>
        <v>0</v>
      </c>
      <c r="P46" s="2068">
        <f>+VLOOKUP(C46,'Tong hop cong'!C42:Y42,23,0)</f>
        <v>0</v>
      </c>
      <c r="Q46" s="2068">
        <f>M46+N46+O46+P46</f>
        <v>15</v>
      </c>
      <c r="R46" s="2068">
        <f>+VLOOKUP(C46,'1'!$C$14:$R$50,16,0)</f>
        <v>20</v>
      </c>
      <c r="S46" s="2070">
        <f>VLOOKUP(C46,'1'!$C$14:$S$51,17,0)</f>
        <v>1293883</v>
      </c>
      <c r="T46" s="2070"/>
      <c r="U46" s="3633">
        <f t="shared" si="2"/>
        <v>1293883</v>
      </c>
      <c r="V46" s="3634">
        <f t="shared" si="3"/>
        <v>1293883</v>
      </c>
      <c r="W46" s="2435" t="s">
        <v>1552</v>
      </c>
    </row>
    <row r="47" spans="1:23" s="1539" customFormat="1" ht="27.75" customHeight="1">
      <c r="A47" s="2063">
        <v>31</v>
      </c>
      <c r="B47" s="2063">
        <v>31</v>
      </c>
      <c r="C47" s="2087" t="str">
        <f>'Chấm công công nhân'!L43</f>
        <v>Nàng Túc</v>
      </c>
      <c r="D47" s="2064" t="e">
        <f>VLOOKUP(C47,'Mã số NV'!$B$6:$D$53,3,0)</f>
        <v>#N/A</v>
      </c>
      <c r="E47" s="2065" t="s">
        <v>40</v>
      </c>
      <c r="F47" s="2065"/>
      <c r="G47" s="2066"/>
      <c r="H47" s="2067">
        <f t="shared" si="1"/>
        <v>0</v>
      </c>
      <c r="I47" s="2067">
        <f>+VLOOKUP(C47,'Tong hop cong'!C43:S43,17,0)</f>
        <v>209</v>
      </c>
      <c r="J47" s="2068">
        <f>+VLOOKUP(C47,'Tong hop cong'!C43:U43,19,0)</f>
        <v>113.32596890424479</v>
      </c>
      <c r="K47" s="2069" t="str">
        <f>VLOOKUP(C47,'Tong hop cong'!C43:AA43,25,0)</f>
        <v>A</v>
      </c>
      <c r="L47" s="2070">
        <f>VLOOKUP(C47,'1'!$C$14:$L$51,10,0)</f>
        <v>446711</v>
      </c>
      <c r="M47" s="2068">
        <f>+VLOOKUP(C47,'Tong hop cong'!C43:V43,20,0)</f>
        <v>14</v>
      </c>
      <c r="N47" s="2068">
        <f>+VLOOKUP(C47,'Tong hop cong'!C43:W43,21,0)</f>
        <v>3</v>
      </c>
      <c r="O47" s="2068">
        <f>+VLOOKUP(C47,'Tong hop cong'!C43:X43,22,0)</f>
        <v>0</v>
      </c>
      <c r="P47" s="2068">
        <f>+VLOOKUP(C47,'Tong hop cong'!C43:Y43,23,0)</f>
        <v>0</v>
      </c>
      <c r="Q47" s="2068">
        <f t="shared" si="4"/>
        <v>17</v>
      </c>
      <c r="R47" s="2068">
        <f>+VLOOKUP(C47,'1'!$C$14:$R$50,16,0)</f>
        <v>20</v>
      </c>
      <c r="S47" s="2070">
        <f>VLOOKUP(C47,'1'!$C$14:$S$51,17,0)</f>
        <v>1414546</v>
      </c>
      <c r="T47" s="2070"/>
      <c r="U47" s="3633">
        <f t="shared" si="2"/>
        <v>1861257</v>
      </c>
      <c r="V47" s="3634">
        <f t="shared" si="3"/>
        <v>1861257</v>
      </c>
      <c r="W47" s="2435" t="s">
        <v>1552</v>
      </c>
    </row>
    <row r="48" spans="1:23" s="1539" customFormat="1" ht="27.75" customHeight="1">
      <c r="A48" s="2063">
        <v>32</v>
      </c>
      <c r="B48" s="2063">
        <v>32</v>
      </c>
      <c r="C48" s="2087" t="str">
        <f>'Chấm công công nhân'!L44</f>
        <v>Nàng Chon</v>
      </c>
      <c r="D48" s="2064"/>
      <c r="E48" s="2065" t="s">
        <v>40</v>
      </c>
      <c r="F48" s="2065"/>
      <c r="G48" s="2066"/>
      <c r="H48" s="2067">
        <f t="shared" si="1"/>
        <v>0</v>
      </c>
      <c r="I48" s="2067">
        <f>+VLOOKUP(C48,'Tong hop cong'!C44:S44,17,0)</f>
        <v>306</v>
      </c>
      <c r="J48" s="2068">
        <f>+VLOOKUP(C48,'Tong hop cong'!C44:U44,19,0)</f>
        <v>165.92223198420527</v>
      </c>
      <c r="K48" s="2069" t="str">
        <f>VLOOKUP(C48,'Tong hop cong'!C44:AA44,25,0)</f>
        <v>B</v>
      </c>
      <c r="L48" s="2070">
        <f>VLOOKUP(C48,'1'!$C$14:$L$51,10,0)</f>
        <v>621870</v>
      </c>
      <c r="M48" s="2068">
        <f>+VLOOKUP(C48,'Tong hop cong'!C44:V44,20,0)</f>
        <v>18</v>
      </c>
      <c r="N48" s="2068">
        <f>+VLOOKUP(C48,'Tong hop cong'!C44:W44,21,0)</f>
        <v>4</v>
      </c>
      <c r="O48" s="2068">
        <f>+VLOOKUP(C48,'Tong hop cong'!C44:X44,22,0)</f>
        <v>0</v>
      </c>
      <c r="P48" s="2068">
        <f>+VLOOKUP(C48,'Tong hop cong'!C44:Y44,23,0)</f>
        <v>0</v>
      </c>
      <c r="Q48" s="2068">
        <f t="shared" si="4"/>
        <v>22</v>
      </c>
      <c r="R48" s="2068">
        <f>+VLOOKUP(C48,'1'!$C$14:$R$50,16,0)</f>
        <v>20</v>
      </c>
      <c r="S48" s="2070">
        <f>VLOOKUP(C48,'1'!$C$14:$S$51,17,0)</f>
        <v>1685907</v>
      </c>
      <c r="T48" s="2070"/>
      <c r="U48" s="3633">
        <f t="shared" si="2"/>
        <v>2307777</v>
      </c>
      <c r="V48" s="3634">
        <f t="shared" si="3"/>
        <v>2307777</v>
      </c>
      <c r="W48" s="2435" t="s">
        <v>1552</v>
      </c>
    </row>
    <row r="49" spans="1:27" s="1539" customFormat="1" ht="27.75" customHeight="1">
      <c r="A49" s="2063">
        <v>33</v>
      </c>
      <c r="B49" s="2063">
        <v>33</v>
      </c>
      <c r="C49" s="2087" t="str">
        <f>'Chấm công công nhân'!L45</f>
        <v>Thảo Hơ Phơ</v>
      </c>
      <c r="D49" s="2064" t="e">
        <f>VLOOKUP(C49,'Mã số NV'!$B$6:$D$53,3,0)</f>
        <v>#N/A</v>
      </c>
      <c r="E49" s="2065" t="s">
        <v>40</v>
      </c>
      <c r="F49" s="2065"/>
      <c r="G49" s="2066"/>
      <c r="H49" s="2067">
        <f t="shared" si="1"/>
        <v>0</v>
      </c>
      <c r="I49" s="2067">
        <f>+VLOOKUP(C49,'Tong hop cong'!C45:S45,17,0)</f>
        <v>307</v>
      </c>
      <c r="J49" s="2068">
        <f>+VLOOKUP(C49,'Tong hop cong'!C45:U45,19,0)</f>
        <v>166.46446150049351</v>
      </c>
      <c r="K49" s="2069" t="str">
        <f>VLOOKUP(C49,'Tong hop cong'!C45:AA45,25,0)</f>
        <v>A</v>
      </c>
      <c r="L49" s="2070">
        <f>VLOOKUP(C49,'1'!$C$14:$L$51,10,0)</f>
        <v>656173</v>
      </c>
      <c r="M49" s="2068">
        <f>+VLOOKUP(C49,'Tong hop cong'!C45:V45,20,0)</f>
        <v>17</v>
      </c>
      <c r="N49" s="2068">
        <f>+VLOOKUP(C49,'Tong hop cong'!C45:W45,21,0)</f>
        <v>3</v>
      </c>
      <c r="O49" s="2068">
        <f>+VLOOKUP(C49,'Tong hop cong'!C45:X45,22,0)</f>
        <v>0</v>
      </c>
      <c r="P49" s="2068">
        <f>+VLOOKUP(C49,'Tong hop cong'!C45:Y45,23,0)</f>
        <v>0</v>
      </c>
      <c r="Q49" s="2068">
        <f t="shared" si="4"/>
        <v>20</v>
      </c>
      <c r="R49" s="2068">
        <f>+VLOOKUP(C49,'1'!$C$14:$R$50,16,0)</f>
        <v>20</v>
      </c>
      <c r="S49" s="2070">
        <f>VLOOKUP(C49,'1'!$C$14:$S$51,17,0)</f>
        <v>1565244</v>
      </c>
      <c r="T49" s="2070"/>
      <c r="U49" s="3633">
        <f t="shared" si="2"/>
        <v>2221417</v>
      </c>
      <c r="V49" s="3634">
        <f t="shared" si="3"/>
        <v>2221417</v>
      </c>
      <c r="W49" s="2435" t="s">
        <v>1552</v>
      </c>
    </row>
    <row r="50" spans="1:27" s="1539" customFormat="1" ht="27.75" customHeight="1">
      <c r="A50" s="2063">
        <v>34</v>
      </c>
      <c r="B50" s="2063">
        <v>34</v>
      </c>
      <c r="C50" s="2087" t="str">
        <f>'Chấm công công nhân'!L46</f>
        <v>Thảo Phét</v>
      </c>
      <c r="D50" s="2064"/>
      <c r="E50" s="2065" t="s">
        <v>40</v>
      </c>
      <c r="F50" s="2065"/>
      <c r="G50" s="2066"/>
      <c r="H50" s="2067">
        <f t="shared" si="1"/>
        <v>0</v>
      </c>
      <c r="I50" s="2067">
        <f>+VLOOKUP(C50,'Tong hop cong'!C46:S46,17,0)</f>
        <v>311</v>
      </c>
      <c r="J50" s="2068">
        <f>+VLOOKUP(C50,'Tong hop cong'!C46:U46,19,0)</f>
        <v>168.63337956564655</v>
      </c>
      <c r="K50" s="2069" t="str">
        <f>VLOOKUP(C50,'Tong hop cong'!C46:AA46,25,0)</f>
        <v>A</v>
      </c>
      <c r="L50" s="2070">
        <f>VLOOKUP(C50,'1'!$C$14:$L$51,10,0)</f>
        <v>664722</v>
      </c>
      <c r="M50" s="2068">
        <f>+VLOOKUP(C50,'Tong hop cong'!C46:V46,20,0)</f>
        <v>20</v>
      </c>
      <c r="N50" s="2068">
        <f>+VLOOKUP(C50,'Tong hop cong'!C46:W46,21,0)</f>
        <v>3</v>
      </c>
      <c r="O50" s="2068">
        <f>+VLOOKUP(C50,'Tong hop cong'!C46:X46,22,0)</f>
        <v>0</v>
      </c>
      <c r="P50" s="2068">
        <f>+VLOOKUP(C50,'Tong hop cong'!C46:Y46,23,0)</f>
        <v>0</v>
      </c>
      <c r="Q50" s="2068">
        <f t="shared" si="4"/>
        <v>23</v>
      </c>
      <c r="R50" s="2068">
        <f>+VLOOKUP(C50,'1'!$C$14:$R$50,16,0)</f>
        <v>20</v>
      </c>
      <c r="S50" s="2070">
        <f>VLOOKUP(C50,'1'!$C$14:$S$51,17,0)</f>
        <v>1715941</v>
      </c>
      <c r="T50" s="2070"/>
      <c r="U50" s="3633">
        <f t="shared" si="2"/>
        <v>2380663</v>
      </c>
      <c r="V50" s="3634">
        <f t="shared" si="3"/>
        <v>2380663</v>
      </c>
      <c r="W50" s="2435" t="s">
        <v>1552</v>
      </c>
    </row>
    <row r="51" spans="1:27" s="1539" customFormat="1" ht="27.75" customHeight="1">
      <c r="A51" s="2063">
        <v>35</v>
      </c>
      <c r="B51" s="2063">
        <v>35</v>
      </c>
      <c r="C51" s="2087" t="str">
        <f>'Chấm công công nhân'!L47</f>
        <v>Hăn</v>
      </c>
      <c r="D51" s="2064"/>
      <c r="E51" s="2065" t="s">
        <v>40</v>
      </c>
      <c r="F51" s="2065"/>
      <c r="G51" s="2066"/>
      <c r="H51" s="2067">
        <f t="shared" si="1"/>
        <v>0</v>
      </c>
      <c r="I51" s="2067">
        <f>+VLOOKUP(C51,'Tong hop cong'!C47:S47,17,0)</f>
        <v>47</v>
      </c>
      <c r="J51" s="2068">
        <f>+VLOOKUP(C51,'Tong hop cong'!C47:U47,19,0)</f>
        <v>25.484787265547869</v>
      </c>
      <c r="K51" s="2069" t="str">
        <f>VLOOKUP(C51,'Tong hop cong'!C47:AA47,25,0)</f>
        <v>A</v>
      </c>
      <c r="L51" s="2070">
        <f>VLOOKUP(C51,'1'!$C$14:$L$51,10,0)</f>
        <v>100456</v>
      </c>
      <c r="M51" s="2068">
        <f>+VLOOKUP(C51,'Tong hop cong'!C47:V47,20,0)</f>
        <v>17</v>
      </c>
      <c r="N51" s="2068">
        <f>+VLOOKUP(C51,'Tong hop cong'!C47:W47,21,0)</f>
        <v>3</v>
      </c>
      <c r="O51" s="2068">
        <f>+VLOOKUP(C51,'Tong hop cong'!C47:X47,22,0)</f>
        <v>0</v>
      </c>
      <c r="P51" s="2068">
        <f>+VLOOKUP(C51,'Tong hop cong'!C47:Y47,23,0)</f>
        <v>0</v>
      </c>
      <c r="Q51" s="2068">
        <f t="shared" si="4"/>
        <v>20</v>
      </c>
      <c r="R51" s="2068">
        <f>+VLOOKUP(C51,'1'!$C$14:$R$50,16,0)</f>
        <v>20</v>
      </c>
      <c r="S51" s="2070">
        <f>VLOOKUP(C51,'1'!$C$14:$S$51,17,0)</f>
        <v>1565244</v>
      </c>
      <c r="T51" s="2070"/>
      <c r="U51" s="3633">
        <f t="shared" si="2"/>
        <v>1665700</v>
      </c>
      <c r="V51" s="3634">
        <f t="shared" si="3"/>
        <v>1665700</v>
      </c>
      <c r="W51" s="2435" t="s">
        <v>1552</v>
      </c>
    </row>
    <row r="52" spans="1:27" s="1539" customFormat="1" ht="27.75" customHeight="1">
      <c r="A52" s="2063">
        <v>36</v>
      </c>
      <c r="B52" s="2063">
        <v>36</v>
      </c>
      <c r="C52" s="2087" t="str">
        <f>'Chấm công công nhân'!L48</f>
        <v>Thảo Tuỳ</v>
      </c>
      <c r="D52" s="2064" t="e">
        <f>VLOOKUP(C52,'Mã số NV'!$B$6:$D$53,3,0)</f>
        <v>#N/A</v>
      </c>
      <c r="E52" s="2065" t="s">
        <v>40</v>
      </c>
      <c r="F52" s="2065"/>
      <c r="G52" s="2066"/>
      <c r="H52" s="2067">
        <f t="shared" si="1"/>
        <v>0</v>
      </c>
      <c r="I52" s="2067">
        <f>+VLOOKUP(C52,'Tong hop cong'!C48:S48,17,0)</f>
        <v>348</v>
      </c>
      <c r="J52" s="2068">
        <f>+VLOOKUP(C52,'Tong hop cong'!C48:U48,19,0)</f>
        <v>188.6958716683119</v>
      </c>
      <c r="K52" s="2069" t="str">
        <f>VLOOKUP(C52,'Tong hop cong'!C48:AA48,25,0)</f>
        <v>A</v>
      </c>
      <c r="L52" s="2070">
        <f>VLOOKUP(C52,'1'!$C$14:$L$51,10,0)</f>
        <v>743805</v>
      </c>
      <c r="M52" s="2068">
        <f>+VLOOKUP(C52,'Tong hop cong'!C48:V48,20,0)</f>
        <v>19</v>
      </c>
      <c r="N52" s="2068">
        <f>+VLOOKUP(C52,'Tong hop cong'!C48:W48,21,0)</f>
        <v>4</v>
      </c>
      <c r="O52" s="2068">
        <f>+VLOOKUP(C52,'Tong hop cong'!C48:X48,22,0)</f>
        <v>0</v>
      </c>
      <c r="P52" s="2068">
        <f>+VLOOKUP(C52,'Tong hop cong'!C48:Y48,23,0)</f>
        <v>0</v>
      </c>
      <c r="Q52" s="2068">
        <f t="shared" si="4"/>
        <v>23</v>
      </c>
      <c r="R52" s="2068">
        <f>+VLOOKUP(C52,'1'!$C$14:$R$50,16,0)</f>
        <v>20</v>
      </c>
      <c r="S52" s="2070">
        <f>VLOOKUP(C52,'1'!$C$14:$S$51,17,0)</f>
        <v>1736139</v>
      </c>
      <c r="T52" s="2070"/>
      <c r="U52" s="3633">
        <f t="shared" si="2"/>
        <v>2479944</v>
      </c>
      <c r="V52" s="3634">
        <f t="shared" si="3"/>
        <v>2479944</v>
      </c>
      <c r="W52" s="2435" t="s">
        <v>1552</v>
      </c>
    </row>
    <row r="53" spans="1:27" s="1539" customFormat="1" ht="27.75" customHeight="1">
      <c r="A53" s="2063">
        <v>37</v>
      </c>
      <c r="B53" s="2063">
        <v>37</v>
      </c>
      <c r="C53" s="2087" t="str">
        <f>'Chấm công công nhân'!L49</f>
        <v>Thảo Đa Văn</v>
      </c>
      <c r="D53" s="2064"/>
      <c r="E53" s="2065"/>
      <c r="F53" s="2065"/>
      <c r="G53" s="2066"/>
      <c r="H53" s="2067">
        <f t="shared" si="1"/>
        <v>0</v>
      </c>
      <c r="I53" s="2067">
        <f>+VLOOKUP(C53,'Tong hop cong'!C49:S49,17,0)</f>
        <v>0</v>
      </c>
      <c r="J53" s="2068">
        <f>+VLOOKUP(C53,'Tong hop cong'!C49:U49,19,0)</f>
        <v>0</v>
      </c>
      <c r="K53" s="2069" t="str">
        <f>VLOOKUP(C53,'Tong hop cong'!C49:AA49,25,0)</f>
        <v>B</v>
      </c>
      <c r="L53" s="2070">
        <f>VLOOKUP(C53,'1'!$C$14:$L$51,10,0)</f>
        <v>0</v>
      </c>
      <c r="M53" s="2068">
        <f>+VLOOKUP(C53,'Tong hop cong'!C49:V49,20,0)</f>
        <v>0</v>
      </c>
      <c r="N53" s="2068">
        <f>+VLOOKUP(C53,'Tong hop cong'!C49:W49,21,0)</f>
        <v>0</v>
      </c>
      <c r="O53" s="2068">
        <f>+VLOOKUP(C53,'Tong hop cong'!C49:X49,22,0)</f>
        <v>5</v>
      </c>
      <c r="P53" s="2068">
        <f>+VLOOKUP(C53,'Tong hop cong'!C49:Y49,23,0)</f>
        <v>1</v>
      </c>
      <c r="Q53" s="2068">
        <f t="shared" si="4"/>
        <v>6</v>
      </c>
      <c r="R53" s="2068">
        <f>+VLOOKUP(C53,'1'!$C$14:$R$50,16,0)</f>
        <v>20</v>
      </c>
      <c r="S53" s="2070">
        <f>VLOOKUP(C53,'1'!$C$14:$S$51,17,0)</f>
        <v>942391</v>
      </c>
      <c r="T53" s="2070"/>
      <c r="U53" s="3633">
        <f t="shared" si="2"/>
        <v>942391</v>
      </c>
      <c r="V53" s="3634">
        <f t="shared" si="3"/>
        <v>942391</v>
      </c>
      <c r="W53" s="2435" t="s">
        <v>1552</v>
      </c>
    </row>
    <row r="54" spans="1:27" s="2165" customFormat="1" ht="25.5" customHeight="1">
      <c r="A54" s="2678">
        <v>38</v>
      </c>
      <c r="B54" s="2678">
        <v>38</v>
      </c>
      <c r="C54" s="2166" t="str">
        <f>'Tong hop cong'!C50</f>
        <v>Thảo e</v>
      </c>
      <c r="D54" s="2162"/>
      <c r="E54" s="2163" t="s">
        <v>1139</v>
      </c>
      <c r="F54" s="2163"/>
      <c r="G54" s="2066">
        <f>VLOOKUP(C54,'Tong hop cong'!C50:R50,16,0)</f>
        <v>0</v>
      </c>
      <c r="H54" s="2067">
        <f>ROUND((G54*25000),0)</f>
        <v>0</v>
      </c>
      <c r="I54" s="2067"/>
      <c r="J54" s="2068">
        <f>+VLOOKUP(C54,'Tong hop cong'!C50:U50,18,0)</f>
        <v>0</v>
      </c>
      <c r="K54" s="2069">
        <f>VLOOKUP(C54,'Tong hop cong'!C50:AA50,24,0)</f>
        <v>0</v>
      </c>
      <c r="L54" s="2070">
        <f>VLOOKUP(C54,'1'!$C$14:$L$51,10,0)</f>
        <v>0</v>
      </c>
      <c r="M54" s="2068">
        <f>+VLOOKUP(C54,'Tong hop cong'!C50:V50,19,0)</f>
        <v>0</v>
      </c>
      <c r="N54" s="2068">
        <f>+VLOOKUP(C54,'Tong hop cong'!C50:W50,20,0)</f>
        <v>0</v>
      </c>
      <c r="O54" s="2068">
        <f>+VLOOKUP(C54,'Tong hop cong'!C50:X50,22,0)</f>
        <v>0</v>
      </c>
      <c r="P54" s="2068">
        <f>+VLOOKUP(C54,'Tong hop cong'!C50:Y50,23,0)</f>
        <v>0</v>
      </c>
      <c r="Q54" s="2068"/>
      <c r="R54" s="2068"/>
      <c r="S54" s="2070">
        <f>VLOOKUP(C54,'1'!$C$14:$S$51,17,0)</f>
        <v>0</v>
      </c>
      <c r="T54" s="2164"/>
      <c r="U54" s="3635">
        <f t="shared" si="2"/>
        <v>0</v>
      </c>
      <c r="V54" s="3636">
        <f t="shared" si="3"/>
        <v>0</v>
      </c>
      <c r="W54" s="2435" t="s">
        <v>1552</v>
      </c>
    </row>
    <row r="55" spans="1:27" s="1539" customFormat="1" ht="27.75" customHeight="1">
      <c r="A55" s="2071" t="s">
        <v>92</v>
      </c>
      <c r="B55" s="4100" t="s">
        <v>322</v>
      </c>
      <c r="C55" s="4100"/>
      <c r="D55" s="2071"/>
      <c r="E55" s="2071"/>
      <c r="F55" s="2071"/>
      <c r="G55" s="2072">
        <f t="shared" ref="G55:U55" si="5">SUM(G56:G75)</f>
        <v>0</v>
      </c>
      <c r="H55" s="2072">
        <f t="shared" si="5"/>
        <v>0</v>
      </c>
      <c r="I55" s="2072">
        <f t="shared" si="5"/>
        <v>2493</v>
      </c>
      <c r="J55" s="2072">
        <f t="shared" si="5"/>
        <v>1327.2060000000001</v>
      </c>
      <c r="K55" s="2072">
        <f t="shared" si="5"/>
        <v>0</v>
      </c>
      <c r="L55" s="2072">
        <f t="shared" si="5"/>
        <v>5082268</v>
      </c>
      <c r="M55" s="2072">
        <f t="shared" si="5"/>
        <v>232</v>
      </c>
      <c r="N55" s="2072">
        <f t="shared" si="5"/>
        <v>27</v>
      </c>
      <c r="O55" s="2072">
        <f t="shared" si="5"/>
        <v>14</v>
      </c>
      <c r="P55" s="2072">
        <f t="shared" si="5"/>
        <v>0</v>
      </c>
      <c r="Q55" s="2072">
        <f t="shared" si="5"/>
        <v>273</v>
      </c>
      <c r="R55" s="2072">
        <f t="shared" si="5"/>
        <v>380</v>
      </c>
      <c r="S55" s="2072">
        <f t="shared" si="5"/>
        <v>24040670</v>
      </c>
      <c r="T55" s="2072">
        <f t="shared" si="5"/>
        <v>0</v>
      </c>
      <c r="U55" s="3940">
        <f t="shared" si="5"/>
        <v>29122938</v>
      </c>
      <c r="V55" s="3940">
        <f>SUM(V56:V75)</f>
        <v>29122938</v>
      </c>
      <c r="W55" s="2435">
        <f>M55*655.8*46.1</f>
        <v>7013912.1599999992</v>
      </c>
      <c r="X55" s="3617">
        <f>N55*76.9*655.8</f>
        <v>1361637.54</v>
      </c>
      <c r="Y55" s="3617">
        <f>O55*76.8*655.8</f>
        <v>705116.16000000003</v>
      </c>
      <c r="Z55" s="3617">
        <f>Q55*20000</f>
        <v>5460000</v>
      </c>
      <c r="AA55" s="3617">
        <f>R55*25000</f>
        <v>9500000</v>
      </c>
    </row>
    <row r="56" spans="1:27" s="1539" customFormat="1" ht="27.75" customHeight="1">
      <c r="A56" s="2063">
        <v>38</v>
      </c>
      <c r="B56" s="2269">
        <v>1</v>
      </c>
      <c r="C56" s="2088" t="str">
        <f>'Chấm công công nhân'!L51</f>
        <v>Thảo Xa Đết</v>
      </c>
      <c r="D56" s="2064" t="e">
        <f>VLOOKUP(C56,'Mã số NV'!$B$6:$D$53,3,0)</f>
        <v>#N/A</v>
      </c>
      <c r="E56" s="2065" t="s">
        <v>40</v>
      </c>
      <c r="F56" s="2065"/>
      <c r="G56" s="2066"/>
      <c r="H56" s="2067">
        <f>G56*25000</f>
        <v>0</v>
      </c>
      <c r="I56" s="2067">
        <f>+VLOOKUP(C56,'Tong hop cong'!C52:S52,17,0)</f>
        <v>79</v>
      </c>
      <c r="J56" s="2066">
        <f>+VLOOKUP(C56,'Tong hop cong'!C52:U52,19,0)</f>
        <v>42.057470517448856</v>
      </c>
      <c r="K56" s="2069" t="str">
        <f>VLOOKUP(C56,'Tong hop cong'!C52:AA52,25,0)</f>
        <v>B</v>
      </c>
      <c r="L56" s="2070">
        <f>VLOOKUP(C56,'2'!$C$19:$L$38,10,0)</f>
        <v>157630</v>
      </c>
      <c r="M56" s="2068">
        <f>+VLOOKUP(C56,'Tong hop cong'!C52:V52,20,0)</f>
        <v>12</v>
      </c>
      <c r="N56" s="2068">
        <f>+VLOOKUP(C56,'Tong hop cong'!C52:W52,21,0)</f>
        <v>1</v>
      </c>
      <c r="O56" s="2068">
        <f>+VLOOKUP(C56,'Tong hop cong'!C52:X52,22,0)</f>
        <v>0</v>
      </c>
      <c r="P56" s="2068">
        <f>+VLOOKUP(C56,'Tong hop cong'!C52:Y52,23,0)</f>
        <v>0</v>
      </c>
      <c r="Q56" s="2068">
        <f>M56+N56+O56+P56</f>
        <v>13</v>
      </c>
      <c r="R56" s="2068">
        <f>+VLOOKUP(C56,'2'!C19:R37,16,0)</f>
        <v>20</v>
      </c>
      <c r="S56" s="2070">
        <f>VLOOKUP(C56,'2'!$C$19:$S$38,17,0)</f>
        <v>1173220</v>
      </c>
      <c r="T56" s="2070"/>
      <c r="U56" s="3633">
        <f t="shared" ref="U56:U75" si="6">H56+L56+S56</f>
        <v>1330850</v>
      </c>
      <c r="V56" s="3634">
        <f t="shared" ref="V56:V75" si="7">U56</f>
        <v>1330850</v>
      </c>
      <c r="W56" s="2435" t="s">
        <v>1553</v>
      </c>
    </row>
    <row r="57" spans="1:27" s="1539" customFormat="1" ht="27.75" customHeight="1">
      <c r="A57" s="2063">
        <v>39</v>
      </c>
      <c r="B57" s="2270">
        <v>2</v>
      </c>
      <c r="C57" s="2088" t="str">
        <f>'Chấm công công nhân'!L52</f>
        <v>Thảo Sột</v>
      </c>
      <c r="D57" s="2064" t="e">
        <f>VLOOKUP(C57,'Mã số NV'!$B$6:$D$53,3,0)</f>
        <v>#N/A</v>
      </c>
      <c r="E57" s="2065" t="s">
        <v>40</v>
      </c>
      <c r="F57" s="2065"/>
      <c r="G57" s="2066"/>
      <c r="H57" s="2067">
        <f t="shared" ref="H57:H74" si="8">G57*25000</f>
        <v>0</v>
      </c>
      <c r="I57" s="2067">
        <f>+VLOOKUP(C57,'Tong hop cong'!C53:S53,17,0)</f>
        <v>314</v>
      </c>
      <c r="J57" s="2066">
        <f>+VLOOKUP(C57,'Tong hop cong'!C53:U53,19,0)</f>
        <v>167.16513598074604</v>
      </c>
      <c r="K57" s="2069" t="str">
        <f>VLOOKUP(C57,'Tong hop cong'!C53:AA53,25,0)</f>
        <v>A</v>
      </c>
      <c r="L57" s="2070">
        <f>VLOOKUP(C57,'2'!$C$19:$L$38,10,0)</f>
        <v>658935</v>
      </c>
      <c r="M57" s="2068">
        <f>+VLOOKUP(C57,'Tong hop cong'!C53:V53,20,0)</f>
        <v>18</v>
      </c>
      <c r="N57" s="2068">
        <f>+VLOOKUP(C57,'Tong hop cong'!C53:W53,21,0)</f>
        <v>2</v>
      </c>
      <c r="O57" s="2068">
        <f>+VLOOKUP(C57,'Tong hop cong'!C53:X53,22,0)</f>
        <v>0</v>
      </c>
      <c r="P57" s="2068">
        <f>+VLOOKUP(C57,'Tong hop cong'!C53:Y53,23,0)</f>
        <v>0</v>
      </c>
      <c r="Q57" s="2068">
        <f t="shared" ref="Q57:Q74" si="9">M57+N57+O57+P57</f>
        <v>20</v>
      </c>
      <c r="R57" s="2068">
        <f>+VLOOKUP(C57,'2'!C20:R38,16,0)</f>
        <v>20</v>
      </c>
      <c r="S57" s="2070">
        <f>VLOOKUP(C57,'2'!$C$19:$S$38,17,0)</f>
        <v>1545045</v>
      </c>
      <c r="T57" s="2070"/>
      <c r="U57" s="3633">
        <f t="shared" si="6"/>
        <v>2203980</v>
      </c>
      <c r="V57" s="3634">
        <f t="shared" si="7"/>
        <v>2203980</v>
      </c>
      <c r="W57" s="2435" t="s">
        <v>1553</v>
      </c>
    </row>
    <row r="58" spans="1:27" s="1539" customFormat="1" ht="27.75" customHeight="1">
      <c r="A58" s="2063">
        <v>40</v>
      </c>
      <c r="B58" s="2269">
        <v>3</v>
      </c>
      <c r="C58" s="2088" t="str">
        <f>'Chấm công công nhân'!L53</f>
        <v>Stoong</v>
      </c>
      <c r="D58" s="2064" t="str">
        <f>VLOOKUP(C58,'Mã số NV'!$B$6:$D$53,3,0)</f>
        <v>01876</v>
      </c>
      <c r="E58" s="2065" t="s">
        <v>40</v>
      </c>
      <c r="F58" s="2065"/>
      <c r="G58" s="2066"/>
      <c r="H58" s="2067">
        <f t="shared" si="8"/>
        <v>0</v>
      </c>
      <c r="I58" s="2067">
        <f>+VLOOKUP(C58,'Tong hop cong'!C54:S54,17,0)</f>
        <v>203</v>
      </c>
      <c r="J58" s="2066">
        <f>+VLOOKUP(C58,'Tong hop cong'!C54:U54,19,0)</f>
        <v>108.07172803850781</v>
      </c>
      <c r="K58" s="2069" t="str">
        <f>VLOOKUP(C58,'Tong hop cong'!C54:AA54,25,0)</f>
        <v>A</v>
      </c>
      <c r="L58" s="2070">
        <f>VLOOKUP(C58,'2'!$C$19:$L$38,10,0)</f>
        <v>425999</v>
      </c>
      <c r="M58" s="2068">
        <f>+VLOOKUP(C58,'Tong hop cong'!C54:V54,20,0)</f>
        <v>14</v>
      </c>
      <c r="N58" s="2068">
        <f>+VLOOKUP(C58,'Tong hop cong'!C54:W54,21,0)</f>
        <v>2</v>
      </c>
      <c r="O58" s="2068">
        <f>+VLOOKUP(C58,'Tong hop cong'!C54:X54,22,0)</f>
        <v>0</v>
      </c>
      <c r="P58" s="2068">
        <f>+VLOOKUP(C58,'Tong hop cong'!C54:Y54,23,0)</f>
        <v>0</v>
      </c>
      <c r="Q58" s="2068">
        <f t="shared" si="9"/>
        <v>16</v>
      </c>
      <c r="R58" s="2068">
        <f>+VLOOKUP(C58,'2'!C21:R39,16,0)</f>
        <v>20</v>
      </c>
      <c r="S58" s="2070">
        <f>VLOOKUP(C58,'2'!$C$19:$S$38,17,0)</f>
        <v>1344115</v>
      </c>
      <c r="T58" s="2070"/>
      <c r="U58" s="3633">
        <f t="shared" si="6"/>
        <v>1770114</v>
      </c>
      <c r="V58" s="3634">
        <f t="shared" si="7"/>
        <v>1770114</v>
      </c>
      <c r="W58" s="2435" t="s">
        <v>1553</v>
      </c>
    </row>
    <row r="59" spans="1:27" s="1539" customFormat="1" ht="27.75" customHeight="1">
      <c r="A59" s="2063">
        <v>41</v>
      </c>
      <c r="B59" s="2270">
        <v>4</v>
      </c>
      <c r="C59" s="2088" t="str">
        <f>'Chấm công công nhân'!L54</f>
        <v>Nàng Phắt</v>
      </c>
      <c r="D59" s="2064" t="e">
        <f>VLOOKUP(C59,'Mã số NV'!$B$6:$D$53,3,0)</f>
        <v>#N/A</v>
      </c>
      <c r="E59" s="2065" t="s">
        <v>40</v>
      </c>
      <c r="F59" s="2065"/>
      <c r="G59" s="2066"/>
      <c r="H59" s="2067">
        <f t="shared" si="8"/>
        <v>0</v>
      </c>
      <c r="I59" s="2067">
        <f>+VLOOKUP(C59,'Tong hop cong'!C55:S55,17,0)</f>
        <v>204</v>
      </c>
      <c r="J59" s="2066">
        <f>+VLOOKUP(C59,'Tong hop cong'!C55:U55,19,0)</f>
        <v>108.60410108303248</v>
      </c>
      <c r="K59" s="2069" t="str">
        <f>VLOOKUP(C59,'Tong hop cong'!C55:AA55,25,0)</f>
        <v>B</v>
      </c>
      <c r="L59" s="2070">
        <f>VLOOKUP(C59,'2'!$C$19:$L$38,10,0)</f>
        <v>407044</v>
      </c>
      <c r="M59" s="2068">
        <f>+VLOOKUP(C59,'Tong hop cong'!C55:V55,20,0)</f>
        <v>14</v>
      </c>
      <c r="N59" s="2068">
        <f>+VLOOKUP(C59,'Tong hop cong'!C55:W55,21,0)</f>
        <v>2</v>
      </c>
      <c r="O59" s="2068">
        <f>+VLOOKUP(C59,'Tong hop cong'!C55:X55,22,0)</f>
        <v>0</v>
      </c>
      <c r="P59" s="2068">
        <f>+VLOOKUP(C59,'Tong hop cong'!C55:Y55,23,0)</f>
        <v>0</v>
      </c>
      <c r="Q59" s="2068">
        <f t="shared" si="9"/>
        <v>16</v>
      </c>
      <c r="R59" s="2068">
        <f>+VLOOKUP(C59,'2'!C22:R40,16,0)</f>
        <v>20</v>
      </c>
      <c r="S59" s="2070">
        <f>VLOOKUP(C59,'2'!$C$19:$S$38,17,0)</f>
        <v>1344115</v>
      </c>
      <c r="T59" s="2070"/>
      <c r="U59" s="3633">
        <f t="shared" si="6"/>
        <v>1751159</v>
      </c>
      <c r="V59" s="3634">
        <f t="shared" si="7"/>
        <v>1751159</v>
      </c>
      <c r="W59" s="2435" t="s">
        <v>1553</v>
      </c>
    </row>
    <row r="60" spans="1:27" s="1539" customFormat="1" ht="27.75" customHeight="1">
      <c r="A60" s="2063">
        <v>42</v>
      </c>
      <c r="B60" s="2269">
        <v>5</v>
      </c>
      <c r="C60" s="2088" t="str">
        <f>'Chấm công công nhân'!L55</f>
        <v>Nàng May</v>
      </c>
      <c r="D60" s="2064" t="e">
        <f>VLOOKUP(C60,'Mã số NV'!$B$6:$D$53,3,0)</f>
        <v>#N/A</v>
      </c>
      <c r="E60" s="2065" t="s">
        <v>40</v>
      </c>
      <c r="F60" s="2065"/>
      <c r="G60" s="2066"/>
      <c r="H60" s="2067">
        <f t="shared" si="8"/>
        <v>0</v>
      </c>
      <c r="I60" s="2067">
        <f>+VLOOKUP(C60,'Tong hop cong'!C56:S56,17,0)</f>
        <v>84</v>
      </c>
      <c r="J60" s="2066">
        <f>+VLOOKUP(C60,'Tong hop cong'!C56:U56,19,0)</f>
        <v>44.719335740072204</v>
      </c>
      <c r="K60" s="2069" t="str">
        <f>VLOOKUP(C60,'Tong hop cong'!C56:AA56,25,0)</f>
        <v>B</v>
      </c>
      <c r="L60" s="2070">
        <f>VLOOKUP(C60,'2'!$C$19:$L$38,10,0)</f>
        <v>167606</v>
      </c>
      <c r="M60" s="2068">
        <f>+VLOOKUP(C60,'Tong hop cong'!C56:V56,20,0)</f>
        <v>15</v>
      </c>
      <c r="N60" s="2068">
        <f>+VLOOKUP(C60,'Tong hop cong'!C56:W56,21,0)</f>
        <v>2</v>
      </c>
      <c r="O60" s="2068">
        <f>+VLOOKUP(C60,'Tong hop cong'!C56:X56,22,0)</f>
        <v>0</v>
      </c>
      <c r="P60" s="2068">
        <f>+VLOOKUP(C60,'Tong hop cong'!C56:Y56,23,0)</f>
        <v>0</v>
      </c>
      <c r="Q60" s="2068">
        <f t="shared" si="9"/>
        <v>17</v>
      </c>
      <c r="R60" s="2068">
        <f>+VLOOKUP(C60,'2'!C23:R41,16,0)</f>
        <v>20</v>
      </c>
      <c r="S60" s="2070">
        <f>VLOOKUP(C60,'2'!$C$19:$S$38,17,0)</f>
        <v>1394348</v>
      </c>
      <c r="T60" s="2070"/>
      <c r="U60" s="3633">
        <f t="shared" si="6"/>
        <v>1561954</v>
      </c>
      <c r="V60" s="3634">
        <f t="shared" si="7"/>
        <v>1561954</v>
      </c>
      <c r="W60" s="2435" t="s">
        <v>1553</v>
      </c>
    </row>
    <row r="61" spans="1:27" s="1539" customFormat="1" ht="27.75" customHeight="1">
      <c r="A61" s="2063">
        <v>43</v>
      </c>
      <c r="B61" s="2270">
        <v>6</v>
      </c>
      <c r="C61" s="2088" t="str">
        <f>'Chấm công công nhân'!L56</f>
        <v>Thảo Bênh</v>
      </c>
      <c r="D61" s="2064" t="e">
        <f>VLOOKUP(C61,'Mã số NV'!$B$6:$D$53,3,0)</f>
        <v>#N/A</v>
      </c>
      <c r="E61" s="2065" t="s">
        <v>40</v>
      </c>
      <c r="F61" s="2065"/>
      <c r="G61" s="2066"/>
      <c r="H61" s="2067">
        <f t="shared" si="8"/>
        <v>0</v>
      </c>
      <c r="I61" s="2067">
        <f>+VLOOKUP(C61,'Tong hop cong'!C57:S57,17,0)</f>
        <v>85</v>
      </c>
      <c r="J61" s="2066">
        <f>+VLOOKUP(C61,'Tong hop cong'!C57:U57,19,0)</f>
        <v>45.251708784596865</v>
      </c>
      <c r="K61" s="2069" t="str">
        <f>VLOOKUP(C61,'Tong hop cong'!C57:AA57,25,0)</f>
        <v>A</v>
      </c>
      <c r="L61" s="2070">
        <f>VLOOKUP(C61,'2'!$C$19:$L$38,10,0)</f>
        <v>178374</v>
      </c>
      <c r="M61" s="2068">
        <f>+VLOOKUP(C61,'Tong hop cong'!C57:V57,20,0)</f>
        <v>15</v>
      </c>
      <c r="N61" s="2068">
        <f>+VLOOKUP(C61,'Tong hop cong'!C57:W57,21,0)</f>
        <v>2</v>
      </c>
      <c r="O61" s="2068">
        <f>+VLOOKUP(C61,'Tong hop cong'!C57:X57,22,0)</f>
        <v>0</v>
      </c>
      <c r="P61" s="2068">
        <f>+VLOOKUP(C61,'Tong hop cong'!C57:Y57,23,0)</f>
        <v>0</v>
      </c>
      <c r="Q61" s="2068">
        <f t="shared" si="9"/>
        <v>17</v>
      </c>
      <c r="R61" s="2068">
        <f>+VLOOKUP(C61,'2'!C24:R42,16,0)</f>
        <v>20</v>
      </c>
      <c r="S61" s="2070">
        <f>VLOOKUP(C61,'2'!$C$19:$S$38,17,0)</f>
        <v>1394348</v>
      </c>
      <c r="T61" s="2070"/>
      <c r="U61" s="3633">
        <f t="shared" si="6"/>
        <v>1572722</v>
      </c>
      <c r="V61" s="3634">
        <f t="shared" si="7"/>
        <v>1572722</v>
      </c>
      <c r="W61" s="2435" t="s">
        <v>1553</v>
      </c>
    </row>
    <row r="62" spans="1:27" s="1539" customFormat="1" ht="27.75" customHeight="1">
      <c r="A62" s="2063">
        <v>44</v>
      </c>
      <c r="B62" s="2269">
        <v>7</v>
      </c>
      <c r="C62" s="2088" t="str">
        <f>'Chấm công công nhân'!L57</f>
        <v>Thảo Đinh</v>
      </c>
      <c r="D62" s="2064" t="str">
        <f>VLOOKUP(C62,'Mã số NV'!$B$6:$D$53,3,0)</f>
        <v>01895</v>
      </c>
      <c r="E62" s="2065" t="s">
        <v>40</v>
      </c>
      <c r="F62" s="2065"/>
      <c r="G62" s="2066"/>
      <c r="H62" s="2067">
        <f t="shared" si="8"/>
        <v>0</v>
      </c>
      <c r="I62" s="2067">
        <f>+VLOOKUP(C62,'Tong hop cong'!C58:S58,17,0)</f>
        <v>254</v>
      </c>
      <c r="J62" s="2066">
        <f>+VLOOKUP(C62,'Tong hop cong'!C58:U58,19,0)</f>
        <v>135.22275330926593</v>
      </c>
      <c r="K62" s="2069" t="str">
        <f>VLOOKUP(C62,'Tong hop cong'!C58:AA58,25,0)</f>
        <v>A</v>
      </c>
      <c r="L62" s="2070">
        <f>VLOOKUP(C62,'2'!$C$19:$L$38,10,0)</f>
        <v>533024</v>
      </c>
      <c r="M62" s="2068">
        <f>+VLOOKUP(C62,'Tong hop cong'!C58:V58,20,0)</f>
        <v>20</v>
      </c>
      <c r="N62" s="2068">
        <f>+VLOOKUP(C62,'Tong hop cong'!C58:W58,21,0)</f>
        <v>4</v>
      </c>
      <c r="O62" s="2068">
        <f>+VLOOKUP(C62,'Tong hop cong'!C58:X58,22,0)</f>
        <v>0</v>
      </c>
      <c r="P62" s="2068">
        <f>+VLOOKUP(C62,'Tong hop cong'!C58:Y58,23,0)</f>
        <v>0</v>
      </c>
      <c r="Q62" s="2068">
        <f t="shared" si="9"/>
        <v>24</v>
      </c>
      <c r="R62" s="2068">
        <f>+VLOOKUP(C62,'2'!C25:R43,16,0)</f>
        <v>20</v>
      </c>
      <c r="S62" s="2070">
        <f>VLOOKUP(C62,'2'!$C$19:$S$38,17,0)</f>
        <v>1786372</v>
      </c>
      <c r="T62" s="2070"/>
      <c r="U62" s="3633">
        <f t="shared" si="6"/>
        <v>2319396</v>
      </c>
      <c r="V62" s="3634">
        <f t="shared" si="7"/>
        <v>2319396</v>
      </c>
      <c r="W62" s="2435" t="s">
        <v>1553</v>
      </c>
    </row>
    <row r="63" spans="1:27" s="1539" customFormat="1" ht="27.75" customHeight="1">
      <c r="A63" s="2063">
        <v>45</v>
      </c>
      <c r="B63" s="2270">
        <v>8</v>
      </c>
      <c r="C63" s="2088" t="str">
        <f>'Chấm công công nhân'!L58</f>
        <v>Thảo Vi</v>
      </c>
      <c r="D63" s="2064" t="str">
        <f>VLOOKUP(C63,'Mã số NV'!$B$6:$D$53,3,0)</f>
        <v>01908</v>
      </c>
      <c r="E63" s="2065" t="s">
        <v>40</v>
      </c>
      <c r="F63" s="2065"/>
      <c r="G63" s="2066"/>
      <c r="H63" s="2067">
        <f t="shared" si="8"/>
        <v>0</v>
      </c>
      <c r="I63" s="2067">
        <f>+VLOOKUP(C63,'Tong hop cong'!C59:S59,17,0)</f>
        <v>101</v>
      </c>
      <c r="J63" s="2066">
        <f>+VLOOKUP(C63,'Tong hop cong'!C59:U59,19,0)</f>
        <v>53.769677496991569</v>
      </c>
      <c r="K63" s="2069" t="str">
        <f>VLOOKUP(C63,'Tong hop cong'!C59:AA59,25,0)</f>
        <v>B</v>
      </c>
      <c r="L63" s="2070">
        <f>VLOOKUP(C63,'2'!$C$19:$L$38,10,0)</f>
        <v>201527</v>
      </c>
      <c r="M63" s="2068">
        <f>+VLOOKUP(C63,'Tong hop cong'!C59:V59,20,0)</f>
        <v>15</v>
      </c>
      <c r="N63" s="2068">
        <f>+VLOOKUP(C63,'Tong hop cong'!C59:W59,21,0)</f>
        <v>1</v>
      </c>
      <c r="O63" s="2068">
        <f>+VLOOKUP(C63,'Tong hop cong'!C59:X59,22,0)</f>
        <v>0</v>
      </c>
      <c r="P63" s="2068">
        <f>+VLOOKUP(C63,'Tong hop cong'!C59:Y59,23,0)</f>
        <v>0</v>
      </c>
      <c r="Q63" s="2068">
        <f t="shared" si="9"/>
        <v>16</v>
      </c>
      <c r="R63" s="2068">
        <f>+VLOOKUP(C63,'2'!C26:R44,16,0)</f>
        <v>20</v>
      </c>
      <c r="S63" s="2070">
        <f>VLOOKUP(C63,'2'!$C$19:$S$38,17,0)</f>
        <v>1323917</v>
      </c>
      <c r="T63" s="2070"/>
      <c r="U63" s="3633">
        <f t="shared" si="6"/>
        <v>1525444</v>
      </c>
      <c r="V63" s="3634">
        <f t="shared" si="7"/>
        <v>1525444</v>
      </c>
      <c r="W63" s="2435" t="s">
        <v>1553</v>
      </c>
    </row>
    <row r="64" spans="1:27" s="1539" customFormat="1" ht="27.75" customHeight="1">
      <c r="A64" s="2063">
        <v>46</v>
      </c>
      <c r="B64" s="2269">
        <v>9</v>
      </c>
      <c r="C64" s="2088" t="str">
        <f>'Chấm công công nhân'!L59</f>
        <v>Thảo Văn</v>
      </c>
      <c r="D64" s="2064"/>
      <c r="E64" s="2065" t="s">
        <v>40</v>
      </c>
      <c r="F64" s="2065"/>
      <c r="G64" s="2066"/>
      <c r="H64" s="2067">
        <f t="shared" si="8"/>
        <v>0</v>
      </c>
      <c r="I64" s="2067">
        <f>+VLOOKUP(C64,'Tong hop cong'!C60:S60,17,0)</f>
        <v>242</v>
      </c>
      <c r="J64" s="2066">
        <f>+VLOOKUP(C64,'Tong hop cong'!C60:U60,19,0)</f>
        <v>128.83427677496991</v>
      </c>
      <c r="K64" s="2069" t="str">
        <f>VLOOKUP(C64,'Tong hop cong'!C60:AA60,25,0)</f>
        <v>B</v>
      </c>
      <c r="L64" s="2070">
        <f>VLOOKUP(C64,'2'!$C$19:$L$38,10,0)</f>
        <v>482866</v>
      </c>
      <c r="M64" s="2068">
        <f>+VLOOKUP(C64,'Tong hop cong'!C60:V60,20,0)</f>
        <v>20</v>
      </c>
      <c r="N64" s="2068">
        <f>+VLOOKUP(C64,'Tong hop cong'!C60:W60,21,0)</f>
        <v>2</v>
      </c>
      <c r="O64" s="2068">
        <f>+VLOOKUP(C64,'Tong hop cong'!C60:X60,22,0)</f>
        <v>0</v>
      </c>
      <c r="P64" s="2068">
        <f>+VLOOKUP(C64,'Tong hop cong'!C60:Y60,23,0)</f>
        <v>0</v>
      </c>
      <c r="Q64" s="2068">
        <f t="shared" si="9"/>
        <v>22</v>
      </c>
      <c r="R64" s="2068">
        <f>+VLOOKUP(C64,'2'!C27:R45,16,0)</f>
        <v>20</v>
      </c>
      <c r="S64" s="2070">
        <f>VLOOKUP(C64,'2'!$C$19:$S$38,17,0)</f>
        <v>1645510</v>
      </c>
      <c r="T64" s="2070"/>
      <c r="U64" s="3633">
        <f t="shared" si="6"/>
        <v>2128376</v>
      </c>
      <c r="V64" s="3634">
        <f t="shared" si="7"/>
        <v>2128376</v>
      </c>
      <c r="W64" s="2435" t="s">
        <v>1553</v>
      </c>
    </row>
    <row r="65" spans="1:28" s="1539" customFormat="1" ht="27.75" customHeight="1">
      <c r="A65" s="2063">
        <v>47</v>
      </c>
      <c r="B65" s="2270">
        <v>10</v>
      </c>
      <c r="C65" s="2088" t="str">
        <f>'Chấm công công nhân'!L60</f>
        <v>Nàng Phìn</v>
      </c>
      <c r="D65" s="2064"/>
      <c r="E65" s="2065" t="s">
        <v>40</v>
      </c>
      <c r="F65" s="2065"/>
      <c r="G65" s="2066"/>
      <c r="H65" s="2067">
        <f t="shared" si="8"/>
        <v>0</v>
      </c>
      <c r="I65" s="2067">
        <f>+VLOOKUP(C65,'Tong hop cong'!C61:S61,17,0)</f>
        <v>232</v>
      </c>
      <c r="J65" s="2066">
        <f>+VLOOKUP(C65,'Tong hop cong'!C61:U61,19,0)</f>
        <v>123.51054632972323</v>
      </c>
      <c r="K65" s="2069" t="str">
        <f>VLOOKUP(C65,'Tong hop cong'!C61:AA61,25,0)</f>
        <v>A</v>
      </c>
      <c r="L65" s="2070">
        <f>VLOOKUP(C65,'2'!$C$19:$L$38,10,0)</f>
        <v>486856</v>
      </c>
      <c r="M65" s="2068">
        <f>+VLOOKUP(C65,'Tong hop cong'!C61:V61,20,0)</f>
        <v>17</v>
      </c>
      <c r="N65" s="2068">
        <f>+VLOOKUP(C65,'Tong hop cong'!C61:W61,21,0)</f>
        <v>2</v>
      </c>
      <c r="O65" s="2068">
        <f>+VLOOKUP(C65,'Tong hop cong'!C61:X61,22,0)</f>
        <v>0</v>
      </c>
      <c r="P65" s="2068">
        <f>+VLOOKUP(C65,'Tong hop cong'!C61:Y61,23,0)</f>
        <v>0</v>
      </c>
      <c r="Q65" s="2068">
        <f t="shared" si="9"/>
        <v>19</v>
      </c>
      <c r="R65" s="2068">
        <f>+VLOOKUP(C65,'2'!C28:R46,16,0)</f>
        <v>20</v>
      </c>
      <c r="S65" s="2070">
        <f>VLOOKUP(C65,'2'!$C$19:$S$38,17,0)</f>
        <v>1494813</v>
      </c>
      <c r="T65" s="2070"/>
      <c r="U65" s="3633">
        <f t="shared" si="6"/>
        <v>1981669</v>
      </c>
      <c r="V65" s="3634">
        <f t="shared" si="7"/>
        <v>1981669</v>
      </c>
      <c r="W65" s="2435" t="s">
        <v>1553</v>
      </c>
    </row>
    <row r="66" spans="1:28" s="1539" customFormat="1" ht="27.75" customHeight="1">
      <c r="A66" s="2063">
        <v>48</v>
      </c>
      <c r="B66" s="2269">
        <v>11</v>
      </c>
      <c r="C66" s="2088" t="str">
        <f>'Chấm công công nhân'!L61</f>
        <v>Mẹ Sột</v>
      </c>
      <c r="D66" s="2064" t="e">
        <f>VLOOKUP(C66,'Mã số NV'!$B$6:$D$53,3,0)</f>
        <v>#N/A</v>
      </c>
      <c r="E66" s="2065" t="s">
        <v>40</v>
      </c>
      <c r="F66" s="2065"/>
      <c r="G66" s="2066"/>
      <c r="H66" s="2067">
        <f t="shared" si="8"/>
        <v>0</v>
      </c>
      <c r="I66" s="2067">
        <f>+VLOOKUP(C66,'Tong hop cong'!C62:S62,17,0)</f>
        <v>216</v>
      </c>
      <c r="J66" s="2066">
        <f>+VLOOKUP(C66,'Tong hop cong'!C62:U62,19,0)</f>
        <v>114.99257761732849</v>
      </c>
      <c r="K66" s="2069" t="str">
        <f>VLOOKUP(C66,'Tong hop cong'!C62:AA62,25,0)</f>
        <v>C</v>
      </c>
      <c r="L66" s="2070">
        <f>VLOOKUP(C66,'2'!$C$19:$L$38,10,0)</f>
        <v>408695</v>
      </c>
      <c r="M66" s="2068">
        <f>+VLOOKUP(C66,'Tong hop cong'!C62:V62,20,0)</f>
        <v>17</v>
      </c>
      <c r="N66" s="2068">
        <f>+VLOOKUP(C66,'Tong hop cong'!C62:W62,21,0)</f>
        <v>2</v>
      </c>
      <c r="O66" s="2068">
        <f>+VLOOKUP(C66,'Tong hop cong'!C62:X62,22,0)</f>
        <v>0</v>
      </c>
      <c r="P66" s="2068">
        <f>+VLOOKUP(C66,'Tong hop cong'!C62:Y62,23,0)</f>
        <v>0</v>
      </c>
      <c r="Q66" s="2068">
        <f t="shared" si="9"/>
        <v>19</v>
      </c>
      <c r="R66" s="2068">
        <f>+VLOOKUP(C66,'2'!C29:R47,16,0)</f>
        <v>20</v>
      </c>
      <c r="S66" s="2070">
        <f>VLOOKUP(C66,'2'!$C$19:$S$38,17,0)</f>
        <v>1494813</v>
      </c>
      <c r="T66" s="2070"/>
      <c r="U66" s="3633">
        <f t="shared" si="6"/>
        <v>1903508</v>
      </c>
      <c r="V66" s="3634">
        <f t="shared" si="7"/>
        <v>1903508</v>
      </c>
      <c r="W66" s="2435" t="s">
        <v>1553</v>
      </c>
    </row>
    <row r="67" spans="1:28" s="1539" customFormat="1" ht="27.75" customHeight="1">
      <c r="A67" s="2063">
        <v>49</v>
      </c>
      <c r="B67" s="2270">
        <v>12</v>
      </c>
      <c r="C67" s="2088" t="str">
        <f>'Chấm công công nhân'!L62</f>
        <v>Nàng Heo</v>
      </c>
      <c r="D67" s="2064" t="e">
        <f>VLOOKUP(C67,'Mã số NV'!$B$6:$D$53,3,0)</f>
        <v>#N/A</v>
      </c>
      <c r="E67" s="2065" t="s">
        <v>40</v>
      </c>
      <c r="F67" s="2065"/>
      <c r="G67" s="2066"/>
      <c r="H67" s="2067">
        <f t="shared" si="8"/>
        <v>0</v>
      </c>
      <c r="I67" s="2067">
        <f>+VLOOKUP(C67,'Tong hop cong'!C63:S63,17,0)</f>
        <v>102</v>
      </c>
      <c r="J67" s="2066">
        <f>+VLOOKUP(C67,'Tong hop cong'!C63:U63,19,0)</f>
        <v>54.302050541516238</v>
      </c>
      <c r="K67" s="2069" t="str">
        <f>VLOOKUP(C67,'Tong hop cong'!C63:AA63,25,0)</f>
        <v>A</v>
      </c>
      <c r="L67" s="2070">
        <f>VLOOKUP(C67,'2'!$C$19:$L$38,10,0)</f>
        <v>214049</v>
      </c>
      <c r="M67" s="2068">
        <f>+VLOOKUP(C67,'Tong hop cong'!C63:V63,20,0)</f>
        <v>15</v>
      </c>
      <c r="N67" s="2068">
        <f>+VLOOKUP(C67,'Tong hop cong'!C63:W63,21,0)</f>
        <v>1</v>
      </c>
      <c r="O67" s="2068">
        <f>+VLOOKUP(C67,'Tong hop cong'!C63:X63,22,0)</f>
        <v>0</v>
      </c>
      <c r="P67" s="2068">
        <f>+VLOOKUP(C67,'Tong hop cong'!C63:Y63,23,0)</f>
        <v>0</v>
      </c>
      <c r="Q67" s="2068">
        <f t="shared" si="9"/>
        <v>16</v>
      </c>
      <c r="R67" s="2068">
        <f>+VLOOKUP(C67,'2'!C30:R48,16,0)</f>
        <v>20</v>
      </c>
      <c r="S67" s="2070">
        <f>VLOOKUP(C67,'2'!$C$19:$S$38,17,0)</f>
        <v>1323917</v>
      </c>
      <c r="T67" s="2070"/>
      <c r="U67" s="3633">
        <f t="shared" si="6"/>
        <v>1537966</v>
      </c>
      <c r="V67" s="3634">
        <f t="shared" si="7"/>
        <v>1537966</v>
      </c>
      <c r="W67" s="2435" t="s">
        <v>1553</v>
      </c>
    </row>
    <row r="68" spans="1:28" s="1539" customFormat="1" ht="27.75" customHeight="1">
      <c r="A68" s="2063">
        <v>50</v>
      </c>
      <c r="B68" s="2269">
        <v>13</v>
      </c>
      <c r="C68" s="2088" t="str">
        <f>'Chấm công công nhân'!L63</f>
        <v>Thảo Chăn Ti</v>
      </c>
      <c r="D68" s="2064"/>
      <c r="E68" s="2065" t="s">
        <v>40</v>
      </c>
      <c r="F68" s="2065"/>
      <c r="G68" s="2066"/>
      <c r="H68" s="2067">
        <f t="shared" si="8"/>
        <v>0</v>
      </c>
      <c r="I68" s="2067">
        <f>+VLOOKUP(C68,'Tong hop cong'!C64:S64,17,0)</f>
        <v>71</v>
      </c>
      <c r="J68" s="2066">
        <f>+VLOOKUP(C68,'Tong hop cong'!C64:U64,19,0)</f>
        <v>37.798486161251496</v>
      </c>
      <c r="K68" s="2069" t="str">
        <f>VLOOKUP(C68,'Tong hop cong'!C64:AA64,25,0)</f>
        <v>B</v>
      </c>
      <c r="L68" s="2070">
        <f>VLOOKUP(C68,'2'!$C$19:$L$38,10,0)</f>
        <v>141667</v>
      </c>
      <c r="M68" s="2068">
        <f>+VLOOKUP(C68,'Tong hop cong'!C64:V64,20,0)</f>
        <v>12</v>
      </c>
      <c r="N68" s="2068">
        <f>+VLOOKUP(C68,'Tong hop cong'!C64:W64,21,0)</f>
        <v>1</v>
      </c>
      <c r="O68" s="2068">
        <f>+VLOOKUP(C68,'Tong hop cong'!C64:X64,22,0)</f>
        <v>0</v>
      </c>
      <c r="P68" s="2068">
        <f>+VLOOKUP(C68,'Tong hop cong'!C64:Y64,23,0)</f>
        <v>0</v>
      </c>
      <c r="Q68" s="2068">
        <f t="shared" si="9"/>
        <v>13</v>
      </c>
      <c r="R68" s="2068">
        <f>+VLOOKUP(C68,'2'!C31:R49,16,0)</f>
        <v>20</v>
      </c>
      <c r="S68" s="2070">
        <f>VLOOKUP(C68,'2'!$C$19:$S$38,17,0)</f>
        <v>1173220</v>
      </c>
      <c r="T68" s="2070"/>
      <c r="U68" s="3633">
        <f t="shared" si="6"/>
        <v>1314887</v>
      </c>
      <c r="V68" s="3634">
        <f t="shared" si="7"/>
        <v>1314887</v>
      </c>
      <c r="W68" s="2435" t="s">
        <v>1553</v>
      </c>
    </row>
    <row r="69" spans="1:28" s="1539" customFormat="1" ht="33" customHeight="1">
      <c r="A69" s="2063">
        <v>51</v>
      </c>
      <c r="B69" s="2270">
        <v>14</v>
      </c>
      <c r="C69" s="2088" t="str">
        <f>'Chấm công công nhân'!L64</f>
        <v>Nàng Ve</v>
      </c>
      <c r="D69" s="2064"/>
      <c r="E69" s="2065" t="s">
        <v>40</v>
      </c>
      <c r="F69" s="2065"/>
      <c r="G69" s="2066"/>
      <c r="H69" s="2067">
        <f t="shared" si="8"/>
        <v>0</v>
      </c>
      <c r="I69" s="2067">
        <f>+VLOOKUP(C69,'Tong hop cong'!C65:S65,17,0)</f>
        <v>234</v>
      </c>
      <c r="J69" s="2066">
        <f>+VLOOKUP(C69,'Tong hop cong'!C65:U65,19,0)</f>
        <v>124.57529241877255</v>
      </c>
      <c r="K69" s="2069" t="str">
        <f>VLOOKUP(C69,'Tong hop cong'!C65:AA65,25,0)</f>
        <v>B</v>
      </c>
      <c r="L69" s="2070">
        <f>VLOOKUP(C69,'2'!$C$19:$L$38,10,0)</f>
        <v>466903</v>
      </c>
      <c r="M69" s="2068">
        <f>+VLOOKUP(C69,'Tong hop cong'!C65:V65,20,0)</f>
        <v>16</v>
      </c>
      <c r="N69" s="2068">
        <f>+VLOOKUP(C69,'Tong hop cong'!C65:W65,21,0)</f>
        <v>2</v>
      </c>
      <c r="O69" s="2068">
        <f>+VLOOKUP(C69,'Tong hop cong'!C65:X65,22,0)</f>
        <v>0</v>
      </c>
      <c r="P69" s="2068">
        <f>+VLOOKUP(C69,'Tong hop cong'!C65:Y65,23,0)</f>
        <v>0</v>
      </c>
      <c r="Q69" s="2068">
        <f t="shared" si="9"/>
        <v>18</v>
      </c>
      <c r="R69" s="2068">
        <f>+VLOOKUP(C69,'2'!C32:R50,16,0)</f>
        <v>20</v>
      </c>
      <c r="S69" s="2070">
        <f>VLOOKUP(C69,'2'!$C$19:$S$38,17,0)</f>
        <v>1444580</v>
      </c>
      <c r="T69" s="2070"/>
      <c r="U69" s="3633">
        <f t="shared" si="6"/>
        <v>1911483</v>
      </c>
      <c r="V69" s="3634">
        <f t="shared" si="7"/>
        <v>1911483</v>
      </c>
      <c r="W69" s="2435" t="s">
        <v>1553</v>
      </c>
    </row>
    <row r="70" spans="1:28" s="1539" customFormat="1" ht="33" customHeight="1">
      <c r="A70" s="2063">
        <v>52</v>
      </c>
      <c r="B70" s="2269">
        <v>15</v>
      </c>
      <c r="C70" s="2088" t="str">
        <f>'Chấm công công nhân'!L65</f>
        <v>Nàng Phết</v>
      </c>
      <c r="D70" s="2064"/>
      <c r="E70" s="2065" t="s">
        <v>40</v>
      </c>
      <c r="F70" s="2065"/>
      <c r="G70" s="2066"/>
      <c r="H70" s="2067">
        <f t="shared" si="8"/>
        <v>0</v>
      </c>
      <c r="I70" s="2067">
        <f>+VLOOKUP(C70,'Tong hop cong'!C66:S66,17,0)</f>
        <v>72</v>
      </c>
      <c r="J70" s="2066">
        <f>+VLOOKUP(C70,'Tong hop cong'!C66:U66,19,0)</f>
        <v>38.330859205776171</v>
      </c>
      <c r="K70" s="2069" t="str">
        <f>VLOOKUP(C70,'Tong hop cong'!C66:AA66,25,0)</f>
        <v>A</v>
      </c>
      <c r="L70" s="2070">
        <f>VLOOKUP(C70,'2'!$C$19:$L$38,10,0)</f>
        <v>151093</v>
      </c>
      <c r="M70" s="2068">
        <f>+VLOOKUP(C70,'Tong hop cong'!C66:V66,20,0)</f>
        <v>12</v>
      </c>
      <c r="N70" s="2068">
        <f>+VLOOKUP(C70,'Tong hop cong'!C66:W66,21,0)</f>
        <v>1</v>
      </c>
      <c r="O70" s="2068">
        <f>+VLOOKUP(C70,'Tong hop cong'!C66:X66,22,0)</f>
        <v>0</v>
      </c>
      <c r="P70" s="2068">
        <f>+VLOOKUP(C70,'Tong hop cong'!C66:Y66,23,0)</f>
        <v>0</v>
      </c>
      <c r="Q70" s="2068">
        <f t="shared" si="9"/>
        <v>13</v>
      </c>
      <c r="R70" s="2068">
        <f>+VLOOKUP(C70,'2'!C33:R51,16,0)</f>
        <v>20</v>
      </c>
      <c r="S70" s="2070">
        <f>VLOOKUP(C70,'2'!$C$19:$S$38,17,0)</f>
        <v>1173220</v>
      </c>
      <c r="T70" s="2070"/>
      <c r="U70" s="3633">
        <f t="shared" si="6"/>
        <v>1324313</v>
      </c>
      <c r="V70" s="3634">
        <f t="shared" si="7"/>
        <v>1324313</v>
      </c>
      <c r="W70" s="2435" t="s">
        <v>1553</v>
      </c>
    </row>
    <row r="71" spans="1:28" s="1539" customFormat="1" ht="33" customHeight="1">
      <c r="A71" s="2063">
        <v>53</v>
      </c>
      <c r="B71" s="2270">
        <v>16</v>
      </c>
      <c r="C71" s="2088" t="str">
        <f>'Chấm công công nhân'!L66</f>
        <v>Thảo On</v>
      </c>
      <c r="D71" s="2064"/>
      <c r="E71" s="2065"/>
      <c r="F71" s="2065"/>
      <c r="G71" s="2066"/>
      <c r="H71" s="2067">
        <f t="shared" si="8"/>
        <v>0</v>
      </c>
      <c r="I71" s="2067">
        <f>+VLOOKUP(C71,'Tong hop cong'!C67:S67,17,0)</f>
        <v>0</v>
      </c>
      <c r="J71" s="2066">
        <f>+VLOOKUP(C71,'Tong hop cong'!C67:U67,19,0)</f>
        <v>0</v>
      </c>
      <c r="K71" s="2069" t="str">
        <f>VLOOKUP(C71,'Tong hop cong'!C67:AA67,25,0)</f>
        <v>A</v>
      </c>
      <c r="L71" s="2070">
        <f>VLOOKUP(C71,'2'!$C$19:$L$38,10,0)</f>
        <v>0</v>
      </c>
      <c r="M71" s="2068">
        <f>+VLOOKUP(C71,'Tong hop cong'!C67:V67,20,0)</f>
        <v>0</v>
      </c>
      <c r="N71" s="2068">
        <f>+VLOOKUP(C71,'Tong hop cong'!C67:W67,21,0)</f>
        <v>0</v>
      </c>
      <c r="O71" s="2068">
        <f>+VLOOKUP(C71,'Tong hop cong'!C67:X67,22,0)</f>
        <v>4</v>
      </c>
      <c r="P71" s="2068">
        <f>+VLOOKUP(C71,'Tong hop cong'!C67:Y67,23,0)</f>
        <v>0</v>
      </c>
      <c r="Q71" s="2068">
        <f t="shared" si="9"/>
        <v>4</v>
      </c>
      <c r="R71" s="2068">
        <f>+VLOOKUP(C71,'2'!C34:R52,16,0)</f>
        <v>20</v>
      </c>
      <c r="S71" s="2070">
        <f>VLOOKUP(C71,'2'!$C$19:$S$38,17,0)</f>
        <v>781462</v>
      </c>
      <c r="T71" s="2070"/>
      <c r="U71" s="3633">
        <f t="shared" si="6"/>
        <v>781462</v>
      </c>
      <c r="V71" s="3634">
        <f t="shared" si="7"/>
        <v>781462</v>
      </c>
      <c r="W71" s="2435" t="s">
        <v>1553</v>
      </c>
    </row>
    <row r="72" spans="1:28" s="1539" customFormat="1" ht="33" customHeight="1">
      <c r="A72" s="2063">
        <v>54</v>
      </c>
      <c r="B72" s="2269">
        <v>17</v>
      </c>
      <c r="C72" s="2088" t="str">
        <f>'Chấm công công nhân'!L67</f>
        <v>Thảo Sum</v>
      </c>
      <c r="D72" s="2064"/>
      <c r="E72" s="2065"/>
      <c r="F72" s="2065"/>
      <c r="G72" s="2066"/>
      <c r="H72" s="2067">
        <f t="shared" si="8"/>
        <v>0</v>
      </c>
      <c r="I72" s="2067">
        <f>+VLOOKUP(C72,'Tong hop cong'!C68:S68,17,0)</f>
        <v>0</v>
      </c>
      <c r="J72" s="2066">
        <f>+VLOOKUP(C72,'Tong hop cong'!C68:U68,19,0)</f>
        <v>0</v>
      </c>
      <c r="K72" s="2069" t="str">
        <f>VLOOKUP(C72,'Tong hop cong'!C68:AA68,25,0)</f>
        <v>B</v>
      </c>
      <c r="L72" s="2070">
        <f>VLOOKUP(C72,'2'!$C$19:$L$38,10,0)</f>
        <v>0</v>
      </c>
      <c r="M72" s="2068">
        <f>+VLOOKUP(C72,'Tong hop cong'!C68:V68,20,0)</f>
        <v>0</v>
      </c>
      <c r="N72" s="2068">
        <f>+VLOOKUP(C72,'Tong hop cong'!C68:W68,21,0)</f>
        <v>0</v>
      </c>
      <c r="O72" s="2068">
        <f>+VLOOKUP(C72,'Tong hop cong'!C68:X68,22,0)</f>
        <v>4</v>
      </c>
      <c r="P72" s="2068">
        <f>+VLOOKUP(C72,'Tong hop cong'!C68:Y68,23,0)</f>
        <v>0</v>
      </c>
      <c r="Q72" s="2068">
        <f t="shared" si="9"/>
        <v>4</v>
      </c>
      <c r="R72" s="2068">
        <f>+VLOOKUP(C72,'2'!C35:R53,16,0)</f>
        <v>20</v>
      </c>
      <c r="S72" s="2070">
        <f>VLOOKUP(C72,'2'!$C$19:$S$38,17,0)</f>
        <v>781462</v>
      </c>
      <c r="T72" s="2070"/>
      <c r="U72" s="3633">
        <f t="shared" si="6"/>
        <v>781462</v>
      </c>
      <c r="V72" s="3634">
        <f t="shared" si="7"/>
        <v>781462</v>
      </c>
      <c r="W72" s="2435" t="s">
        <v>1553</v>
      </c>
    </row>
    <row r="73" spans="1:28" s="1539" customFormat="1" ht="33" customHeight="1">
      <c r="A73" s="2063">
        <v>55</v>
      </c>
      <c r="B73" s="2270">
        <v>18</v>
      </c>
      <c r="C73" s="2088" t="str">
        <f>'Chấm công công nhân'!L68</f>
        <v>Cha La</v>
      </c>
      <c r="D73" s="2064"/>
      <c r="E73" s="2065"/>
      <c r="F73" s="2065"/>
      <c r="G73" s="2066"/>
      <c r="H73" s="2067">
        <f t="shared" si="8"/>
        <v>0</v>
      </c>
      <c r="I73" s="2067">
        <f>+VLOOKUP(C73,'Tong hop cong'!C69:S69,17,0)</f>
        <v>0</v>
      </c>
      <c r="J73" s="2066">
        <f>+VLOOKUP(C73,'Tong hop cong'!C69:U69,19,0)</f>
        <v>0</v>
      </c>
      <c r="K73" s="2069" t="str">
        <f>VLOOKUP(C73,'Tong hop cong'!C69:AA69,25,0)</f>
        <v>A</v>
      </c>
      <c r="L73" s="2070">
        <f>VLOOKUP(C73,'2'!$C$19:$L$38,10,0)</f>
        <v>0</v>
      </c>
      <c r="M73" s="2068">
        <f>+VLOOKUP(C73,'Tong hop cong'!C69:V69,20,0)</f>
        <v>0</v>
      </c>
      <c r="N73" s="2068">
        <f>+VLOOKUP(C73,'Tong hop cong'!C69:W69,21,0)</f>
        <v>0</v>
      </c>
      <c r="O73" s="2068">
        <f>+VLOOKUP(C73,'Tong hop cong'!C69:X69,22,0)</f>
        <v>4</v>
      </c>
      <c r="P73" s="2068">
        <f>+VLOOKUP(C73,'Tong hop cong'!C69:Y69,23,0)</f>
        <v>0</v>
      </c>
      <c r="Q73" s="2068">
        <f t="shared" si="9"/>
        <v>4</v>
      </c>
      <c r="R73" s="2068">
        <f>+VLOOKUP(C73,'2'!C36:R54,16,0)</f>
        <v>20</v>
      </c>
      <c r="S73" s="2070">
        <f>VLOOKUP(C73,'2'!$C$19:$S$38,17,0)</f>
        <v>781462</v>
      </c>
      <c r="T73" s="2070"/>
      <c r="U73" s="3633">
        <f t="shared" si="6"/>
        <v>781462</v>
      </c>
      <c r="V73" s="3634">
        <f t="shared" si="7"/>
        <v>781462</v>
      </c>
      <c r="W73" s="2435" t="s">
        <v>1553</v>
      </c>
    </row>
    <row r="74" spans="1:28" s="1539" customFormat="1" ht="33" customHeight="1">
      <c r="A74" s="2063">
        <v>56</v>
      </c>
      <c r="B74" s="2269">
        <v>19</v>
      </c>
      <c r="C74" s="2088" t="str">
        <f>'Chấm công công nhân'!L69</f>
        <v>Nàng Binh</v>
      </c>
      <c r="D74" s="2064"/>
      <c r="E74" s="2065"/>
      <c r="F74" s="2065"/>
      <c r="G74" s="2066"/>
      <c r="H74" s="2067">
        <f t="shared" si="8"/>
        <v>0</v>
      </c>
      <c r="I74" s="2067">
        <f>+VLOOKUP(C74,'Tong hop cong'!C70:S70,17,0)</f>
        <v>0</v>
      </c>
      <c r="J74" s="2066">
        <f>+VLOOKUP(C74,'Tong hop cong'!C70:U70,19,0)</f>
        <v>0</v>
      </c>
      <c r="K74" s="2069" t="str">
        <f>VLOOKUP(C74,'Tong hop cong'!C70:AA70,25,0)</f>
        <v>C</v>
      </c>
      <c r="L74" s="2070">
        <f>VLOOKUP(C74,'2'!$C$19:$L$38,10,0)</f>
        <v>0</v>
      </c>
      <c r="M74" s="2068">
        <f>+VLOOKUP(C74,'Tong hop cong'!C70:V70,20,0)</f>
        <v>0</v>
      </c>
      <c r="N74" s="2068">
        <f>+VLOOKUP(C74,'Tong hop cong'!C70:W70,21,0)</f>
        <v>0</v>
      </c>
      <c r="O74" s="2068">
        <f>+VLOOKUP(C74,'Tong hop cong'!C70:X70,22,0)</f>
        <v>2</v>
      </c>
      <c r="P74" s="2068">
        <f>+VLOOKUP(C74,'Tong hop cong'!C70:Y70,23,0)</f>
        <v>0</v>
      </c>
      <c r="Q74" s="2068">
        <f t="shared" si="9"/>
        <v>2</v>
      </c>
      <c r="R74" s="2068">
        <f>+VLOOKUP(C74,'2'!C37:R55,16,0)</f>
        <v>20</v>
      </c>
      <c r="S74" s="2070">
        <f>VLOOKUP(C74,'2'!$C$19:$S$38,17,0)</f>
        <v>640731</v>
      </c>
      <c r="T74" s="2070"/>
      <c r="U74" s="3633">
        <f t="shared" si="6"/>
        <v>640731</v>
      </c>
      <c r="V74" s="3634">
        <f t="shared" si="7"/>
        <v>640731</v>
      </c>
      <c r="W74" s="2435" t="s">
        <v>1553</v>
      </c>
    </row>
    <row r="75" spans="1:28" s="2165" customFormat="1" ht="26.25" customHeight="1">
      <c r="A75" s="2678">
        <v>58</v>
      </c>
      <c r="B75" s="3365">
        <v>20</v>
      </c>
      <c r="C75" s="2161" t="str">
        <f>'Tong hop cong'!C71</f>
        <v>Thảo e</v>
      </c>
      <c r="D75" s="2162"/>
      <c r="E75" s="2163"/>
      <c r="F75" s="2163"/>
      <c r="G75" s="2066">
        <f>VLOOKUP(C75,'Tong hop cong'!C71:R71,16,0)</f>
        <v>0</v>
      </c>
      <c r="H75" s="2067">
        <f>ROUND((G75*25000),0)</f>
        <v>0</v>
      </c>
      <c r="I75" s="2067"/>
      <c r="J75" s="2066">
        <f>+VLOOKUP(C75,'Tong hop cong'!C71:U85,18,0)</f>
        <v>0</v>
      </c>
      <c r="K75" s="2069">
        <f>+VLOOKUP(C75,'Tong hop cong'!C71:AA71,24,0)</f>
        <v>0</v>
      </c>
      <c r="L75" s="2070">
        <f>VLOOKUP(C75,'2'!$C$19:$L$38,10,0)</f>
        <v>0</v>
      </c>
      <c r="M75" s="2068">
        <f>+VLOOKUP(C75,'Tong hop cong'!C71:V71,19,0)</f>
        <v>0</v>
      </c>
      <c r="N75" s="2068">
        <f>+VLOOKUP(C75,'Tong hop cong'!C71:W71,21,0)</f>
        <v>0</v>
      </c>
      <c r="O75" s="2068">
        <f>+VLOOKUP(C75,'Tong hop cong'!C71:X71,21,0)</f>
        <v>0</v>
      </c>
      <c r="P75" s="2068">
        <f>+VLOOKUP(C75,'Tong hop cong'!C71:Y71,22,0)</f>
        <v>0</v>
      </c>
      <c r="Q75" s="2068">
        <f t="shared" ref="Q75" si="10">M75+N75</f>
        <v>0</v>
      </c>
      <c r="R75" s="2068"/>
      <c r="S75" s="2070">
        <f>VLOOKUP(C75,'2'!$C$19:$S$38,17,0)</f>
        <v>0</v>
      </c>
      <c r="T75" s="2164"/>
      <c r="U75" s="3635">
        <f t="shared" si="6"/>
        <v>0</v>
      </c>
      <c r="V75" s="3636">
        <f t="shared" si="7"/>
        <v>0</v>
      </c>
      <c r="W75" s="2435" t="s">
        <v>1553</v>
      </c>
      <c r="Y75" s="2165">
        <v>688.6</v>
      </c>
    </row>
    <row r="76" spans="1:28" s="2559" customFormat="1" ht="26.25" customHeight="1">
      <c r="A76" s="2062" t="s">
        <v>53</v>
      </c>
      <c r="B76" s="4101" t="s">
        <v>371</v>
      </c>
      <c r="C76" s="4101"/>
      <c r="D76" s="2062"/>
      <c r="E76" s="2062"/>
      <c r="F76" s="2062"/>
      <c r="G76" s="2062">
        <f>SUM(G77:G93)</f>
        <v>0</v>
      </c>
      <c r="H76" s="3064">
        <f>SUM(H77:H93)</f>
        <v>0</v>
      </c>
      <c r="I76" s="3064">
        <f>SUM(I77:I93)</f>
        <v>1366</v>
      </c>
      <c r="J76" s="3064">
        <f>SUM(J77:J93)</f>
        <v>842.68799999999976</v>
      </c>
      <c r="K76" s="3064"/>
      <c r="L76" s="3064">
        <f>SUM(L77:L93)</f>
        <v>3586621</v>
      </c>
      <c r="M76" s="3064">
        <f>SUM(M77:M93)</f>
        <v>191</v>
      </c>
      <c r="N76" s="3064">
        <f>SUM(N77:N93)</f>
        <v>33</v>
      </c>
      <c r="O76" s="3064">
        <f>SUM(O77:O93)</f>
        <v>0</v>
      </c>
      <c r="P76" s="3064">
        <f>SUM(P77:P93)</f>
        <v>0</v>
      </c>
      <c r="Q76" s="3389">
        <f t="shared" ref="Q76" si="11">SUM(Q77:Q93)</f>
        <v>0</v>
      </c>
      <c r="R76" s="3901">
        <f>SUM(R77:R93)</f>
        <v>320</v>
      </c>
      <c r="S76" s="3064">
        <f>SUM(S77:S93)</f>
        <v>30400000</v>
      </c>
      <c r="T76" s="3064">
        <f>SUM(T77:T93)</f>
        <v>0</v>
      </c>
      <c r="U76" s="3941">
        <f>SUM(U77:U93)</f>
        <v>33986621</v>
      </c>
      <c r="V76" s="3941">
        <f>SUM(V77:V93)</f>
        <v>33986621</v>
      </c>
      <c r="W76" s="2434">
        <f>M76*46.1*655.8</f>
        <v>5774384.5800000001</v>
      </c>
      <c r="X76" s="2559">
        <f>N76*76.9*655.8</f>
        <v>1664223.6600000001</v>
      </c>
      <c r="Y76" s="2559">
        <f>R76*25000</f>
        <v>8000000</v>
      </c>
    </row>
    <row r="77" spans="1:28" s="3594" customFormat="1" ht="27.75" customHeight="1">
      <c r="A77" s="2063">
        <v>57</v>
      </c>
      <c r="B77" s="2269">
        <v>1</v>
      </c>
      <c r="C77" s="3590" t="str">
        <f>'Chấm công công nhân'!L71</f>
        <v>Thảo Bun</v>
      </c>
      <c r="D77" s="2064" t="e">
        <f>VLOOKUP(C77,'Mã số NV'!$B$6:$D$53,3,0)</f>
        <v>#N/A</v>
      </c>
      <c r="E77" s="2065" t="s">
        <v>40</v>
      </c>
      <c r="F77" s="2065"/>
      <c r="G77" s="2066"/>
      <c r="H77" s="2067">
        <f>G77*25000</f>
        <v>0</v>
      </c>
      <c r="I77" s="2067">
        <f>+VLOOKUP(C77,'Tong hop cong'!C73:S73,17,0)</f>
        <v>218</v>
      </c>
      <c r="J77" s="2066">
        <f>+VLOOKUP(C77,'Tong hop cong'!C73:U73,19,0)</f>
        <v>134.48461493411421</v>
      </c>
      <c r="K77" s="2069" t="str">
        <f>VLOOKUP(C77,'Tong hop cong'!C73:AA73,25,0)</f>
        <v>B</v>
      </c>
      <c r="L77" s="2070">
        <f>VLOOKUP(C77,'3'!$C$16:$L$32,10,0)</f>
        <v>556185</v>
      </c>
      <c r="M77" s="2068">
        <f>+VLOOKUP(C77,'Tong hop cong'!C73:V73,20,0)</f>
        <v>19</v>
      </c>
      <c r="N77" s="2068">
        <f>+VLOOKUP(C77,'Tong hop cong'!C73:W73,21,0)</f>
        <v>4</v>
      </c>
      <c r="O77" s="2068">
        <f>+VLOOKUP(C77,'Tong hop cong'!C73:X73,22,0)</f>
        <v>0</v>
      </c>
      <c r="P77" s="2068">
        <f>+VLOOKUP(C77,'Tong hop cong'!C73:Y73,22,0)</f>
        <v>0</v>
      </c>
      <c r="Q77" s="2068"/>
      <c r="R77" s="2068">
        <f>+VLOOKUP(C77,'3'!C16:O31,13,0)</f>
        <v>20</v>
      </c>
      <c r="S77" s="2070">
        <f>VLOOKUP(C77,'3'!$C$16:$P$32,14,0)</f>
        <v>2800000</v>
      </c>
      <c r="T77" s="2070"/>
      <c r="U77" s="3633">
        <f>H77+L77+S77+T77</f>
        <v>3356185</v>
      </c>
      <c r="V77" s="3634">
        <f t="shared" ref="V77:V93" si="12">U77</f>
        <v>3356185</v>
      </c>
      <c r="W77" s="3591" t="s">
        <v>1243</v>
      </c>
      <c r="X77" s="3592"/>
      <c r="Y77" s="3593"/>
      <c r="AB77" s="3595">
        <f>SUM(T77:T81)</f>
        <v>0</v>
      </c>
    </row>
    <row r="78" spans="1:28" s="1540" customFormat="1" ht="27.75" customHeight="1">
      <c r="A78" s="3579">
        <v>58</v>
      </c>
      <c r="B78" s="3580">
        <v>2</v>
      </c>
      <c r="C78" s="3590" t="str">
        <f>'Chấm công công nhân'!L72</f>
        <v>Thảo Nga</v>
      </c>
      <c r="D78" s="3581" t="e">
        <f>VLOOKUP(C78,'Mã số NV'!$B$6:$D$53,3,0)</f>
        <v>#N/A</v>
      </c>
      <c r="E78" s="3582" t="s">
        <v>40</v>
      </c>
      <c r="F78" s="3582"/>
      <c r="G78" s="3583"/>
      <c r="H78" s="3584">
        <f t="shared" ref="H78:H89" si="13">G78*25000</f>
        <v>0</v>
      </c>
      <c r="I78" s="3585">
        <f>+VLOOKUP(C78,'Tong hop cong'!C74:S74,17,0)</f>
        <v>189</v>
      </c>
      <c r="J78" s="3586">
        <f>+VLOOKUP(C78,'Tong hop cong'!C74:U74,19,0)</f>
        <v>116.5944597364568</v>
      </c>
      <c r="K78" s="3587" t="str">
        <f>VLOOKUP(C78,'Tong hop cong'!C74:AA74,25,0)</f>
        <v>A</v>
      </c>
      <c r="L78" s="2070">
        <f>VLOOKUP(C78,'3'!$C$16:$L$32,10,0)</f>
        <v>504800</v>
      </c>
      <c r="M78" s="3589">
        <f>+VLOOKUP(C78,'Tong hop cong'!C74:V74,20,0)</f>
        <v>15</v>
      </c>
      <c r="N78" s="3589">
        <f>+VLOOKUP(C78,'Tong hop cong'!C74:W74,21,0)</f>
        <v>3</v>
      </c>
      <c r="O78" s="3589">
        <f>+VLOOKUP(C78,'Tong hop cong'!C74:X74,22,0)</f>
        <v>0</v>
      </c>
      <c r="P78" s="3589">
        <f>+VLOOKUP(C78,'Tong hop cong'!C74:Y74,22,0)</f>
        <v>0</v>
      </c>
      <c r="Q78" s="3589"/>
      <c r="R78" s="2068">
        <f>+VLOOKUP(C78,'3'!C17:O32,13,0)</f>
        <v>20</v>
      </c>
      <c r="S78" s="2070">
        <f>VLOOKUP(C78,'3'!$C$16:$P$32,14,0)</f>
        <v>2300000</v>
      </c>
      <c r="T78" s="3588"/>
      <c r="U78" s="3637">
        <f>H78+L78+S78+T78</f>
        <v>2804800</v>
      </c>
      <c r="V78" s="3638">
        <f t="shared" si="12"/>
        <v>2804800</v>
      </c>
      <c r="W78" s="2435" t="s">
        <v>1243</v>
      </c>
      <c r="X78" s="1613"/>
      <c r="Y78" s="2946"/>
    </row>
    <row r="79" spans="1:28" s="1540" customFormat="1" ht="27.75" customHeight="1">
      <c r="A79" s="3924">
        <v>59</v>
      </c>
      <c r="B79" s="3362">
        <v>3</v>
      </c>
      <c r="C79" s="3925" t="str">
        <f>'Chấm công công nhân'!L73</f>
        <v>Thảo Tia</v>
      </c>
      <c r="D79" s="3926" t="e">
        <f>VLOOKUP(C79,'Mã số NV'!$B$6:$D$53,3,0)</f>
        <v>#N/A</v>
      </c>
      <c r="E79" s="3927" t="s">
        <v>40</v>
      </c>
      <c r="F79" s="3927"/>
      <c r="G79" s="3363"/>
      <c r="H79" s="3364">
        <f t="shared" si="13"/>
        <v>0</v>
      </c>
      <c r="I79" s="3364">
        <f>+VLOOKUP(C79,'Tong hop cong'!C75:S75,17,0)</f>
        <v>211</v>
      </c>
      <c r="J79" s="3363">
        <f>+VLOOKUP(C79,'Tong hop cong'!C75:U75,19,0)</f>
        <v>130.16630161054172</v>
      </c>
      <c r="K79" s="3928" t="str">
        <f>VLOOKUP(C79,'Tong hop cong'!C75:AA75,25,0)</f>
        <v>A</v>
      </c>
      <c r="L79" s="3929">
        <f>VLOOKUP(C79,'3'!$C$16:$L$32,10,0)</f>
        <v>563560</v>
      </c>
      <c r="M79" s="3930">
        <f>+VLOOKUP(C79,'Tong hop cong'!C75:V75,20,0)</f>
        <v>16</v>
      </c>
      <c r="N79" s="3930">
        <f>+VLOOKUP(C79,'Tong hop cong'!C75:W75,21,0)</f>
        <v>3</v>
      </c>
      <c r="O79" s="3930">
        <f>+VLOOKUP(C79,'Tong hop cong'!C75:X75,22,0)</f>
        <v>0</v>
      </c>
      <c r="P79" s="3930">
        <f>+VLOOKUP(C79,'Tong hop cong'!C75:Y75,22,0)</f>
        <v>0</v>
      </c>
      <c r="Q79" s="3930"/>
      <c r="R79" s="3930">
        <f>+VLOOKUP(C79,'3'!C18:O33,13,0)</f>
        <v>20</v>
      </c>
      <c r="S79" s="3929">
        <f>VLOOKUP(C79,'3'!$C$16:$P$32,14,0)</f>
        <v>2400000</v>
      </c>
      <c r="T79" s="3929"/>
      <c r="U79" s="3931">
        <f>H79+L79+S79+T79</f>
        <v>2963560</v>
      </c>
      <c r="V79" s="3932">
        <f t="shared" si="12"/>
        <v>2963560</v>
      </c>
      <c r="W79" s="3591" t="s">
        <v>1243</v>
      </c>
      <c r="X79" s="1613"/>
      <c r="Y79" s="2946"/>
      <c r="Z79" s="2053"/>
    </row>
    <row r="80" spans="1:28" s="3936" customFormat="1" ht="27.75" customHeight="1">
      <c r="A80" s="2063">
        <v>60</v>
      </c>
      <c r="B80" s="2269">
        <v>4</v>
      </c>
      <c r="C80" s="3590" t="str">
        <f>'Chấm công công nhân'!L74</f>
        <v>Thảo Nuy</v>
      </c>
      <c r="D80" s="2064"/>
      <c r="E80" s="2065" t="s">
        <v>40</v>
      </c>
      <c r="F80" s="2065"/>
      <c r="G80" s="2066"/>
      <c r="H80" s="2067">
        <f t="shared" si="13"/>
        <v>0</v>
      </c>
      <c r="I80" s="2067">
        <f>+VLOOKUP(C80,'Tong hop cong'!C76:S76,17,0)</f>
        <v>211</v>
      </c>
      <c r="J80" s="2066">
        <f>+VLOOKUP(C80,'Tong hop cong'!C76:U76,19,0)</f>
        <v>130.16630161054172</v>
      </c>
      <c r="K80" s="2069" t="str">
        <f>VLOOKUP(C80,'Tong hop cong'!C76:AA76,25,0)</f>
        <v>B</v>
      </c>
      <c r="L80" s="2070">
        <f>VLOOKUP(C80,'3'!$C$16:$L$32,10,0)</f>
        <v>538326</v>
      </c>
      <c r="M80" s="2068">
        <f>+VLOOKUP(C80,'Tong hop cong'!C76:V76,20,0)</f>
        <v>15</v>
      </c>
      <c r="N80" s="2068">
        <f>+VLOOKUP(C80,'Tong hop cong'!C76:W76,21,0)</f>
        <v>3</v>
      </c>
      <c r="O80" s="2068">
        <f>+VLOOKUP(C80,'Tong hop cong'!C76:X76,22,0)</f>
        <v>0</v>
      </c>
      <c r="P80" s="2068">
        <f>+VLOOKUP(C80,'Tong hop cong'!C76:Y76,22,0)</f>
        <v>0</v>
      </c>
      <c r="Q80" s="2068"/>
      <c r="R80" s="2068">
        <f>+VLOOKUP(C80,'3'!C19:O34,13,0)</f>
        <v>20</v>
      </c>
      <c r="S80" s="2070">
        <f>VLOOKUP(C80,'3'!$C$16:$P$32,14,0)</f>
        <v>2300000</v>
      </c>
      <c r="T80" s="2070"/>
      <c r="U80" s="3633">
        <f>H80+L80+S80+T80</f>
        <v>2838326</v>
      </c>
      <c r="V80" s="3634">
        <f t="shared" si="12"/>
        <v>2838326</v>
      </c>
      <c r="W80" s="2435" t="s">
        <v>1243</v>
      </c>
      <c r="X80" s="3934"/>
      <c r="Y80" s="3935"/>
    </row>
    <row r="81" spans="1:26" s="1540" customFormat="1" ht="27.75" customHeight="1">
      <c r="A81" s="3579">
        <v>61</v>
      </c>
      <c r="B81" s="3580">
        <v>5</v>
      </c>
      <c r="C81" s="3933" t="str">
        <f>'Chấm công công nhân'!L75</f>
        <v>Thảo Xay</v>
      </c>
      <c r="D81" s="3581"/>
      <c r="E81" s="3582" t="s">
        <v>40</v>
      </c>
      <c r="F81" s="3582"/>
      <c r="G81" s="3583"/>
      <c r="H81" s="3584">
        <f t="shared" si="13"/>
        <v>0</v>
      </c>
      <c r="I81" s="3585">
        <f>+VLOOKUP(C81,'Tong hop cong'!C77:S77,17,0)</f>
        <v>65</v>
      </c>
      <c r="J81" s="3586">
        <f>+VLOOKUP(C81,'Tong hop cong'!C77:U77,19,0)</f>
        <v>40.098623718887261</v>
      </c>
      <c r="K81" s="3587" t="str">
        <f>VLOOKUP(C81,'Tong hop cong'!C77:AA77,25,0)</f>
        <v>B</v>
      </c>
      <c r="L81" s="3588">
        <f>VLOOKUP(C81,'3'!$C$16:$L$32,10,0)</f>
        <v>165835</v>
      </c>
      <c r="M81" s="3589">
        <f>+VLOOKUP(C81,'Tong hop cong'!C77:V77,20,0)</f>
        <v>10</v>
      </c>
      <c r="N81" s="3589">
        <f>+VLOOKUP(C81,'Tong hop cong'!C77:W77,21,0)</f>
        <v>2</v>
      </c>
      <c r="O81" s="3589">
        <f>+VLOOKUP(C81,'Tong hop cong'!C77:X77,22,0)</f>
        <v>0</v>
      </c>
      <c r="P81" s="3589">
        <f>+VLOOKUP(C81,'Tong hop cong'!C77:Y77,22,0)</f>
        <v>0</v>
      </c>
      <c r="Q81" s="3589"/>
      <c r="R81" s="3589">
        <f>+VLOOKUP(C81,'3'!C20:O35,13,0)</f>
        <v>20</v>
      </c>
      <c r="S81" s="3588">
        <f>VLOOKUP(C81,'3'!$C$16:$P$32,14,0)</f>
        <v>1700000</v>
      </c>
      <c r="T81" s="3588"/>
      <c r="U81" s="3637">
        <f>H81+L81+S81+T81</f>
        <v>1865835</v>
      </c>
      <c r="V81" s="3638">
        <f t="shared" si="12"/>
        <v>1865835</v>
      </c>
      <c r="W81" s="3591" t="s">
        <v>1243</v>
      </c>
      <c r="X81" s="1613"/>
      <c r="Y81" s="2946"/>
    </row>
    <row r="82" spans="1:26" s="1540" customFormat="1" ht="27.75" customHeight="1">
      <c r="A82" s="3579">
        <v>62</v>
      </c>
      <c r="B82" s="3362">
        <v>6</v>
      </c>
      <c r="C82" s="3590" t="str">
        <f>'Chấm công công nhân'!L76</f>
        <v>Nàng Nọi</v>
      </c>
      <c r="D82" s="2064"/>
      <c r="E82" s="2065" t="s">
        <v>40</v>
      </c>
      <c r="F82" s="2065"/>
      <c r="G82" s="3363"/>
      <c r="H82" s="3364">
        <f t="shared" si="13"/>
        <v>0</v>
      </c>
      <c r="I82" s="2067">
        <f>+VLOOKUP(C82,'Tong hop cong'!C78:S78,17,0)</f>
        <v>0</v>
      </c>
      <c r="J82" s="2066">
        <f>+VLOOKUP(C82,'Tong hop cong'!C78:U78,19,0)</f>
        <v>0</v>
      </c>
      <c r="K82" s="2069" t="str">
        <f>VLOOKUP(C82,'Tong hop cong'!C78:AA78,25,0)</f>
        <v>B</v>
      </c>
      <c r="L82" s="2070">
        <f>VLOOKUP(C82,'3'!$C$16:$L$32,10,0)</f>
        <v>0</v>
      </c>
      <c r="M82" s="2068">
        <f>+VLOOKUP(C82,'Tong hop cong'!C78:V78,20,0)</f>
        <v>10</v>
      </c>
      <c r="N82" s="2068">
        <f>+VLOOKUP(C82,'Tong hop cong'!C78:W78,21,0)</f>
        <v>1</v>
      </c>
      <c r="O82" s="2068">
        <f>+VLOOKUP(C82,'Tong hop cong'!C78:X78,22,0)</f>
        <v>0</v>
      </c>
      <c r="P82" s="2068">
        <f>+VLOOKUP(C82,'Tong hop cong'!C78:Y78,22,0)</f>
        <v>0</v>
      </c>
      <c r="Q82" s="2068"/>
      <c r="R82" s="2068">
        <f>+VLOOKUP(C82,'3'!C21:O36,13,0)</f>
        <v>20</v>
      </c>
      <c r="S82" s="2070">
        <f>VLOOKUP(C82,'3'!$C$16:$P$32,14,0)</f>
        <v>1600000</v>
      </c>
      <c r="T82" s="2070"/>
      <c r="U82" s="3633">
        <f t="shared" ref="U82:U93" si="14">H82+L82+S82</f>
        <v>1600000</v>
      </c>
      <c r="V82" s="3634">
        <f t="shared" si="12"/>
        <v>1600000</v>
      </c>
      <c r="W82" s="2435" t="s">
        <v>1243</v>
      </c>
      <c r="X82" s="1613"/>
      <c r="Y82" s="2946"/>
    </row>
    <row r="83" spans="1:26" s="1540" customFormat="1" ht="27.75" customHeight="1">
      <c r="A83" s="2063">
        <v>63</v>
      </c>
      <c r="B83" s="3362">
        <v>7</v>
      </c>
      <c r="C83" s="3590" t="str">
        <f>'Chấm công công nhân'!L77</f>
        <v>Thảo Khon</v>
      </c>
      <c r="D83" s="2064"/>
      <c r="E83" s="2065" t="s">
        <v>40</v>
      </c>
      <c r="F83" s="2065"/>
      <c r="G83" s="3363"/>
      <c r="H83" s="3364">
        <f t="shared" si="13"/>
        <v>0</v>
      </c>
      <c r="I83" s="2067">
        <f>+VLOOKUP(C83,'Tong hop cong'!C79:S79,17,0)</f>
        <v>212</v>
      </c>
      <c r="J83" s="2066">
        <f>+VLOOKUP(C83,'Tong hop cong'!C79:U79,19,0)</f>
        <v>130.7832035139092</v>
      </c>
      <c r="K83" s="2069" t="str">
        <f>VLOOKUP(C83,'Tong hop cong'!C79:AA79,25,0)</f>
        <v>A</v>
      </c>
      <c r="L83" s="2070">
        <f>VLOOKUP(C83,'3'!$C$16:$L$32,10,0)</f>
        <v>566231</v>
      </c>
      <c r="M83" s="2068">
        <f>+VLOOKUP(C83,'Tong hop cong'!C79:V79,20,0)</f>
        <v>15</v>
      </c>
      <c r="N83" s="2068">
        <f>+VLOOKUP(C83,'Tong hop cong'!C79:W79,21,0)</f>
        <v>3</v>
      </c>
      <c r="O83" s="2068">
        <f>+VLOOKUP(C83,'Tong hop cong'!C79:X79,22,0)</f>
        <v>0</v>
      </c>
      <c r="P83" s="2068">
        <f>+VLOOKUP(C83,'Tong hop cong'!C79:Y79,22,0)</f>
        <v>0</v>
      </c>
      <c r="Q83" s="2068"/>
      <c r="R83" s="2068">
        <f>+VLOOKUP(C83,'3'!C22:O37,13,0)</f>
        <v>20</v>
      </c>
      <c r="S83" s="2070">
        <f>VLOOKUP(C83,'3'!$C$16:$P$32,14,0)</f>
        <v>2300000</v>
      </c>
      <c r="T83" s="2070"/>
      <c r="U83" s="3633">
        <f t="shared" si="14"/>
        <v>2866231</v>
      </c>
      <c r="V83" s="3634">
        <f t="shared" si="12"/>
        <v>2866231</v>
      </c>
      <c r="W83" s="3591" t="s">
        <v>1243</v>
      </c>
    </row>
    <row r="84" spans="1:26" s="1540" customFormat="1" ht="27.75" customHeight="1">
      <c r="A84" s="3579">
        <v>64</v>
      </c>
      <c r="B84" s="3362">
        <v>8</v>
      </c>
      <c r="C84" s="3590" t="str">
        <f>'Chấm công công nhân'!L78</f>
        <v>Thảo Tưng</v>
      </c>
      <c r="D84" s="2064"/>
      <c r="E84" s="2065"/>
      <c r="F84" s="2065"/>
      <c r="G84" s="3363"/>
      <c r="H84" s="2067">
        <f t="shared" si="13"/>
        <v>0</v>
      </c>
      <c r="I84" s="2067">
        <f>+VLOOKUP(C84,'Tong hop cong'!C80:S80,17,0)</f>
        <v>23</v>
      </c>
      <c r="J84" s="2066">
        <f>+VLOOKUP(C84,'Tong hop cong'!C80:U80,19,0)</f>
        <v>14.188743777452414</v>
      </c>
      <c r="K84" s="2069" t="str">
        <f>VLOOKUP(C84,'Tong hop cong'!C80:AA80,25,0)</f>
        <v>B</v>
      </c>
      <c r="L84" s="2070">
        <f>VLOOKUP(C84,'3'!$C$16:$L$32,10,0)</f>
        <v>58680</v>
      </c>
      <c r="M84" s="2068">
        <f>+VLOOKUP(C84,'Tong hop cong'!C80:V80,20,0)</f>
        <v>14</v>
      </c>
      <c r="N84" s="2068">
        <f>+VLOOKUP(C84,'Tong hop cong'!C80:W80,21,0)</f>
        <v>1</v>
      </c>
      <c r="O84" s="2068">
        <f>+VLOOKUP(C84,'Tong hop cong'!C80:X80,22,0)</f>
        <v>0</v>
      </c>
      <c r="P84" s="2068">
        <f>+VLOOKUP(C84,'Tong hop cong'!C80:Y80,22,0)</f>
        <v>0</v>
      </c>
      <c r="Q84" s="2068"/>
      <c r="R84" s="2068">
        <f>+VLOOKUP(C84,'3'!C23:O38,13,0)</f>
        <v>20</v>
      </c>
      <c r="S84" s="2070">
        <f>VLOOKUP(C84,'3'!$C$16:$P$32,14,0)</f>
        <v>2000000</v>
      </c>
      <c r="T84" s="2070"/>
      <c r="U84" s="3633">
        <f t="shared" si="14"/>
        <v>2058680</v>
      </c>
      <c r="V84" s="3634">
        <f t="shared" si="12"/>
        <v>2058680</v>
      </c>
      <c r="W84" s="2435" t="s">
        <v>1243</v>
      </c>
    </row>
    <row r="85" spans="1:26" s="1540" customFormat="1" ht="27.75" customHeight="1">
      <c r="A85" s="2063">
        <v>65</v>
      </c>
      <c r="B85" s="3362">
        <v>9</v>
      </c>
      <c r="C85" s="3590" t="str">
        <f>'Chấm công công nhân'!L79</f>
        <v>Thảo Bắt</v>
      </c>
      <c r="D85" s="2064"/>
      <c r="E85" s="2065"/>
      <c r="F85" s="2065"/>
      <c r="G85" s="3363"/>
      <c r="H85" s="2067">
        <f t="shared" si="13"/>
        <v>0</v>
      </c>
      <c r="I85" s="2067">
        <f>+VLOOKUP(C85,'Tong hop cong'!C81:S81,17,0)</f>
        <v>169</v>
      </c>
      <c r="J85" s="2066">
        <f>+VLOOKUP(C85,'Tong hop cong'!C81:U81,19,0)</f>
        <v>104.25642166910687</v>
      </c>
      <c r="K85" s="2069" t="str">
        <f>VLOOKUP(C85,'Tong hop cong'!C81:AA81,25,0)</f>
        <v>A</v>
      </c>
      <c r="L85" s="2070">
        <f>VLOOKUP(C85,'3'!$C$16:$L$32,10,0)</f>
        <v>451382</v>
      </c>
      <c r="M85" s="2068">
        <f>+VLOOKUP(C85,'Tong hop cong'!C81:V81,20,0)</f>
        <v>18</v>
      </c>
      <c r="N85" s="2068">
        <f>+VLOOKUP(C85,'Tong hop cong'!C81:W81,21,0)</f>
        <v>3</v>
      </c>
      <c r="O85" s="2068">
        <f>+VLOOKUP(C85,'Tong hop cong'!C81:X81,22,0)</f>
        <v>0</v>
      </c>
      <c r="P85" s="2068">
        <f>+VLOOKUP(C85,'Tong hop cong'!C81:Y81,22,0)</f>
        <v>0</v>
      </c>
      <c r="Q85" s="2068"/>
      <c r="R85" s="2068">
        <f>+VLOOKUP(C85,'3'!C24:O39,13,0)</f>
        <v>20</v>
      </c>
      <c r="S85" s="2070">
        <f>VLOOKUP(C85,'3'!$C$16:$P$32,14,0)</f>
        <v>2600000</v>
      </c>
      <c r="T85" s="2070"/>
      <c r="U85" s="3633">
        <f t="shared" si="14"/>
        <v>3051382</v>
      </c>
      <c r="V85" s="3634">
        <f t="shared" si="12"/>
        <v>3051382</v>
      </c>
      <c r="W85" s="3591" t="s">
        <v>1243</v>
      </c>
    </row>
    <row r="86" spans="1:26" s="1540" customFormat="1" ht="27.75" customHeight="1">
      <c r="A86" s="3579">
        <v>66</v>
      </c>
      <c r="B86" s="3362">
        <v>10</v>
      </c>
      <c r="C86" s="3590" t="str">
        <f>'Chấm công công nhân'!L80</f>
        <v>Thảo Lay</v>
      </c>
      <c r="D86" s="2064"/>
      <c r="E86" s="2065"/>
      <c r="F86" s="2065"/>
      <c r="G86" s="3363"/>
      <c r="H86" s="2067">
        <f t="shared" si="13"/>
        <v>0</v>
      </c>
      <c r="I86" s="2067">
        <f>+VLOOKUP(C86,'Tong hop cong'!C82:S82,17,0)</f>
        <v>0</v>
      </c>
      <c r="J86" s="2066">
        <f>+VLOOKUP(C86,'Tong hop cong'!C82:U82,19,0)</f>
        <v>0</v>
      </c>
      <c r="K86" s="2069" t="str">
        <f>VLOOKUP(C86,'Tong hop cong'!C82:AA82,25,0)</f>
        <v>B</v>
      </c>
      <c r="L86" s="2070">
        <f>VLOOKUP(C86,'3'!$C$16:$L$32,10,0)</f>
        <v>0</v>
      </c>
      <c r="M86" s="2068">
        <f>+VLOOKUP(C86,'Tong hop cong'!C82:V82,20,0)</f>
        <v>0</v>
      </c>
      <c r="N86" s="2068">
        <f>+VLOOKUP(C86,'Tong hop cong'!C82:W82,21,0)</f>
        <v>0</v>
      </c>
      <c r="O86" s="2068">
        <f>+VLOOKUP(C86,'Tong hop cong'!C82:X82,22,0)</f>
        <v>0</v>
      </c>
      <c r="P86" s="2068">
        <f>+VLOOKUP(C86,'Tong hop cong'!C82:Y82,22,0)</f>
        <v>0</v>
      </c>
      <c r="Q86" s="2068"/>
      <c r="R86" s="2068">
        <f>+VLOOKUP(C86,'3'!C25:O40,13,0)</f>
        <v>20</v>
      </c>
      <c r="S86" s="2070">
        <f>VLOOKUP(C86,'3'!$C$16:$P$32,14,0)</f>
        <v>500000</v>
      </c>
      <c r="T86" s="2070"/>
      <c r="U86" s="3633">
        <f t="shared" si="14"/>
        <v>500000</v>
      </c>
      <c r="V86" s="3634">
        <f t="shared" si="12"/>
        <v>500000</v>
      </c>
      <c r="W86" s="2435" t="s">
        <v>1243</v>
      </c>
      <c r="X86" s="3065">
        <f>M77*46.1*655.8</f>
        <v>574415.22</v>
      </c>
      <c r="Y86" s="3944">
        <f>N77*76.9*655.8</f>
        <v>201724.08</v>
      </c>
      <c r="Z86" s="3944">
        <f>R77*25000</f>
        <v>500000</v>
      </c>
    </row>
    <row r="87" spans="1:26" s="1540" customFormat="1" ht="27.75" customHeight="1">
      <c r="A87" s="2063">
        <v>67</v>
      </c>
      <c r="B87" s="3362">
        <v>11</v>
      </c>
      <c r="C87" s="3590" t="str">
        <f>'Chấm công công nhân'!L81</f>
        <v>Thảo Chăn</v>
      </c>
      <c r="D87" s="2064"/>
      <c r="E87" s="2065"/>
      <c r="F87" s="2065"/>
      <c r="G87" s="3363"/>
      <c r="H87" s="3364">
        <f t="shared" si="13"/>
        <v>0</v>
      </c>
      <c r="I87" s="2067">
        <f>+VLOOKUP(C87,'Tong hop cong'!C83:S83,17,0)</f>
        <v>20</v>
      </c>
      <c r="J87" s="2066">
        <f>+VLOOKUP(C87,'Tong hop cong'!C83:U83,19,0)</f>
        <v>12.338038067349926</v>
      </c>
      <c r="K87" s="2069" t="str">
        <f>VLOOKUP(C87,'Tong hop cong'!C83:AA83,25,0)</f>
        <v>A</v>
      </c>
      <c r="L87" s="2070">
        <f>VLOOKUP(C87,'3'!$C$16:$L$32,10,0)</f>
        <v>53418</v>
      </c>
      <c r="M87" s="2068">
        <f>+VLOOKUP(C87,'Tong hop cong'!C83:V83,20,0)</f>
        <v>13</v>
      </c>
      <c r="N87" s="2068">
        <f>+VLOOKUP(C87,'Tong hop cong'!C83:W83,21,0)</f>
        <v>2</v>
      </c>
      <c r="O87" s="2068">
        <f>+VLOOKUP(C87,'Tong hop cong'!C83:X83,22,0)</f>
        <v>0</v>
      </c>
      <c r="P87" s="2068">
        <f>+VLOOKUP(C87,'Tong hop cong'!C83:Y83,22,0)</f>
        <v>0</v>
      </c>
      <c r="Q87" s="2068"/>
      <c r="R87" s="2068">
        <f>+VLOOKUP(C87,'3'!C26:O41,13,0)</f>
        <v>20</v>
      </c>
      <c r="S87" s="2070">
        <f>VLOOKUP(C87,'3'!$C$16:$P$32,14,0)</f>
        <v>2000000</v>
      </c>
      <c r="T87" s="2070"/>
      <c r="U87" s="3633">
        <f t="shared" si="14"/>
        <v>2053418</v>
      </c>
      <c r="V87" s="3634">
        <f t="shared" si="12"/>
        <v>2053418</v>
      </c>
      <c r="W87" s="3591" t="s">
        <v>1243</v>
      </c>
    </row>
    <row r="88" spans="1:26" s="1540" customFormat="1" ht="27.75" customHeight="1">
      <c r="A88" s="3579">
        <v>68</v>
      </c>
      <c r="B88" s="3362">
        <v>12</v>
      </c>
      <c r="C88" s="3590" t="str">
        <f>'Chấm công công nhân'!L82</f>
        <v>Thảo Lăm Ma</v>
      </c>
      <c r="D88" s="2064"/>
      <c r="E88" s="2065"/>
      <c r="F88" s="2065"/>
      <c r="G88" s="3363"/>
      <c r="H88" s="3364">
        <f t="shared" si="13"/>
        <v>0</v>
      </c>
      <c r="I88" s="2067">
        <f>+VLOOKUP(C88,'Tong hop cong'!C84:S84,17,0)</f>
        <v>0</v>
      </c>
      <c r="J88" s="2066">
        <f>+VLOOKUP(C88,'Tong hop cong'!C84:U84,19,0)</f>
        <v>0</v>
      </c>
      <c r="K88" s="2069" t="str">
        <f>VLOOKUP(C88,'Tong hop cong'!C84:AA84,25,0)</f>
        <v>B</v>
      </c>
      <c r="L88" s="2070">
        <f>VLOOKUP(C88,'3'!$C$16:$L$32,10,0)</f>
        <v>0</v>
      </c>
      <c r="M88" s="2068">
        <f>+VLOOKUP(C88,'Tong hop cong'!C84:V84,20,0)</f>
        <v>1</v>
      </c>
      <c r="N88" s="2068">
        <f>+VLOOKUP(C88,'Tong hop cong'!C84:W84,21,0)</f>
        <v>0</v>
      </c>
      <c r="O88" s="2068">
        <f>+VLOOKUP(C88,'Tong hop cong'!C84:X84,22,0)</f>
        <v>0</v>
      </c>
      <c r="P88" s="2068">
        <f>+VLOOKUP(C88,'Tong hop cong'!C84:Y84,22,0)</f>
        <v>0</v>
      </c>
      <c r="Q88" s="2068"/>
      <c r="R88" s="2068">
        <f>+VLOOKUP(C88,'3'!C27:O42,13,0)</f>
        <v>20</v>
      </c>
      <c r="S88" s="2070">
        <f>VLOOKUP(C88,'3'!$C$16:$P$32,14,0)</f>
        <v>600000</v>
      </c>
      <c r="T88" s="2070"/>
      <c r="U88" s="3633">
        <f t="shared" si="14"/>
        <v>600000</v>
      </c>
      <c r="V88" s="3634">
        <f t="shared" si="12"/>
        <v>600000</v>
      </c>
      <c r="W88" s="2435" t="s">
        <v>1243</v>
      </c>
    </row>
    <row r="89" spans="1:26" s="1540" customFormat="1" ht="27.75" customHeight="1">
      <c r="A89" s="2063">
        <v>69</v>
      </c>
      <c r="B89" s="3362">
        <v>13</v>
      </c>
      <c r="C89" s="3590" t="str">
        <f>'Chấm công công nhân'!L83</f>
        <v>Phò Đăm</v>
      </c>
      <c r="D89" s="2064"/>
      <c r="E89" s="2065"/>
      <c r="F89" s="2065"/>
      <c r="G89" s="3363"/>
      <c r="H89" s="3364">
        <f t="shared" si="13"/>
        <v>0</v>
      </c>
      <c r="I89" s="2067">
        <f>+VLOOKUP(C89,'Tong hop cong'!C85:S85,17,0)</f>
        <v>0</v>
      </c>
      <c r="J89" s="2066">
        <f>+VLOOKUP(C89,'Tong hop cong'!C85:U85,19,0)</f>
        <v>0</v>
      </c>
      <c r="K89" s="2069" t="str">
        <f>VLOOKUP(C89,'Tong hop cong'!C85:AA85,25,0)</f>
        <v>B</v>
      </c>
      <c r="L89" s="2070">
        <f>VLOOKUP(C89,'3'!$C$16:$L$32,10,0)</f>
        <v>0</v>
      </c>
      <c r="M89" s="2068">
        <f>+VLOOKUP(C89,'Tong hop cong'!C85:V85,20,0)</f>
        <v>15</v>
      </c>
      <c r="N89" s="2068">
        <f>+VLOOKUP(C89,'Tong hop cong'!C85:W85,21,0)</f>
        <v>2</v>
      </c>
      <c r="O89" s="2068">
        <f>+VLOOKUP(C89,'Tong hop cong'!C85:X85,22,0)</f>
        <v>0</v>
      </c>
      <c r="P89" s="2068">
        <f>+VLOOKUP(C89,'Tong hop cong'!C85:Y85,22,0)</f>
        <v>0</v>
      </c>
      <c r="Q89" s="2068"/>
      <c r="R89" s="2068">
        <f>+VLOOKUP(C89,'3'!C28:O43,13,0)</f>
        <v>20</v>
      </c>
      <c r="S89" s="2070">
        <f>VLOOKUP(C89,'3'!$C$16:$P$32,14,0)</f>
        <v>2200000</v>
      </c>
      <c r="T89" s="2070"/>
      <c r="U89" s="3633">
        <f t="shared" si="14"/>
        <v>2200000</v>
      </c>
      <c r="V89" s="3634">
        <f t="shared" si="12"/>
        <v>2200000</v>
      </c>
      <c r="W89" s="3591" t="s">
        <v>1243</v>
      </c>
      <c r="Y89" s="1614">
        <f>M76+N76</f>
        <v>224</v>
      </c>
    </row>
    <row r="90" spans="1:26" s="1540" customFormat="1" ht="27.75" customHeight="1">
      <c r="A90" s="3579">
        <v>70</v>
      </c>
      <c r="B90" s="3362">
        <v>14</v>
      </c>
      <c r="C90" s="3590" t="str">
        <f>'Chấm công công nhân'!L84</f>
        <v>Thảo Đăm Đi</v>
      </c>
      <c r="D90" s="2064"/>
      <c r="E90" s="2065"/>
      <c r="F90" s="2065"/>
      <c r="G90" s="3363"/>
      <c r="H90" s="3364">
        <f t="shared" ref="H90:H92" si="15">G90*25000</f>
        <v>0</v>
      </c>
      <c r="I90" s="2067">
        <f>+VLOOKUP(C90,'Tong hop cong'!C86:S86,17,0)</f>
        <v>0</v>
      </c>
      <c r="J90" s="2066">
        <f>+VLOOKUP(C90,'Tong hop cong'!C86:U86,19,0)</f>
        <v>0</v>
      </c>
      <c r="K90" s="2069" t="str">
        <f>VLOOKUP(C90,'Tong hop cong'!C86:AA86,25,0)</f>
        <v>B</v>
      </c>
      <c r="L90" s="2070">
        <f>VLOOKUP(C90,'3'!$C$16:$L$32,10,0)</f>
        <v>0</v>
      </c>
      <c r="M90" s="2068">
        <f>+VLOOKUP(C90,'Tong hop cong'!C86:V86,20,0)</f>
        <v>1</v>
      </c>
      <c r="N90" s="2068">
        <f>+VLOOKUP(C90,'Tong hop cong'!C86:W86,21,0)</f>
        <v>0</v>
      </c>
      <c r="O90" s="2068">
        <f>+VLOOKUP(C90,'Tong hop cong'!C86:X86,22,0)</f>
        <v>0</v>
      </c>
      <c r="P90" s="2068">
        <f>+VLOOKUP(C90,'Tong hop cong'!C86:Y86,22,0)</f>
        <v>0</v>
      </c>
      <c r="Q90" s="2068"/>
      <c r="R90" s="2068">
        <f>+VLOOKUP(C90,'3'!C29:O44,13,0)</f>
        <v>20</v>
      </c>
      <c r="S90" s="2070">
        <f>VLOOKUP(C90,'3'!$C$16:$P$32,14,0)</f>
        <v>600000</v>
      </c>
      <c r="T90" s="2070"/>
      <c r="U90" s="3633">
        <f t="shared" si="14"/>
        <v>600000</v>
      </c>
      <c r="V90" s="3634">
        <f t="shared" si="12"/>
        <v>600000</v>
      </c>
      <c r="W90" s="2435" t="s">
        <v>1243</v>
      </c>
      <c r="Y90" s="1540">
        <f>Y89*100000</f>
        <v>22400000</v>
      </c>
    </row>
    <row r="91" spans="1:26" s="1540" customFormat="1" ht="27.75" customHeight="1">
      <c r="A91" s="2063">
        <v>71</v>
      </c>
      <c r="B91" s="3362">
        <v>15</v>
      </c>
      <c r="C91" s="3590" t="str">
        <f>'Chấm công công nhân'!L85</f>
        <v xml:space="preserve"> Thảo Khên </v>
      </c>
      <c r="D91" s="2064"/>
      <c r="E91" s="2065"/>
      <c r="F91" s="2065"/>
      <c r="G91" s="3363"/>
      <c r="H91" s="2067">
        <f t="shared" si="15"/>
        <v>0</v>
      </c>
      <c r="I91" s="2067">
        <f>+VLOOKUP(C91,'Tong hop cong'!C87:S87,17,0)</f>
        <v>13</v>
      </c>
      <c r="J91" s="2066">
        <f>+VLOOKUP(C91,'Tong hop cong'!C87:U87,19,0)</f>
        <v>8.0197247437774521</v>
      </c>
      <c r="K91" s="2069" t="str">
        <f>VLOOKUP(C91,'Tong hop cong'!C87:AA87,25,0)</f>
        <v>A</v>
      </c>
      <c r="L91" s="2070">
        <f>VLOOKUP(C91,'3'!$C$16:$L$32,10,0)</f>
        <v>34722</v>
      </c>
      <c r="M91" s="2068">
        <f>+VLOOKUP(C91,'Tong hop cong'!C87:V87,20,0)</f>
        <v>13</v>
      </c>
      <c r="N91" s="2068">
        <f>+VLOOKUP(C91,'Tong hop cong'!C87:W87,21,0)</f>
        <v>2</v>
      </c>
      <c r="O91" s="2068">
        <f>+VLOOKUP(C91,'Tong hop cong'!C87:X87,22,0)</f>
        <v>0</v>
      </c>
      <c r="P91" s="2068">
        <f>+VLOOKUP(C91,'Tong hop cong'!C87:Y87,22,0)</f>
        <v>0</v>
      </c>
      <c r="Q91" s="2068"/>
      <c r="R91" s="2068">
        <f>+VLOOKUP(C91,'3'!C30:O45,13,0)</f>
        <v>20</v>
      </c>
      <c r="S91" s="2070">
        <f>VLOOKUP(C91,'3'!$C$16:$P$32,14,0)</f>
        <v>2000000</v>
      </c>
      <c r="T91" s="2070"/>
      <c r="U91" s="3633">
        <f t="shared" si="14"/>
        <v>2034722</v>
      </c>
      <c r="V91" s="3634">
        <f t="shared" si="12"/>
        <v>2034722</v>
      </c>
      <c r="W91" s="3591" t="s">
        <v>1243</v>
      </c>
      <c r="X91" s="1613"/>
      <c r="Y91" s="1613"/>
    </row>
    <row r="92" spans="1:26" s="1540" customFormat="1" ht="27.75" customHeight="1">
      <c r="A92" s="3579">
        <v>72</v>
      </c>
      <c r="B92" s="3362">
        <v>16</v>
      </c>
      <c r="C92" s="3590" t="str">
        <f>'Chấm công công nhân'!L86</f>
        <v xml:space="preserve"> Thảo Đăm </v>
      </c>
      <c r="D92" s="2064"/>
      <c r="E92" s="2065"/>
      <c r="F92" s="2065"/>
      <c r="G92" s="3363"/>
      <c r="H92" s="2067">
        <f t="shared" si="15"/>
        <v>0</v>
      </c>
      <c r="I92" s="2067">
        <f>+VLOOKUP(C92,'Tong hop cong'!C88:S88,17,0)</f>
        <v>35</v>
      </c>
      <c r="J92" s="2066">
        <f>+VLOOKUP(C92,'Tong hop cong'!C88:U94,19,0)</f>
        <v>21.591566617862373</v>
      </c>
      <c r="K92" s="2069" t="str">
        <f>VLOOKUP(C92,'Tong hop cong'!C88:AA88,25,0)</f>
        <v>A</v>
      </c>
      <c r="L92" s="2070">
        <f>VLOOKUP(C92,'3'!$C$16:$L$32,10,0)</f>
        <v>93482</v>
      </c>
      <c r="M92" s="2068">
        <f>+VLOOKUP(C92,'Tong hop cong'!C88:V88,20,0)</f>
        <v>16</v>
      </c>
      <c r="N92" s="2068">
        <f>+VLOOKUP(C92,'Tong hop cong'!C88:W94,21,0)</f>
        <v>4</v>
      </c>
      <c r="O92" s="2068">
        <f>+VLOOKUP(C92,'Tong hop cong'!C88:X88,22,0)</f>
        <v>0</v>
      </c>
      <c r="P92" s="2068">
        <f>+VLOOKUP(C92,'Tong hop cong'!C88:Y88,22,0)</f>
        <v>0</v>
      </c>
      <c r="Q92" s="2068"/>
      <c r="R92" s="2068">
        <f>+VLOOKUP(C92,'3'!C31:O46,13,0)</f>
        <v>20</v>
      </c>
      <c r="S92" s="2070">
        <f>VLOOKUP(C92,'3'!$C$16:$P$32,14,0)</f>
        <v>2500000</v>
      </c>
      <c r="T92" s="2070"/>
      <c r="U92" s="3633">
        <f t="shared" si="14"/>
        <v>2593482</v>
      </c>
      <c r="V92" s="3634">
        <f t="shared" si="12"/>
        <v>2593482</v>
      </c>
      <c r="W92" s="2435" t="s">
        <v>1243</v>
      </c>
      <c r="X92" s="1614"/>
      <c r="Y92" s="1614"/>
    </row>
    <row r="93" spans="1:26" s="2167" customFormat="1" ht="25.5" customHeight="1">
      <c r="A93" s="2678">
        <v>75</v>
      </c>
      <c r="B93" s="3366">
        <v>17</v>
      </c>
      <c r="C93" s="2161" t="str">
        <f>'Tong hop cong'!C89</f>
        <v>Thảo Ê</v>
      </c>
      <c r="D93" s="2162"/>
      <c r="E93" s="2163" t="s">
        <v>1139</v>
      </c>
      <c r="F93" s="2163"/>
      <c r="G93" s="3363">
        <f>VLOOKUP(C93,'Tong hop cong'!C89:R89,16,0)</f>
        <v>0</v>
      </c>
      <c r="H93" s="2680">
        <f>ROUND((G93*25000),0)</f>
        <v>0</v>
      </c>
      <c r="I93" s="2680">
        <f>+VLOOKUP(C93,'Tong hop cong'!C89:S89,17,0)</f>
        <v>0</v>
      </c>
      <c r="J93" s="2679">
        <f>+VLOOKUP(C93,'Tong hop cong'!C89:U95,18,0)</f>
        <v>0</v>
      </c>
      <c r="K93" s="2069">
        <f>VLOOKUP(C93,'Tong hop cong'!C89:AA89,25,0)</f>
        <v>0</v>
      </c>
      <c r="L93" s="2070"/>
      <c r="M93" s="2681">
        <f>+VLOOKUP(C93,'Tong hop cong'!C89:V95,19,0)</f>
        <v>0</v>
      </c>
      <c r="N93" s="2681">
        <f>+VLOOKUP(C93,'Tong hop cong'!C89:W95,20,0)</f>
        <v>0</v>
      </c>
      <c r="O93" s="2681">
        <f>+VLOOKUP(C93,'Tong hop cong'!C89:X89,21,0)</f>
        <v>0</v>
      </c>
      <c r="P93" s="2681">
        <f>+VLOOKUP(C93,'Tong hop cong'!C89:Y89,22,0)</f>
        <v>0</v>
      </c>
      <c r="Q93" s="2068"/>
      <c r="R93" s="2068"/>
      <c r="S93" s="2070"/>
      <c r="T93" s="2164"/>
      <c r="U93" s="3635">
        <f t="shared" si="14"/>
        <v>0</v>
      </c>
      <c r="V93" s="3636">
        <f t="shared" si="12"/>
        <v>0</v>
      </c>
      <c r="W93" s="2435" t="s">
        <v>1243</v>
      </c>
    </row>
    <row r="94" spans="1:26" s="1542" customFormat="1" ht="27.75" customHeight="1">
      <c r="A94" s="4098" t="s">
        <v>688</v>
      </c>
      <c r="B94" s="4098"/>
      <c r="C94" s="4098"/>
      <c r="D94" s="4098"/>
      <c r="E94" s="4098"/>
      <c r="F94" s="2073"/>
      <c r="G94" s="2436">
        <f t="shared" ref="G94:T94" si="16">+G16+G55+G76</f>
        <v>0</v>
      </c>
      <c r="H94" s="2074">
        <f t="shared" si="16"/>
        <v>0</v>
      </c>
      <c r="I94" s="2074">
        <f t="shared" si="16"/>
        <v>9937</v>
      </c>
      <c r="J94" s="2074">
        <f>+J16+J55+J76</f>
        <v>5465.5649999999987</v>
      </c>
      <c r="K94" s="2074"/>
      <c r="L94" s="2074">
        <f t="shared" si="16"/>
        <v>21440660</v>
      </c>
      <c r="M94" s="2074">
        <f t="shared" si="16"/>
        <v>954</v>
      </c>
      <c r="N94" s="2074">
        <f t="shared" si="16"/>
        <v>168</v>
      </c>
      <c r="O94" s="2074">
        <f t="shared" si="16"/>
        <v>19</v>
      </c>
      <c r="P94" s="2074">
        <f t="shared" si="16"/>
        <v>1</v>
      </c>
      <c r="Q94" s="2074">
        <f t="shared" si="16"/>
        <v>918</v>
      </c>
      <c r="R94" s="2074">
        <f t="shared" si="16"/>
        <v>1440</v>
      </c>
      <c r="S94" s="2074">
        <f>+S16+S55+S76</f>
        <v>107663002</v>
      </c>
      <c r="T94" s="2074">
        <f t="shared" si="16"/>
        <v>0</v>
      </c>
      <c r="U94" s="2074">
        <f>+U16+U55+U76</f>
        <v>129103662</v>
      </c>
      <c r="V94" s="2074">
        <f>+V16+V55+V76</f>
        <v>129103662</v>
      </c>
      <c r="W94" s="2435"/>
      <c r="X94" s="1541"/>
    </row>
    <row r="95" spans="1:26" s="910" customFormat="1" ht="31.5" customHeight="1">
      <c r="A95" s="4102" t="s">
        <v>1919</v>
      </c>
      <c r="B95" s="4102"/>
      <c r="C95" s="4102"/>
      <c r="D95" s="4102"/>
      <c r="E95" s="4102"/>
      <c r="F95" s="4102"/>
      <c r="G95" s="4102"/>
      <c r="H95" s="4102"/>
      <c r="I95" s="4102"/>
      <c r="J95" s="4102"/>
      <c r="K95" s="4102"/>
      <c r="L95" s="4102"/>
      <c r="M95" s="4102"/>
      <c r="N95" s="4102"/>
      <c r="O95" s="4102"/>
      <c r="P95" s="4102"/>
      <c r="Q95" s="4102"/>
      <c r="R95" s="4102"/>
      <c r="S95" s="4102"/>
      <c r="T95" s="4102"/>
      <c r="U95" s="4102"/>
      <c r="V95" s="4102"/>
      <c r="W95" s="3629"/>
      <c r="X95" s="3552">
        <f>H94+L94+S94</f>
        <v>129103662</v>
      </c>
    </row>
    <row r="96" spans="1:26" ht="26.25" customHeight="1">
      <c r="A96" s="2036"/>
      <c r="B96" s="2075"/>
      <c r="C96" s="1386"/>
      <c r="D96" s="1386"/>
      <c r="E96" s="2075"/>
      <c r="F96" s="2075"/>
      <c r="G96" s="2076"/>
      <c r="H96" s="2075"/>
      <c r="I96" s="2075"/>
      <c r="J96" s="2076"/>
      <c r="K96" s="2077"/>
      <c r="L96" s="2078"/>
      <c r="M96" s="2075"/>
      <c r="N96" s="2075"/>
      <c r="O96" s="2079"/>
      <c r="P96" s="2079"/>
      <c r="Q96" s="2079"/>
      <c r="R96" s="2079"/>
      <c r="S96" s="2079" t="s">
        <v>1915</v>
      </c>
      <c r="T96" s="2079"/>
      <c r="U96" s="2079"/>
      <c r="V96" s="2079"/>
      <c r="W96" s="3630"/>
      <c r="X96" s="925">
        <f>U16+U55+U76</f>
        <v>129103662</v>
      </c>
      <c r="Y96" s="925"/>
    </row>
    <row r="97" spans="1:24" s="1865" customFormat="1" ht="23.25" customHeight="1">
      <c r="A97" s="4087" t="s">
        <v>45</v>
      </c>
      <c r="B97" s="4087"/>
      <c r="C97" s="4087"/>
      <c r="D97" s="4087"/>
      <c r="E97" s="4087"/>
      <c r="F97" s="4087"/>
      <c r="G97" s="4087"/>
      <c r="H97" s="2080"/>
      <c r="I97" s="2080"/>
      <c r="K97" s="4087" t="s">
        <v>44</v>
      </c>
      <c r="L97" s="4087"/>
      <c r="M97" s="2080"/>
      <c r="N97" s="2080"/>
      <c r="O97" s="2081"/>
      <c r="P97" s="2081"/>
      <c r="Q97" s="2081"/>
      <c r="R97" s="2081"/>
      <c r="S97" s="3450" t="s">
        <v>1104</v>
      </c>
      <c r="T97" s="2081"/>
      <c r="U97" s="2081"/>
      <c r="V97" s="2081"/>
      <c r="W97" s="3631"/>
      <c r="X97" s="3375">
        <f>'1'!U52+'2'!U39+'3'!S33</f>
        <v>129103662</v>
      </c>
    </row>
    <row r="98" spans="1:24" hidden="1">
      <c r="A98" s="2075"/>
      <c r="B98" s="2075"/>
      <c r="C98" s="2082"/>
      <c r="D98" s="2082"/>
      <c r="E98" s="2075"/>
      <c r="F98" s="2075"/>
      <c r="G98" s="2083"/>
      <c r="H98" s="2084"/>
      <c r="I98" s="2084"/>
      <c r="J98" s="2078"/>
      <c r="K98" s="2036"/>
      <c r="L98" s="2085"/>
      <c r="M98" s="2082">
        <f>M94*46.1*655.8</f>
        <v>28841690.52</v>
      </c>
      <c r="N98" s="2082">
        <f>N94*76.9*655.8</f>
        <v>8472411.3599999994</v>
      </c>
      <c r="O98" s="2082">
        <f>O94*(30.7+46.1)*655.8</f>
        <v>956943.35999999999</v>
      </c>
      <c r="P98" s="2082">
        <f>P94*(30.7+76.9)*655.8</f>
        <v>70564.08</v>
      </c>
      <c r="Q98" s="2082">
        <f>Q94*20000</f>
        <v>18360000</v>
      </c>
      <c r="R98" s="2082">
        <f>R94*25000</f>
        <v>36000000</v>
      </c>
      <c r="S98" s="2086"/>
      <c r="T98" s="2086"/>
      <c r="U98" s="2075"/>
      <c r="V98" s="3378"/>
      <c r="W98" s="2075"/>
    </row>
    <row r="99" spans="1:24" ht="27" hidden="1" customHeight="1">
      <c r="A99" s="909"/>
      <c r="C99" s="909"/>
      <c r="D99" s="909"/>
      <c r="G99" s="927"/>
      <c r="I99" s="909">
        <f>SUBTOTAL(9,I77:I92)</f>
        <v>1366</v>
      </c>
      <c r="K99" s="914"/>
      <c r="L99" s="926"/>
      <c r="N99" s="923"/>
      <c r="P99" s="925"/>
      <c r="Q99" s="925"/>
      <c r="R99" s="925"/>
      <c r="S99" s="926"/>
      <c r="T99" s="926"/>
      <c r="W99" s="925">
        <f>'1'!U52+'2'!U39+'3'!S33</f>
        <v>129103662</v>
      </c>
    </row>
    <row r="100" spans="1:24" hidden="1">
      <c r="A100" s="909"/>
      <c r="C100" s="909"/>
      <c r="D100" s="909"/>
      <c r="E100" s="925"/>
      <c r="F100" s="925"/>
      <c r="G100" s="1968"/>
      <c r="K100" s="914"/>
      <c r="L100" s="4085"/>
      <c r="M100" s="4085"/>
      <c r="V100" s="931"/>
      <c r="W100" s="2429"/>
    </row>
    <row r="101" spans="1:24" hidden="1">
      <c r="A101" s="909"/>
      <c r="C101" s="909"/>
      <c r="D101" s="909"/>
      <c r="E101" s="925"/>
      <c r="F101" s="925"/>
      <c r="G101" s="932"/>
      <c r="K101" s="914"/>
      <c r="L101" s="931"/>
      <c r="M101" s="931"/>
      <c r="O101" s="1567"/>
      <c r="P101" s="941"/>
      <c r="V101" s="931"/>
      <c r="W101" s="2429"/>
    </row>
    <row r="102" spans="1:24" hidden="1">
      <c r="A102" s="909"/>
      <c r="C102" s="909"/>
      <c r="D102" s="909"/>
      <c r="G102" s="1967"/>
      <c r="K102" s="914"/>
      <c r="L102" s="909"/>
      <c r="M102" s="933"/>
      <c r="N102" s="4086"/>
      <c r="O102" s="4086"/>
      <c r="P102" s="4086"/>
      <c r="Q102" s="4086"/>
      <c r="R102" s="4086"/>
      <c r="S102" s="4086"/>
      <c r="T102" s="2934"/>
    </row>
    <row r="103" spans="1:24" hidden="1">
      <c r="A103" s="909"/>
      <c r="C103" s="909"/>
      <c r="D103" s="909"/>
      <c r="E103" s="934"/>
      <c r="F103" s="934"/>
      <c r="G103" s="1966"/>
      <c r="H103" s="1968"/>
      <c r="I103" s="1968"/>
      <c r="J103" s="2418"/>
      <c r="K103" s="2418"/>
      <c r="L103" s="2418"/>
      <c r="M103" s="3632"/>
      <c r="N103" s="3632"/>
      <c r="O103" s="3632"/>
      <c r="P103" s="3632"/>
      <c r="Q103" s="3632">
        <v>191</v>
      </c>
      <c r="R103" s="3632">
        <v>33</v>
      </c>
      <c r="S103" s="2418">
        <v>320</v>
      </c>
      <c r="T103" s="2418"/>
      <c r="U103" s="2418"/>
      <c r="V103" s="2418"/>
      <c r="W103" s="2426"/>
    </row>
    <row r="104" spans="1:24" s="935" customFormat="1" ht="17.25" hidden="1">
      <c r="G104" s="1965"/>
      <c r="H104" s="936"/>
      <c r="I104" s="936"/>
      <c r="J104" s="937"/>
      <c r="K104" s="938"/>
      <c r="L104" s="939"/>
      <c r="M104" s="940"/>
      <c r="N104" s="940"/>
      <c r="O104" s="940"/>
      <c r="P104" s="940"/>
      <c r="Q104" s="940"/>
      <c r="R104" s="940"/>
    </row>
    <row r="105" spans="1:24" hidden="1">
      <c r="E105" s="941"/>
      <c r="F105" s="941"/>
      <c r="U105" s="925"/>
    </row>
    <row r="106" spans="1:24" hidden="1">
      <c r="A106" s="942"/>
      <c r="M106" s="912"/>
      <c r="N106" s="912"/>
      <c r="O106" s="912"/>
      <c r="P106" s="912"/>
      <c r="Q106" s="912"/>
      <c r="R106" s="912"/>
      <c r="S106" s="4084"/>
      <c r="T106" s="4084"/>
      <c r="U106" s="4084"/>
      <c r="V106" s="4084"/>
    </row>
    <row r="107" spans="1:24" hidden="1">
      <c r="A107" s="943"/>
      <c r="M107" s="941"/>
      <c r="N107" s="941"/>
      <c r="O107" s="941"/>
      <c r="P107" s="941"/>
      <c r="Q107" s="941"/>
      <c r="R107" s="941"/>
      <c r="S107" s="925"/>
      <c r="T107" s="925"/>
    </row>
    <row r="108" spans="1:24" hidden="1">
      <c r="A108" s="943"/>
      <c r="S108" s="941"/>
      <c r="T108" s="941"/>
    </row>
    <row r="109" spans="1:24" hidden="1">
      <c r="L109" s="944"/>
    </row>
    <row r="110" spans="1:24" hidden="1"/>
  </sheetData>
  <autoFilter ref="A15:AB97">
    <filterColumn colId="0" showButton="0"/>
  </autoFilter>
  <mergeCells count="31">
    <mergeCell ref="A3:V3"/>
    <mergeCell ref="A4:V4"/>
    <mergeCell ref="A5:V5"/>
    <mergeCell ref="K97:L97"/>
    <mergeCell ref="A6:H6"/>
    <mergeCell ref="A7:H7"/>
    <mergeCell ref="A15:B15"/>
    <mergeCell ref="E9:G9"/>
    <mergeCell ref="A94:E94"/>
    <mergeCell ref="B16:C16"/>
    <mergeCell ref="B55:C55"/>
    <mergeCell ref="B76:C76"/>
    <mergeCell ref="A95:V95"/>
    <mergeCell ref="A8:V8"/>
    <mergeCell ref="D11:D13"/>
    <mergeCell ref="V11:V13"/>
    <mergeCell ref="U11:U13"/>
    <mergeCell ref="I12:L12"/>
    <mergeCell ref="C11:C13"/>
    <mergeCell ref="S106:V106"/>
    <mergeCell ref="L100:M100"/>
    <mergeCell ref="N102:S102"/>
    <mergeCell ref="A97:G97"/>
    <mergeCell ref="A11:B13"/>
    <mergeCell ref="E10:G10"/>
    <mergeCell ref="G12:H12"/>
    <mergeCell ref="F11:F13"/>
    <mergeCell ref="G11:T11"/>
    <mergeCell ref="T12:T13"/>
    <mergeCell ref="M12:S12"/>
    <mergeCell ref="E11:E13"/>
  </mergeCells>
  <phoneticPr fontId="57" type="noConversion"/>
  <pageMargins left="0.2" right="0.2" top="0.28000000000000003" bottom="0.2" header="0.3" footer="0.2"/>
  <pageSetup paperSize="9" scale="5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7"/>
  <sheetViews>
    <sheetView topLeftCell="A2" zoomScale="70" zoomScaleNormal="70" workbookViewId="0">
      <selection activeCell="N52" sqref="N52"/>
    </sheetView>
  </sheetViews>
  <sheetFormatPr defaultColWidth="9.25" defaultRowHeight="32.25" customHeight="1"/>
  <cols>
    <col min="1" max="1" width="5.875" style="2031" customWidth="1"/>
    <col min="2" max="2" width="9.375" style="909" hidden="1" customWidth="1"/>
    <col min="3" max="3" width="16.125" style="915" customWidth="1"/>
    <col min="4" max="4" width="6.375" style="915" hidden="1" customWidth="1"/>
    <col min="5" max="5" width="8" style="909" hidden="1" customWidth="1"/>
    <col min="6" max="6" width="20.25" style="909" customWidth="1"/>
    <col min="7" max="7" width="13.25" style="911" customWidth="1"/>
    <col min="8" max="8" width="18.5" style="909" customWidth="1"/>
    <col min="9" max="9" width="14.375" style="909" customWidth="1"/>
    <col min="10" max="10" width="10.125" style="911" customWidth="1"/>
    <col min="11" max="11" width="9.25" style="924" customWidth="1"/>
    <col min="12" max="12" width="13.5" style="912" customWidth="1"/>
    <col min="13" max="13" width="11.75" style="909" customWidth="1"/>
    <col min="14" max="14" width="9.75" style="909" customWidth="1"/>
    <col min="15" max="15" width="10.625" style="909" customWidth="1"/>
    <col min="16" max="16" width="11.875" style="909" customWidth="1"/>
    <col min="17" max="17" width="12.75" style="909" customWidth="1"/>
    <col min="18" max="18" width="14" style="909" customWidth="1"/>
    <col min="19" max="19" width="15" style="909" customWidth="1"/>
    <col min="20" max="20" width="19.75" style="909" customWidth="1"/>
    <col min="21" max="21" width="17.625" style="909" customWidth="1"/>
    <col min="22" max="22" width="12.375" style="909" hidden="1" customWidth="1"/>
    <col min="23" max="23" width="26.5" style="909" hidden="1" customWidth="1"/>
    <col min="24" max="24" width="17" style="909" hidden="1" customWidth="1"/>
    <col min="25" max="25" width="16.125" style="909" hidden="1" customWidth="1"/>
    <col min="26" max="26" width="17.125" style="909" hidden="1" customWidth="1"/>
    <col min="27" max="27" width="0" style="909" hidden="1" customWidth="1"/>
    <col min="28" max="16384" width="9.25" style="909"/>
  </cols>
  <sheetData>
    <row r="1" spans="1:26" ht="32.25" customHeight="1">
      <c r="A1" s="4104" t="s">
        <v>165</v>
      </c>
      <c r="B1" s="4104"/>
      <c r="C1" s="4104"/>
      <c r="D1" s="4104"/>
      <c r="E1" s="4104"/>
      <c r="F1" s="4104"/>
      <c r="G1" s="4104"/>
      <c r="H1" s="4104"/>
      <c r="I1" s="4104"/>
      <c r="J1" s="4104"/>
      <c r="K1" s="4104"/>
      <c r="L1" s="4104"/>
      <c r="M1" s="4104"/>
      <c r="N1" s="4104"/>
      <c r="O1" s="4104"/>
      <c r="P1" s="4104"/>
      <c r="Q1" s="4104"/>
      <c r="R1" s="4104"/>
      <c r="S1" s="4104"/>
      <c r="T1" s="4104"/>
      <c r="U1" s="4104"/>
    </row>
    <row r="2" spans="1:26" ht="24" customHeight="1">
      <c r="A2" s="4104" t="s">
        <v>171</v>
      </c>
      <c r="B2" s="4104"/>
      <c r="C2" s="4104"/>
      <c r="D2" s="4104"/>
      <c r="E2" s="4104"/>
      <c r="F2" s="4104"/>
      <c r="G2" s="4104"/>
      <c r="H2" s="4104"/>
      <c r="I2" s="4104"/>
      <c r="J2" s="4104"/>
      <c r="K2" s="4104"/>
      <c r="L2" s="4104"/>
      <c r="M2" s="4104"/>
      <c r="N2" s="4104"/>
      <c r="O2" s="4104"/>
      <c r="P2" s="4104"/>
      <c r="Q2" s="4104"/>
      <c r="R2" s="4104"/>
      <c r="S2" s="4104"/>
      <c r="T2" s="4104"/>
      <c r="U2" s="4104"/>
    </row>
    <row r="3" spans="1:26" ht="18" customHeight="1">
      <c r="A3" s="4104" t="s">
        <v>726</v>
      </c>
      <c r="B3" s="4104"/>
      <c r="C3" s="4104"/>
      <c r="D3" s="4104"/>
      <c r="E3" s="4104"/>
      <c r="F3" s="4104"/>
      <c r="G3" s="4104"/>
      <c r="H3" s="4104"/>
      <c r="I3" s="4104"/>
      <c r="J3" s="4104"/>
      <c r="K3" s="4104"/>
      <c r="L3" s="4104"/>
      <c r="M3" s="4104"/>
      <c r="N3" s="4104"/>
      <c r="O3" s="4104"/>
      <c r="P3" s="4104"/>
      <c r="Q3" s="4104"/>
      <c r="R3" s="4104"/>
      <c r="S3" s="4104"/>
      <c r="T3" s="4104"/>
      <c r="U3" s="4104"/>
    </row>
    <row r="4" spans="1:26" ht="32.25" customHeight="1">
      <c r="A4" s="4105" t="s">
        <v>602</v>
      </c>
      <c r="B4" s="4105"/>
      <c r="C4" s="4105"/>
      <c r="D4" s="4105"/>
      <c r="E4" s="4105"/>
      <c r="F4" s="4105"/>
      <c r="G4" s="4105"/>
      <c r="H4" s="2030"/>
      <c r="I4" s="2030"/>
      <c r="J4" s="2030"/>
      <c r="K4" s="2030"/>
      <c r="L4" s="2030"/>
      <c r="M4" s="2030"/>
      <c r="N4" s="2030"/>
      <c r="O4" s="2030"/>
      <c r="P4" s="2030"/>
      <c r="Q4" s="2948"/>
      <c r="R4" s="3386"/>
      <c r="S4" s="2030"/>
      <c r="T4" s="2030"/>
      <c r="U4" s="2030"/>
    </row>
    <row r="5" spans="1:26" s="2004" customFormat="1" ht="32.25" customHeight="1">
      <c r="A5" s="4106" t="s">
        <v>541</v>
      </c>
      <c r="B5" s="4106"/>
      <c r="C5" s="4106"/>
      <c r="D5" s="4106"/>
      <c r="E5" s="4106"/>
      <c r="F5" s="4106"/>
      <c r="G5" s="4106"/>
      <c r="H5" s="2034"/>
      <c r="I5" s="2034"/>
      <c r="J5" s="2034"/>
      <c r="K5" s="2034"/>
      <c r="L5" s="2034"/>
      <c r="M5" s="2034"/>
      <c r="N5" s="2034"/>
      <c r="O5" s="2034"/>
      <c r="P5" s="2034"/>
      <c r="Q5" s="2949"/>
      <c r="R5" s="3388"/>
      <c r="S5" s="3066"/>
      <c r="T5" s="3621"/>
      <c r="U5" s="2034"/>
    </row>
    <row r="6" spans="1:26" ht="21.75" customHeight="1">
      <c r="A6" s="2030"/>
      <c r="B6" s="2030"/>
      <c r="C6" s="2030"/>
      <c r="D6" s="2030"/>
      <c r="E6" s="2030"/>
      <c r="F6" s="2030"/>
      <c r="G6" s="2030"/>
      <c r="H6" s="2030"/>
      <c r="I6" s="2030"/>
      <c r="J6" s="2030"/>
      <c r="K6" s="2030"/>
      <c r="L6" s="2030"/>
      <c r="M6" s="2030"/>
      <c r="N6" s="2030"/>
      <c r="O6" s="2030"/>
      <c r="P6" s="2030"/>
      <c r="Q6" s="2948"/>
      <c r="R6" s="3386"/>
      <c r="S6" s="2030"/>
      <c r="T6" s="2030"/>
      <c r="U6" s="2030"/>
    </row>
    <row r="7" spans="1:26" s="910" customFormat="1" ht="32.25" customHeight="1">
      <c r="A7" s="4107" t="s">
        <v>1812</v>
      </c>
      <c r="B7" s="4107"/>
      <c r="C7" s="4107"/>
      <c r="D7" s="4107"/>
      <c r="E7" s="4107"/>
      <c r="F7" s="4107"/>
      <c r="G7" s="4107"/>
      <c r="H7" s="4107"/>
      <c r="I7" s="4107"/>
      <c r="J7" s="4107"/>
      <c r="K7" s="4107"/>
      <c r="L7" s="4107"/>
      <c r="M7" s="4107"/>
      <c r="N7" s="4107"/>
      <c r="O7" s="4107"/>
      <c r="P7" s="4107"/>
      <c r="Q7" s="4107"/>
      <c r="R7" s="4107"/>
      <c r="S7" s="4107"/>
      <c r="T7" s="4107"/>
      <c r="U7" s="4107"/>
    </row>
    <row r="8" spans="1:26" s="910" customFormat="1" ht="32.25" customHeight="1">
      <c r="A8" s="1969"/>
      <c r="B8" s="1969"/>
      <c r="C8" s="1385"/>
      <c r="D8" s="1384"/>
      <c r="E8" s="4097"/>
      <c r="F8" s="4097"/>
      <c r="G8" s="4097"/>
      <c r="H8" s="1969"/>
      <c r="I8" s="1969"/>
      <c r="J8" s="1969"/>
      <c r="K8" s="1969"/>
      <c r="L8" s="1969"/>
      <c r="M8" s="1969"/>
      <c r="N8" s="1969"/>
      <c r="O8" s="1969"/>
      <c r="P8" s="1969"/>
      <c r="Q8" s="1969"/>
      <c r="R8" s="1969"/>
      <c r="S8" s="1969"/>
      <c r="T8" s="1969"/>
      <c r="U8" s="1969"/>
      <c r="Y8" s="2815"/>
    </row>
    <row r="9" spans="1:26" ht="32.25" hidden="1" customHeight="1">
      <c r="C9" s="1385" t="s">
        <v>894</v>
      </c>
      <c r="D9" s="1386" t="s">
        <v>894</v>
      </c>
      <c r="E9" s="4066">
        <f>'BẢNG LƯƠNG KT'!E10:G10</f>
        <v>646.20000000000005</v>
      </c>
      <c r="F9" s="4066"/>
      <c r="G9" s="4066"/>
      <c r="H9" s="917">
        <f>'BẢNG LƯƠNG KT'!H10</f>
        <v>655.8</v>
      </c>
      <c r="I9" s="917"/>
      <c r="J9" s="916"/>
      <c r="K9" s="918"/>
      <c r="L9" s="919"/>
      <c r="M9" s="920"/>
      <c r="N9" s="920"/>
      <c r="O9" s="920"/>
      <c r="P9" s="920"/>
      <c r="Q9" s="920"/>
      <c r="R9" s="920"/>
      <c r="S9" s="4044" t="s">
        <v>1154</v>
      </c>
      <c r="T9" s="4044"/>
      <c r="U9" s="4044"/>
      <c r="Y9" s="3167"/>
    </row>
    <row r="10" spans="1:26" s="2034" customFormat="1" ht="32.25" customHeight="1">
      <c r="A10" s="4108" t="s">
        <v>1</v>
      </c>
      <c r="B10" s="4110" t="s">
        <v>20</v>
      </c>
      <c r="C10" s="4110"/>
      <c r="D10" s="4110" t="s">
        <v>239</v>
      </c>
      <c r="E10" s="4108" t="s">
        <v>26</v>
      </c>
      <c r="F10" s="4108" t="s">
        <v>9</v>
      </c>
      <c r="G10" s="4115" t="s">
        <v>27</v>
      </c>
      <c r="H10" s="4115"/>
      <c r="I10" s="4115"/>
      <c r="J10" s="4115"/>
      <c r="K10" s="4115"/>
      <c r="L10" s="4115"/>
      <c r="M10" s="4115"/>
      <c r="N10" s="4115"/>
      <c r="O10" s="4115"/>
      <c r="P10" s="4115"/>
      <c r="Q10" s="4115"/>
      <c r="R10" s="4115"/>
      <c r="S10" s="4115"/>
      <c r="T10" s="4111" t="s">
        <v>1162</v>
      </c>
      <c r="U10" s="4112" t="s">
        <v>1152</v>
      </c>
      <c r="W10" s="3616"/>
      <c r="X10" s="3616"/>
      <c r="Y10" s="2647">
        <f>Mủ!AW17</f>
        <v>0</v>
      </c>
    </row>
    <row r="11" spans="1:26" s="2034" customFormat="1" ht="32.25" customHeight="1">
      <c r="A11" s="4108"/>
      <c r="B11" s="4110"/>
      <c r="C11" s="4110"/>
      <c r="D11" s="4110"/>
      <c r="E11" s="4108"/>
      <c r="F11" s="4108"/>
      <c r="G11" s="4113" t="s">
        <v>1143</v>
      </c>
      <c r="H11" s="4113"/>
      <c r="I11" s="4112" t="s">
        <v>31</v>
      </c>
      <c r="J11" s="4112"/>
      <c r="K11" s="4112"/>
      <c r="L11" s="4112"/>
      <c r="M11" s="4114" t="s">
        <v>32</v>
      </c>
      <c r="N11" s="4114"/>
      <c r="O11" s="4114"/>
      <c r="P11" s="4114"/>
      <c r="Q11" s="4114"/>
      <c r="R11" s="4114"/>
      <c r="S11" s="4114"/>
      <c r="T11" s="4111"/>
      <c r="U11" s="4112"/>
      <c r="W11" s="3616"/>
      <c r="X11" s="3616"/>
      <c r="Y11" s="2648"/>
    </row>
    <row r="12" spans="1:26" s="2034" customFormat="1" ht="86.25" customHeight="1">
      <c r="A12" s="4109"/>
      <c r="B12" s="4110"/>
      <c r="C12" s="4110"/>
      <c r="D12" s="4110"/>
      <c r="E12" s="4109"/>
      <c r="F12" s="4108"/>
      <c r="G12" s="922" t="s">
        <v>362</v>
      </c>
      <c r="H12" s="2437" t="s">
        <v>1244</v>
      </c>
      <c r="I12" s="2135" t="s">
        <v>1148</v>
      </c>
      <c r="J12" s="922" t="s">
        <v>1149</v>
      </c>
      <c r="K12" s="2134" t="s">
        <v>37</v>
      </c>
      <c r="L12" s="2134" t="s">
        <v>38</v>
      </c>
      <c r="M12" s="2136" t="s">
        <v>954</v>
      </c>
      <c r="N12" s="2136" t="s">
        <v>955</v>
      </c>
      <c r="O12" s="2136" t="s">
        <v>1150</v>
      </c>
      <c r="P12" s="2136" t="s">
        <v>1151</v>
      </c>
      <c r="Q12" s="2956" t="s">
        <v>1352</v>
      </c>
      <c r="R12" s="3387" t="s">
        <v>1893</v>
      </c>
      <c r="S12" s="2134" t="s">
        <v>24</v>
      </c>
      <c r="T12" s="4111"/>
      <c r="U12" s="4112"/>
      <c r="W12" s="3066">
        <f>L52</f>
        <v>12771771</v>
      </c>
      <c r="X12" s="3616"/>
      <c r="Y12" s="2416">
        <v>20000</v>
      </c>
      <c r="Z12" s="2958">
        <v>25000</v>
      </c>
    </row>
    <row r="13" spans="1:26" s="2415" customFormat="1" ht="36.75" customHeight="1">
      <c r="A13" s="2440" t="s">
        <v>606</v>
      </c>
      <c r="B13" s="2441" t="s">
        <v>609</v>
      </c>
      <c r="C13" s="2442" t="s">
        <v>607</v>
      </c>
      <c r="D13" s="2441" t="s">
        <v>611</v>
      </c>
      <c r="E13" s="2441" t="s">
        <v>635</v>
      </c>
      <c r="F13" s="2440" t="s">
        <v>608</v>
      </c>
      <c r="G13" s="2440" t="s">
        <v>609</v>
      </c>
      <c r="H13" s="2440" t="s">
        <v>610</v>
      </c>
      <c r="I13" s="2440" t="s">
        <v>611</v>
      </c>
      <c r="J13" s="2440" t="s">
        <v>635</v>
      </c>
      <c r="K13" s="2440" t="s">
        <v>692</v>
      </c>
      <c r="L13" s="2441" t="s">
        <v>636</v>
      </c>
      <c r="M13" s="2441" t="s">
        <v>637</v>
      </c>
      <c r="N13" s="2441" t="s">
        <v>1245</v>
      </c>
      <c r="O13" s="2441" t="s">
        <v>693</v>
      </c>
      <c r="P13" s="2441" t="s">
        <v>694</v>
      </c>
      <c r="Q13" s="2440" t="s">
        <v>1251</v>
      </c>
      <c r="R13" s="2440" t="s">
        <v>1246</v>
      </c>
      <c r="S13" s="2440" t="s">
        <v>1891</v>
      </c>
      <c r="T13" s="2440" t="s">
        <v>1892</v>
      </c>
      <c r="U13" s="2440" t="s">
        <v>698</v>
      </c>
      <c r="W13" s="3621">
        <f>SUM(W14:W49)</f>
        <v>12771771.580000004</v>
      </c>
      <c r="X13" s="3621">
        <f>SUM(X14:X49)</f>
        <v>12771771</v>
      </c>
      <c r="Y13" s="3618">
        <v>0.05</v>
      </c>
      <c r="Z13" s="3621">
        <f>SUM(Z14:Z49)</f>
        <v>12771771</v>
      </c>
    </row>
    <row r="14" spans="1:26" s="1539" customFormat="1" ht="32.25" customHeight="1">
      <c r="A14" s="1543">
        <v>1</v>
      </c>
      <c r="B14" s="1544" t="s">
        <v>427</v>
      </c>
      <c r="C14" s="2037" t="str">
        <f>'Chấm công công nhân'!L13</f>
        <v>Vắt Đi</v>
      </c>
      <c r="D14" s="1545" t="e">
        <f>VLOOKUP(C14,'Mã số NV'!$B$6:$D$53,3,0)</f>
        <v>#N/A</v>
      </c>
      <c r="E14" s="1546" t="s">
        <v>40</v>
      </c>
      <c r="F14" s="1546"/>
      <c r="G14" s="1547"/>
      <c r="H14" s="1548">
        <f>G14*25000</f>
        <v>0</v>
      </c>
      <c r="I14" s="1548">
        <f>+VLOOKUP(C14,'Tong hop cong'!C13:S13,17,0)</f>
        <v>0</v>
      </c>
      <c r="J14" s="1549">
        <f>+VLOOKUP(C14,'Tong hop cong'!$C$13:$U$49,19,0)</f>
        <v>0</v>
      </c>
      <c r="K14" s="1550" t="str">
        <f>VLOOKUP(C14,'Tong hop cong'!C13:AA13,25,0)</f>
        <v>A</v>
      </c>
      <c r="L14" s="1551">
        <f t="shared" ref="L14:L50" si="0">ROUND((IF(K14="A",(J14*(6.1*$E$9)),IF(K14="B",(J14*(5.8*$E$9)),IF(K14="C",(J14*(5.5*$E$9)),IF(K14="D",(J14*(5.2*$E$9))))))),0)</f>
        <v>0</v>
      </c>
      <c r="M14" s="1549">
        <f>+VLOOKUP(C14,'Tong hop cong'!C13:V13,20,0)</f>
        <v>11</v>
      </c>
      <c r="N14" s="1549">
        <f>+VLOOKUP(C14,'Tong hop cong'!C13:W13,21,0)</f>
        <v>3</v>
      </c>
      <c r="O14" s="1549">
        <f>+VLOOKUP(C14,'Tong hop cong'!C13:X13,22,0)</f>
        <v>0</v>
      </c>
      <c r="P14" s="1549">
        <f>+VLOOKUP(C14,'Tong hop cong'!C13:Y13,23,0)</f>
        <v>0</v>
      </c>
      <c r="Q14" s="1549">
        <f>SUM(M14:P14)</f>
        <v>14</v>
      </c>
      <c r="R14" s="1549">
        <v>20</v>
      </c>
      <c r="S14" s="1551">
        <f>ROUND((((M14*(46.1*$H$9))+(N14*(76.9*$H$9))+(O14*(76.8*$H$9))+(P14*(107.6*$H$9)))+Q14*$Y$12),0)+R14*25000</f>
        <v>1263849</v>
      </c>
      <c r="T14" s="1551">
        <f t="shared" ref="T14:T49" si="1">H14+L14+S14</f>
        <v>1263849</v>
      </c>
      <c r="U14" s="1552">
        <f>T14</f>
        <v>1263849</v>
      </c>
      <c r="W14" s="3624">
        <f>L14-0.3</f>
        <v>-0.3</v>
      </c>
      <c r="X14" s="3620">
        <f>ROUND(W14,0)</f>
        <v>0</v>
      </c>
      <c r="Y14" s="1539">
        <v>0.04</v>
      </c>
      <c r="Z14" s="3622">
        <f>ROUND(L14,0)</f>
        <v>0</v>
      </c>
    </row>
    <row r="15" spans="1:26" s="1539" customFormat="1" ht="32.25" customHeight="1">
      <c r="A15" s="1543">
        <v>2</v>
      </c>
      <c r="B15" s="1544" t="s">
        <v>425</v>
      </c>
      <c r="C15" s="2037" t="str">
        <f>'Chấm công công nhân'!L14</f>
        <v>Mẹ Leo</v>
      </c>
      <c r="D15" s="1545" t="e">
        <f>VLOOKUP(C15,'Mã số NV'!$B$6:$D$53,3,0)</f>
        <v>#N/A</v>
      </c>
      <c r="E15" s="1546" t="s">
        <v>40</v>
      </c>
      <c r="F15" s="1546"/>
      <c r="G15" s="1547"/>
      <c r="H15" s="1548">
        <f t="shared" ref="H15:H50" si="2">G15*25000</f>
        <v>0</v>
      </c>
      <c r="I15" s="1548">
        <f>+VLOOKUP(C15,'Tong hop cong'!C14:S14,17,0)</f>
        <v>346</v>
      </c>
      <c r="J15" s="1549">
        <f>+VLOOKUP(C15,'Tong hop cong'!$C$13:$U$49,19,0)</f>
        <v>187.61141263573541</v>
      </c>
      <c r="K15" s="1550" t="str">
        <f>VLOOKUP(C15,'Tong hop cong'!C14:AA14,25,0)</f>
        <v>B</v>
      </c>
      <c r="L15" s="1551">
        <f>ROUND((IF(K15="A",(J15*(6.1*$E$9)),IF(K15="B",(J15*(5.8*$E$9)),IF(K15="C",(J15*(5.5*$E$9)),IF(K15="D",(J15*(5.2*$E$9))))))),0)</f>
        <v>703160</v>
      </c>
      <c r="M15" s="1549">
        <f>+VLOOKUP(C15,'Tong hop cong'!C14:V14,20,0)</f>
        <v>19</v>
      </c>
      <c r="N15" s="1549">
        <f>+VLOOKUP(C15,'Tong hop cong'!C14:W14,21,0)</f>
        <v>4</v>
      </c>
      <c r="O15" s="1549">
        <f>+VLOOKUP(C15,'Tong hop cong'!C14:X14,22,0)</f>
        <v>0</v>
      </c>
      <c r="P15" s="1549">
        <f>+VLOOKUP(C15,'Tong hop cong'!C14:Y14,23,0)</f>
        <v>0</v>
      </c>
      <c r="Q15" s="1549">
        <f t="shared" ref="Q15:Q49" si="3">SUM(M15:P15)</f>
        <v>23</v>
      </c>
      <c r="R15" s="1549">
        <v>20</v>
      </c>
      <c r="S15" s="1551">
        <f>ROUND((((M15*(46.1*$H$9))+(N15*(76.9*$H$9))+(O15*(76.8*$H$9))+(P15*(107.6*$H$9)))+Q15*$Y$12),0)+R15*25000</f>
        <v>1736139</v>
      </c>
      <c r="T15" s="1551">
        <f t="shared" si="1"/>
        <v>2439299</v>
      </c>
      <c r="U15" s="1552">
        <f t="shared" ref="U15:U49" si="4">T15</f>
        <v>2439299</v>
      </c>
      <c r="W15" s="3624">
        <f>L15-0.1</f>
        <v>703159.9</v>
      </c>
      <c r="X15" s="3620">
        <f t="shared" ref="X15:X49" si="5">ROUND(W15,0)</f>
        <v>703160</v>
      </c>
      <c r="Z15" s="3622">
        <f>ROUND(L15,0)</f>
        <v>703160</v>
      </c>
    </row>
    <row r="16" spans="1:26" s="1539" customFormat="1" ht="32.25" customHeight="1">
      <c r="A16" s="1543">
        <v>3</v>
      </c>
      <c r="B16" s="1544" t="s">
        <v>196</v>
      </c>
      <c r="C16" s="2037" t="str">
        <f>'Chấm công công nhân'!L15</f>
        <v xml:space="preserve">Thảo Ken </v>
      </c>
      <c r="D16" s="1545" t="e">
        <f>VLOOKUP(C16,'Mã số NV'!$B$6:$D$53,3,0)</f>
        <v>#N/A</v>
      </c>
      <c r="E16" s="1546" t="s">
        <v>40</v>
      </c>
      <c r="F16" s="1546"/>
      <c r="G16" s="1547"/>
      <c r="H16" s="1548">
        <f t="shared" si="2"/>
        <v>0</v>
      </c>
      <c r="I16" s="1548">
        <f>+VLOOKUP(C16,'Tong hop cong'!C15:S15,17,0)</f>
        <v>0</v>
      </c>
      <c r="J16" s="1549">
        <f>+VLOOKUP(C16,'Tong hop cong'!$C$13:$U$49,19,0)</f>
        <v>0</v>
      </c>
      <c r="K16" s="1550" t="str">
        <f>VLOOKUP(C16,'Tong hop cong'!C15:AA15,25,0)</f>
        <v>A</v>
      </c>
      <c r="L16" s="1551">
        <f t="shared" si="0"/>
        <v>0</v>
      </c>
      <c r="M16" s="1549">
        <f>+VLOOKUP(C16,'Tong hop cong'!C15:V15,20,0)</f>
        <v>12</v>
      </c>
      <c r="N16" s="1549">
        <f>+VLOOKUP(C16,'Tong hop cong'!C15:W15,21,0)</f>
        <v>3</v>
      </c>
      <c r="O16" s="1549">
        <f>+VLOOKUP(C16,'Tong hop cong'!C15:X15,22,0)</f>
        <v>0</v>
      </c>
      <c r="P16" s="1549">
        <f>+VLOOKUP(C16,'Tong hop cong'!C15:Y15,23,0)</f>
        <v>0</v>
      </c>
      <c r="Q16" s="1549">
        <f t="shared" si="3"/>
        <v>15</v>
      </c>
      <c r="R16" s="1549">
        <v>20</v>
      </c>
      <c r="S16" s="1551">
        <f t="shared" ref="S16:S48" si="6">ROUND((((M16*(46.1*$H$9))+(N16*(76.9*$H$9))+(O16*(76.8*$H$9))+(P16*(107.6*$H$9)))+Q16*$Y$12),0)+R16*25000</f>
        <v>1314082</v>
      </c>
      <c r="T16" s="1551">
        <f t="shared" si="1"/>
        <v>1314082</v>
      </c>
      <c r="U16" s="1552">
        <f t="shared" si="4"/>
        <v>1314082</v>
      </c>
      <c r="W16" s="3625">
        <f t="shared" ref="W16:W23" si="7">L16-$Y$14</f>
        <v>-0.04</v>
      </c>
      <c r="X16" s="3620">
        <f t="shared" si="5"/>
        <v>0</v>
      </c>
      <c r="Z16" s="3622">
        <f t="shared" ref="Z16:Z49" si="8">ROUND(L16,0)</f>
        <v>0</v>
      </c>
    </row>
    <row r="17" spans="1:26" s="1539" customFormat="1" ht="32.25" customHeight="1">
      <c r="A17" s="1543">
        <v>4</v>
      </c>
      <c r="B17" s="1544"/>
      <c r="C17" s="2037" t="str">
        <f>'Chấm công công nhân'!L16</f>
        <v>Thảo Phút</v>
      </c>
      <c r="D17" s="1545"/>
      <c r="E17" s="1546" t="s">
        <v>40</v>
      </c>
      <c r="F17" s="1546"/>
      <c r="G17" s="1547"/>
      <c r="H17" s="1548">
        <f t="shared" si="2"/>
        <v>0</v>
      </c>
      <c r="I17" s="1548">
        <f>+VLOOKUP(C17,'Tong hop cong'!C16:S16,17,0)</f>
        <v>318</v>
      </c>
      <c r="J17" s="1549">
        <f>+VLOOKUP(C17,'Tong hop cong'!$C$13:$U$49,19,0)</f>
        <v>172.42898617966432</v>
      </c>
      <c r="K17" s="1550" t="str">
        <f>VLOOKUP(C17,'Tong hop cong'!C16:AA16,25,0)</f>
        <v>A</v>
      </c>
      <c r="L17" s="1551">
        <f t="shared" si="0"/>
        <v>679684</v>
      </c>
      <c r="M17" s="1549">
        <f>+VLOOKUP(C17,'Tong hop cong'!C16:V16,20,0)</f>
        <v>21</v>
      </c>
      <c r="N17" s="1549">
        <f>+VLOOKUP(C17,'Tong hop cong'!C16:W16,21,0)</f>
        <v>4</v>
      </c>
      <c r="O17" s="1549">
        <f>+VLOOKUP(C17,'Tong hop cong'!C16:X16,22,0)</f>
        <v>0</v>
      </c>
      <c r="P17" s="1549">
        <f>+VLOOKUP(C17,'Tong hop cong'!C16:Y16,23,0)</f>
        <v>0</v>
      </c>
      <c r="Q17" s="1549">
        <f t="shared" si="3"/>
        <v>25</v>
      </c>
      <c r="R17" s="1549">
        <v>20</v>
      </c>
      <c r="S17" s="1551">
        <f>ROUND((((M17*(46.1*$H$9))+(N17*(76.9*$H$9))+(O17*(76.8*$H$9))+(P17*(107.6*$H$9)))+Q17*$Y$12),0)+R17*25000</f>
        <v>1836604</v>
      </c>
      <c r="T17" s="1551">
        <f t="shared" si="1"/>
        <v>2516288</v>
      </c>
      <c r="U17" s="1552">
        <f>T17</f>
        <v>2516288</v>
      </c>
      <c r="W17" s="3625">
        <f t="shared" si="7"/>
        <v>679683.96</v>
      </c>
      <c r="X17" s="3620">
        <f t="shared" si="5"/>
        <v>679684</v>
      </c>
      <c r="Z17" s="3622">
        <f t="shared" si="8"/>
        <v>679684</v>
      </c>
    </row>
    <row r="18" spans="1:26" s="1539" customFormat="1" ht="32.25" customHeight="1">
      <c r="A18" s="1543">
        <v>5</v>
      </c>
      <c r="B18" s="1544"/>
      <c r="C18" s="2037" t="str">
        <f>'Chấm công công nhân'!L17</f>
        <v>Thảo Mằn</v>
      </c>
      <c r="D18" s="1545"/>
      <c r="E18" s="1546" t="s">
        <v>40</v>
      </c>
      <c r="F18" s="1546"/>
      <c r="G18" s="1547"/>
      <c r="H18" s="1548">
        <f t="shared" si="2"/>
        <v>0</v>
      </c>
      <c r="I18" s="1548">
        <f>+VLOOKUP(C18,'Tong hop cong'!C17:S17,17,0)</f>
        <v>40</v>
      </c>
      <c r="J18" s="1549">
        <f>+VLOOKUP(C18,'Tong hop cong'!$C$13:$U$49,19,0)</f>
        <v>21.689180651530105</v>
      </c>
      <c r="K18" s="1550" t="str">
        <f>VLOOKUP(C18,'Tong hop cong'!C17:AA17,25,0)</f>
        <v>B</v>
      </c>
      <c r="L18" s="1551">
        <f t="shared" si="0"/>
        <v>81290</v>
      </c>
      <c r="M18" s="1549">
        <f>+VLOOKUP(C18,'Tong hop cong'!C17:V17,20,0)</f>
        <v>12</v>
      </c>
      <c r="N18" s="1549">
        <f>+VLOOKUP(C18,'Tong hop cong'!C17:W17,21,0)</f>
        <v>3</v>
      </c>
      <c r="O18" s="1549">
        <f>+VLOOKUP(C18,'Tong hop cong'!C17:X17,22,0)</f>
        <v>0</v>
      </c>
      <c r="P18" s="1549">
        <f>+VLOOKUP(C18,'Tong hop cong'!C17:Y17,23,0)</f>
        <v>0</v>
      </c>
      <c r="Q18" s="1549">
        <f t="shared" si="3"/>
        <v>15</v>
      </c>
      <c r="R18" s="1549">
        <v>20</v>
      </c>
      <c r="S18" s="1551">
        <f t="shared" si="6"/>
        <v>1314082</v>
      </c>
      <c r="T18" s="1551">
        <f t="shared" si="1"/>
        <v>1395372</v>
      </c>
      <c r="U18" s="1552">
        <f t="shared" si="4"/>
        <v>1395372</v>
      </c>
      <c r="W18" s="3625">
        <f t="shared" si="7"/>
        <v>81289.960000000006</v>
      </c>
      <c r="X18" s="3620">
        <f>ROUND(W18,0)</f>
        <v>81290</v>
      </c>
      <c r="Z18" s="3622">
        <f t="shared" si="8"/>
        <v>81290</v>
      </c>
    </row>
    <row r="19" spans="1:26" s="1539" customFormat="1" ht="32.25" customHeight="1">
      <c r="A19" s="1543">
        <v>6</v>
      </c>
      <c r="B19" s="1544"/>
      <c r="C19" s="2037" t="str">
        <f>'Chấm công công nhân'!L18</f>
        <v>Nàng Chay</v>
      </c>
      <c r="D19" s="1545"/>
      <c r="E19" s="1546" t="s">
        <v>40</v>
      </c>
      <c r="F19" s="1546"/>
      <c r="G19" s="1547"/>
      <c r="H19" s="1548">
        <f t="shared" si="2"/>
        <v>0</v>
      </c>
      <c r="I19" s="1548">
        <f>+VLOOKUP(C19,'Tong hop cong'!C18:S18,17,0)</f>
        <v>0</v>
      </c>
      <c r="J19" s="1549">
        <f>+VLOOKUP(C19,'Tong hop cong'!$C$13:$U$49,19,0)</f>
        <v>0</v>
      </c>
      <c r="K19" s="1550" t="str">
        <f>VLOOKUP(C19,'Tong hop cong'!C18:AA18,25,0)</f>
        <v>B</v>
      </c>
      <c r="L19" s="1551">
        <f t="shared" si="0"/>
        <v>0</v>
      </c>
      <c r="M19" s="1549">
        <f>+VLOOKUP(C19,'Tong hop cong'!C18:V18,20,0)</f>
        <v>13</v>
      </c>
      <c r="N19" s="1549">
        <f>+VLOOKUP(C19,'Tong hop cong'!C18:W18,21,0)</f>
        <v>3</v>
      </c>
      <c r="O19" s="1549">
        <f>+VLOOKUP(C19,'Tong hop cong'!C18:X18,22,0)</f>
        <v>0</v>
      </c>
      <c r="P19" s="1549">
        <f>+VLOOKUP(C19,'Tong hop cong'!C18:Y18,23,0)</f>
        <v>0</v>
      </c>
      <c r="Q19" s="1549">
        <f t="shared" si="3"/>
        <v>16</v>
      </c>
      <c r="R19" s="1549">
        <v>20</v>
      </c>
      <c r="S19" s="1551">
        <f t="shared" si="6"/>
        <v>1364314</v>
      </c>
      <c r="T19" s="1551">
        <f t="shared" si="1"/>
        <v>1364314</v>
      </c>
      <c r="U19" s="1552">
        <f t="shared" si="4"/>
        <v>1364314</v>
      </c>
      <c r="W19" s="3625">
        <f t="shared" si="7"/>
        <v>-0.04</v>
      </c>
      <c r="X19" s="3620">
        <f t="shared" si="5"/>
        <v>0</v>
      </c>
      <c r="Z19" s="3622">
        <f t="shared" si="8"/>
        <v>0</v>
      </c>
    </row>
    <row r="20" spans="1:26" s="1539" customFormat="1" ht="32.25" customHeight="1">
      <c r="A20" s="1543">
        <v>7</v>
      </c>
      <c r="B20" s="1544"/>
      <c r="C20" s="2037" t="str">
        <f>'Chấm công công nhân'!L19</f>
        <v>Thảo Sắp</v>
      </c>
      <c r="D20" s="1545"/>
      <c r="E20" s="1546" t="s">
        <v>40</v>
      </c>
      <c r="F20" s="1546"/>
      <c r="G20" s="1547"/>
      <c r="H20" s="1548">
        <f t="shared" si="2"/>
        <v>0</v>
      </c>
      <c r="I20" s="1548">
        <f>+VLOOKUP(C20,'Tong hop cong'!C19:S19,17,0)</f>
        <v>262</v>
      </c>
      <c r="J20" s="1549">
        <f>+VLOOKUP(C20,'Tong hop cong'!$C$13:$U$49,19,0)</f>
        <v>142.06413326752218</v>
      </c>
      <c r="K20" s="1550" t="str">
        <f>VLOOKUP(C20,'Tong hop cong'!C19:AA19,25,0)</f>
        <v>A</v>
      </c>
      <c r="L20" s="1551">
        <f t="shared" si="0"/>
        <v>559991</v>
      </c>
      <c r="M20" s="1549">
        <f>+VLOOKUP(C20,'Tong hop cong'!C19:V19,20,0)</f>
        <v>22</v>
      </c>
      <c r="N20" s="1549">
        <f>+VLOOKUP(C20,'Tong hop cong'!C19:W19,21,0)</f>
        <v>4</v>
      </c>
      <c r="O20" s="1549">
        <f>+VLOOKUP(C20,'Tong hop cong'!C19:X19,22,0)</f>
        <v>0</v>
      </c>
      <c r="P20" s="1549">
        <f>+VLOOKUP(C20,'Tong hop cong'!C19:Y19,23,0)</f>
        <v>0</v>
      </c>
      <c r="Q20" s="1549">
        <f t="shared" si="3"/>
        <v>26</v>
      </c>
      <c r="R20" s="1549">
        <v>20</v>
      </c>
      <c r="S20" s="1551">
        <f t="shared" si="6"/>
        <v>1886836</v>
      </c>
      <c r="T20" s="1551">
        <f t="shared" si="1"/>
        <v>2446827</v>
      </c>
      <c r="U20" s="1552">
        <f t="shared" si="4"/>
        <v>2446827</v>
      </c>
      <c r="W20" s="3625">
        <f t="shared" si="7"/>
        <v>559990.96</v>
      </c>
      <c r="X20" s="3620">
        <f t="shared" si="5"/>
        <v>559991</v>
      </c>
      <c r="Z20" s="3622">
        <f t="shared" si="8"/>
        <v>559991</v>
      </c>
    </row>
    <row r="21" spans="1:26" s="1539" customFormat="1" ht="32.25" customHeight="1">
      <c r="A21" s="1543">
        <v>8</v>
      </c>
      <c r="B21" s="1544"/>
      <c r="C21" s="2037" t="str">
        <f>'Chấm công công nhân'!L20</f>
        <v>Thảo Say</v>
      </c>
      <c r="D21" s="1545"/>
      <c r="E21" s="1546" t="s">
        <v>40</v>
      </c>
      <c r="F21" s="1546"/>
      <c r="G21" s="1547"/>
      <c r="H21" s="1548">
        <f t="shared" si="2"/>
        <v>0</v>
      </c>
      <c r="I21" s="1548">
        <f>+VLOOKUP(C21,'Tong hop cong'!C20:S20,17,0)</f>
        <v>444</v>
      </c>
      <c r="J21" s="1549">
        <f>+VLOOKUP(C21,'Tong hop cong'!$C$13:$U$49,19,0)</f>
        <v>240.74990523198414</v>
      </c>
      <c r="K21" s="1550" t="str">
        <f>VLOOKUP(C21,'Tong hop cong'!C20:AA20,25,0)</f>
        <v>A</v>
      </c>
      <c r="L21" s="1551">
        <f t="shared" si="0"/>
        <v>948993</v>
      </c>
      <c r="M21" s="1549">
        <f>+VLOOKUP(C21,'Tong hop cong'!C20:V20,20,0)</f>
        <v>21</v>
      </c>
      <c r="N21" s="1549">
        <f>+VLOOKUP(C21,'Tong hop cong'!C20:W20,21,0)</f>
        <v>4</v>
      </c>
      <c r="O21" s="1549">
        <f>+VLOOKUP(C21,'Tong hop cong'!C20:X20,22,0)</f>
        <v>0</v>
      </c>
      <c r="P21" s="1549">
        <f>+VLOOKUP(C21,'Tong hop cong'!C20:Y20,23,0)</f>
        <v>0</v>
      </c>
      <c r="Q21" s="1549">
        <f t="shared" si="3"/>
        <v>25</v>
      </c>
      <c r="R21" s="1549">
        <v>20</v>
      </c>
      <c r="S21" s="1551">
        <f t="shared" si="6"/>
        <v>1836604</v>
      </c>
      <c r="T21" s="1551">
        <f t="shared" si="1"/>
        <v>2785597</v>
      </c>
      <c r="U21" s="1552">
        <f t="shared" si="4"/>
        <v>2785597</v>
      </c>
      <c r="W21" s="3625">
        <f t="shared" si="7"/>
        <v>948992.96</v>
      </c>
      <c r="X21" s="3620">
        <f t="shared" si="5"/>
        <v>948993</v>
      </c>
      <c r="Z21" s="3622">
        <f t="shared" si="8"/>
        <v>948993</v>
      </c>
    </row>
    <row r="22" spans="1:26" s="1539" customFormat="1" ht="32.25" customHeight="1">
      <c r="A22" s="1543">
        <v>9</v>
      </c>
      <c r="B22" s="1544"/>
      <c r="C22" s="2037" t="str">
        <f>'Chấm công công nhân'!L21</f>
        <v>Thảo Cợt</v>
      </c>
      <c r="D22" s="1545"/>
      <c r="E22" s="1546" t="s">
        <v>40</v>
      </c>
      <c r="F22" s="1546"/>
      <c r="G22" s="1547"/>
      <c r="H22" s="1548">
        <f t="shared" si="2"/>
        <v>0</v>
      </c>
      <c r="I22" s="1548">
        <f>+VLOOKUP(C22,'Tong hop cong'!C21:S21,17,0)</f>
        <v>199</v>
      </c>
      <c r="J22" s="1549">
        <f>+VLOOKUP(C22,'Tong hop cong'!$C$13:$U$49,19,0)</f>
        <v>107.90367374136225</v>
      </c>
      <c r="K22" s="1550" t="str">
        <f>VLOOKUP(C22,'Tong hop cong'!C21:AA21,25,0)</f>
        <v>C</v>
      </c>
      <c r="L22" s="1551">
        <f t="shared" si="0"/>
        <v>383500</v>
      </c>
      <c r="M22" s="1549">
        <f>+VLOOKUP(C22,'Tong hop cong'!C21:V21,20,0)</f>
        <v>11</v>
      </c>
      <c r="N22" s="1549">
        <f>+VLOOKUP(C22,'Tong hop cong'!C21:W21,21,0)</f>
        <v>2</v>
      </c>
      <c r="O22" s="1549">
        <f>+VLOOKUP(C22,'Tong hop cong'!C21:X21,22,0)</f>
        <v>0</v>
      </c>
      <c r="P22" s="1549">
        <f>+VLOOKUP(C22,'Tong hop cong'!C21:Y21,23,0)</f>
        <v>0</v>
      </c>
      <c r="Q22" s="1549">
        <f t="shared" si="3"/>
        <v>13</v>
      </c>
      <c r="R22" s="1549">
        <v>20</v>
      </c>
      <c r="S22" s="1551">
        <f t="shared" si="6"/>
        <v>1193418</v>
      </c>
      <c r="T22" s="1551">
        <f t="shared" si="1"/>
        <v>1576918</v>
      </c>
      <c r="U22" s="1552">
        <f t="shared" si="4"/>
        <v>1576918</v>
      </c>
      <c r="W22" s="3625">
        <f t="shared" si="7"/>
        <v>383499.96</v>
      </c>
      <c r="X22" s="3620">
        <f t="shared" si="5"/>
        <v>383500</v>
      </c>
      <c r="Z22" s="3622">
        <f t="shared" si="8"/>
        <v>383500</v>
      </c>
    </row>
    <row r="23" spans="1:26" s="1539" customFormat="1" ht="32.25" customHeight="1">
      <c r="A23" s="1543">
        <v>10</v>
      </c>
      <c r="B23" s="1544"/>
      <c r="C23" s="2037" t="str">
        <f>'Chấm công công nhân'!L22</f>
        <v>Thảo Hôm</v>
      </c>
      <c r="D23" s="1545"/>
      <c r="E23" s="1546" t="s">
        <v>40</v>
      </c>
      <c r="F23" s="1546"/>
      <c r="G23" s="1547"/>
      <c r="H23" s="1548">
        <f t="shared" si="2"/>
        <v>0</v>
      </c>
      <c r="I23" s="1548">
        <f>+VLOOKUP(C23,'Tong hop cong'!C22:S22,17,0)</f>
        <v>372</v>
      </c>
      <c r="J23" s="1549">
        <f>+VLOOKUP(C23,'Tong hop cong'!$C$13:$U$49,19,0)</f>
        <v>201.70938005922994</v>
      </c>
      <c r="K23" s="1550" t="str">
        <f>VLOOKUP(C23,'Tong hop cong'!C22:AA22,25,0)</f>
        <v>A</v>
      </c>
      <c r="L23" s="1551">
        <f t="shared" si="0"/>
        <v>795102</v>
      </c>
      <c r="M23" s="1549">
        <f>+VLOOKUP(C23,'Tong hop cong'!C22:V22,20,0)</f>
        <v>17</v>
      </c>
      <c r="N23" s="1549">
        <f>+VLOOKUP(C23,'Tong hop cong'!C22:W22,21,0)</f>
        <v>4</v>
      </c>
      <c r="O23" s="1549">
        <f>+VLOOKUP(C23,'Tong hop cong'!C22:X22,22,0)</f>
        <v>0</v>
      </c>
      <c r="P23" s="1549">
        <f>+VLOOKUP(C23,'Tong hop cong'!C22:Y22,23,0)</f>
        <v>0</v>
      </c>
      <c r="Q23" s="1549">
        <f t="shared" si="3"/>
        <v>21</v>
      </c>
      <c r="R23" s="1549">
        <v>20</v>
      </c>
      <c r="S23" s="1551">
        <f>ROUND((((M23*(46.1*$H$9))+(N23*(76.9*$H$9))+(O23*(76.8*$H$9))+(P23*(107.6*$H$9)))+Q23*$Y$12),0)+R23*25000</f>
        <v>1635675</v>
      </c>
      <c r="T23" s="1551">
        <f t="shared" si="1"/>
        <v>2430777</v>
      </c>
      <c r="U23" s="1552">
        <f t="shared" si="4"/>
        <v>2430777</v>
      </c>
      <c r="W23" s="3625">
        <f t="shared" si="7"/>
        <v>795101.96</v>
      </c>
      <c r="X23" s="3620">
        <f t="shared" si="5"/>
        <v>795102</v>
      </c>
      <c r="Z23" s="3622">
        <f t="shared" si="8"/>
        <v>795102</v>
      </c>
    </row>
    <row r="24" spans="1:26" s="1539" customFormat="1" ht="32.25" customHeight="1">
      <c r="A24" s="1543">
        <v>11</v>
      </c>
      <c r="B24" s="1544"/>
      <c r="C24" s="2037" t="str">
        <f>'Chấm công công nhân'!L23</f>
        <v xml:space="preserve">Thảo Khăm  </v>
      </c>
      <c r="D24" s="1545"/>
      <c r="E24" s="1546" t="s">
        <v>40</v>
      </c>
      <c r="F24" s="1546"/>
      <c r="G24" s="1547"/>
      <c r="H24" s="1548">
        <f t="shared" si="2"/>
        <v>0</v>
      </c>
      <c r="I24" s="1548">
        <f>+VLOOKUP(C24,'Tong hop cong'!C23:S23,17,0)</f>
        <v>0</v>
      </c>
      <c r="J24" s="1549">
        <f>+VLOOKUP(C24,'Tong hop cong'!$C$13:$U$49,19,0)</f>
        <v>0</v>
      </c>
      <c r="K24" s="1550" t="str">
        <f>VLOOKUP(C24,'Tong hop cong'!C23:AA23,25,0)</f>
        <v>B</v>
      </c>
      <c r="L24" s="1551">
        <f t="shared" si="0"/>
        <v>0</v>
      </c>
      <c r="M24" s="1549">
        <f>+VLOOKUP(C24,'Tong hop cong'!C23:V23,20,0)</f>
        <v>9</v>
      </c>
      <c r="N24" s="1549">
        <f>+VLOOKUP(C24,'Tong hop cong'!C23:W23,21,0)</f>
        <v>1</v>
      </c>
      <c r="O24" s="1549">
        <f>+VLOOKUP(C24,'Tong hop cong'!C23:X23,22,0)</f>
        <v>0</v>
      </c>
      <c r="P24" s="1549">
        <f>+VLOOKUP(C24,'Tong hop cong'!C23:Y23,23,0)</f>
        <v>0</v>
      </c>
      <c r="Q24" s="1549">
        <f t="shared" si="3"/>
        <v>10</v>
      </c>
      <c r="R24" s="1549">
        <v>20</v>
      </c>
      <c r="S24" s="1551">
        <f t="shared" si="6"/>
        <v>1022522</v>
      </c>
      <c r="T24" s="1551">
        <f t="shared" si="1"/>
        <v>1022522</v>
      </c>
      <c r="U24" s="1552">
        <f t="shared" si="4"/>
        <v>1022522</v>
      </c>
      <c r="W24" s="3626">
        <f>L24+$Y$13</f>
        <v>0.05</v>
      </c>
      <c r="X24" s="3620">
        <f t="shared" si="5"/>
        <v>0</v>
      </c>
      <c r="Z24" s="3622">
        <f t="shared" si="8"/>
        <v>0</v>
      </c>
    </row>
    <row r="25" spans="1:26" s="1539" customFormat="1" ht="32.25" customHeight="1">
      <c r="A25" s="1543">
        <v>12</v>
      </c>
      <c r="B25" s="1544"/>
      <c r="C25" s="2037" t="str">
        <f>'Chấm công công nhân'!L24</f>
        <v>Thảo Hăm</v>
      </c>
      <c r="D25" s="1545"/>
      <c r="E25" s="1546" t="s">
        <v>40</v>
      </c>
      <c r="F25" s="1546"/>
      <c r="G25" s="1547"/>
      <c r="H25" s="1548">
        <f t="shared" si="2"/>
        <v>0</v>
      </c>
      <c r="I25" s="1548">
        <f>+VLOOKUP(C25,'Tong hop cong'!C24:S24,17,0)</f>
        <v>0</v>
      </c>
      <c r="J25" s="1549">
        <f>+VLOOKUP(C25,'Tong hop cong'!$C$13:$U$49,19,0)</f>
        <v>0</v>
      </c>
      <c r="K25" s="1550" t="str">
        <f>VLOOKUP(C25,'Tong hop cong'!C24:AA24,25,0)</f>
        <v>A</v>
      </c>
      <c r="L25" s="1551">
        <f t="shared" si="0"/>
        <v>0</v>
      </c>
      <c r="M25" s="1549">
        <f>+VLOOKUP(C25,'Tong hop cong'!C24:V24,20,0)</f>
        <v>14</v>
      </c>
      <c r="N25" s="1549">
        <f>+VLOOKUP(C25,'Tong hop cong'!C24:W24,21,0)</f>
        <v>2</v>
      </c>
      <c r="O25" s="1549">
        <f>+VLOOKUP(C25,'Tong hop cong'!C24:X24,22,0)</f>
        <v>0</v>
      </c>
      <c r="P25" s="1549">
        <f>+VLOOKUP(C25,'Tong hop cong'!C24:Y24,23,0)</f>
        <v>0</v>
      </c>
      <c r="Q25" s="1549">
        <f t="shared" si="3"/>
        <v>16</v>
      </c>
      <c r="R25" s="1549">
        <v>20</v>
      </c>
      <c r="S25" s="1551">
        <f>ROUND((((M25*(46.1*$H$9))+(N25*(76.9*$H$9))+(O25*(76.8*$H$9))+(P25*(107.6*$H$9)))+Q25*$Y$12),0)+R25*25000</f>
        <v>1344115</v>
      </c>
      <c r="T25" s="1551">
        <f t="shared" si="1"/>
        <v>1344115</v>
      </c>
      <c r="U25" s="1552">
        <f t="shared" si="4"/>
        <v>1344115</v>
      </c>
      <c r="W25" s="3626">
        <f>L25+$Y$13</f>
        <v>0.05</v>
      </c>
      <c r="X25" s="3620">
        <f t="shared" si="5"/>
        <v>0</v>
      </c>
      <c r="Z25" s="3622">
        <f t="shared" si="8"/>
        <v>0</v>
      </c>
    </row>
    <row r="26" spans="1:26" s="1539" customFormat="1" ht="32.25" customHeight="1">
      <c r="A26" s="1543">
        <v>13</v>
      </c>
      <c r="B26" s="1544"/>
      <c r="C26" s="2037" t="str">
        <f>'Chấm công công nhân'!L25</f>
        <v>Nang Lon</v>
      </c>
      <c r="D26" s="1545"/>
      <c r="E26" s="1546" t="s">
        <v>40</v>
      </c>
      <c r="F26" s="1546"/>
      <c r="G26" s="1547"/>
      <c r="H26" s="1548">
        <f t="shared" si="2"/>
        <v>0</v>
      </c>
      <c r="I26" s="1548">
        <f>+VLOOKUP(C26,'Tong hop cong'!C25:S25,17,0)</f>
        <v>0</v>
      </c>
      <c r="J26" s="1549">
        <f>+VLOOKUP(C26,'Tong hop cong'!$C$13:$U$49,19,0)</f>
        <v>0</v>
      </c>
      <c r="K26" s="1550" t="str">
        <f>VLOOKUP(C26,'Tong hop cong'!C25:AA25,25,0)</f>
        <v>B</v>
      </c>
      <c r="L26" s="1551">
        <f t="shared" si="0"/>
        <v>0</v>
      </c>
      <c r="M26" s="1549">
        <f>+VLOOKUP(C26,'Tong hop cong'!C25:V25,20,0)</f>
        <v>14</v>
      </c>
      <c r="N26" s="1549">
        <f>+VLOOKUP(C26,'Tong hop cong'!C25:W25,21,0)</f>
        <v>2</v>
      </c>
      <c r="O26" s="1549">
        <f>+VLOOKUP(C26,'Tong hop cong'!C25:X25,22,0)</f>
        <v>0</v>
      </c>
      <c r="P26" s="1549">
        <f>+VLOOKUP(C26,'Tong hop cong'!C25:Y25,23,0)</f>
        <v>0</v>
      </c>
      <c r="Q26" s="1549">
        <f t="shared" si="3"/>
        <v>16</v>
      </c>
      <c r="R26" s="1549">
        <v>20</v>
      </c>
      <c r="S26" s="1551">
        <f t="shared" si="6"/>
        <v>1344115</v>
      </c>
      <c r="T26" s="1551">
        <f t="shared" si="1"/>
        <v>1344115</v>
      </c>
      <c r="U26" s="1552">
        <f t="shared" si="4"/>
        <v>1344115</v>
      </c>
      <c r="W26" s="3626">
        <f t="shared" ref="W26:W49" si="9">L26+$Y$13</f>
        <v>0.05</v>
      </c>
      <c r="X26" s="3620">
        <f t="shared" si="5"/>
        <v>0</v>
      </c>
      <c r="Z26" s="3622">
        <f t="shared" si="8"/>
        <v>0</v>
      </c>
    </row>
    <row r="27" spans="1:26" s="1539" customFormat="1" ht="32.25" customHeight="1">
      <c r="A27" s="1543">
        <v>14</v>
      </c>
      <c r="B27" s="1544" t="s">
        <v>431</v>
      </c>
      <c r="C27" s="2037" t="str">
        <f>'Chấm công công nhân'!L26</f>
        <v>Thảo Pheng</v>
      </c>
      <c r="D27" s="1545" t="e">
        <f>VLOOKUP(C27,'Mã số NV'!$B$6:$D$53,3,0)</f>
        <v>#N/A</v>
      </c>
      <c r="E27" s="1546" t="s">
        <v>40</v>
      </c>
      <c r="F27" s="1546"/>
      <c r="G27" s="1547"/>
      <c r="H27" s="1548">
        <f t="shared" si="2"/>
        <v>0</v>
      </c>
      <c r="I27" s="1548">
        <f>+VLOOKUP(C27,'Tong hop cong'!C26:S26,17,0)</f>
        <v>102</v>
      </c>
      <c r="J27" s="1549">
        <f>+VLOOKUP(C27,'Tong hop cong'!$C$13:$U$49,19,0)</f>
        <v>55.307410661401761</v>
      </c>
      <c r="K27" s="1550" t="str">
        <f>VLOOKUP(C27,'Tong hop cong'!C26:AA26,25,0)</f>
        <v>B</v>
      </c>
      <c r="L27" s="1551">
        <f t="shared" si="0"/>
        <v>207290</v>
      </c>
      <c r="M27" s="1549">
        <f>+VLOOKUP(C27,'Tong hop cong'!C26:V26,20,0)</f>
        <v>14</v>
      </c>
      <c r="N27" s="1549">
        <f>+VLOOKUP(C27,'Tong hop cong'!C26:W26,21,0)</f>
        <v>2</v>
      </c>
      <c r="O27" s="1549">
        <f>+VLOOKUP(C27,'Tong hop cong'!C26:X26,22,0)</f>
        <v>0</v>
      </c>
      <c r="P27" s="1549">
        <f>+VLOOKUP(C27,'Tong hop cong'!C26:Y26,23,0)</f>
        <v>0</v>
      </c>
      <c r="Q27" s="1549">
        <f t="shared" si="3"/>
        <v>16</v>
      </c>
      <c r="R27" s="1549">
        <v>20</v>
      </c>
      <c r="S27" s="1551">
        <f t="shared" si="6"/>
        <v>1344115</v>
      </c>
      <c r="T27" s="1551">
        <f t="shared" si="1"/>
        <v>1551405</v>
      </c>
      <c r="U27" s="1552">
        <f t="shared" si="4"/>
        <v>1551405</v>
      </c>
      <c r="W27" s="3626">
        <f t="shared" si="9"/>
        <v>207290.05</v>
      </c>
      <c r="X27" s="3620">
        <f t="shared" si="5"/>
        <v>207290</v>
      </c>
      <c r="Z27" s="3622">
        <f t="shared" si="8"/>
        <v>207290</v>
      </c>
    </row>
    <row r="28" spans="1:26" s="1539" customFormat="1" ht="32.25" customHeight="1">
      <c r="A28" s="1543">
        <v>15</v>
      </c>
      <c r="B28" s="1553" t="s">
        <v>434</v>
      </c>
      <c r="C28" s="2037" t="str">
        <f>'Chấm công công nhân'!L27</f>
        <v>Thảo kok</v>
      </c>
      <c r="D28" s="1545" t="str">
        <f>VLOOKUP(C28,'Mã số NV'!$B$6:$D$53,3,0)</f>
        <v>01874</v>
      </c>
      <c r="E28" s="1546" t="s">
        <v>40</v>
      </c>
      <c r="F28" s="1546"/>
      <c r="G28" s="1547"/>
      <c r="H28" s="1548">
        <f t="shared" si="2"/>
        <v>0</v>
      </c>
      <c r="I28" s="1548">
        <f>+VLOOKUP(C28,'Tong hop cong'!C27:S27,17,0)</f>
        <v>261</v>
      </c>
      <c r="J28" s="1549">
        <f>+VLOOKUP(C28,'Tong hop cong'!$C$13:$U$49,19,0)</f>
        <v>141.52190375123391</v>
      </c>
      <c r="K28" s="1550" t="str">
        <f>VLOOKUP(C28,'Tong hop cong'!C27:AA27,25,0)</f>
        <v>A</v>
      </c>
      <c r="L28" s="1551">
        <f t="shared" si="0"/>
        <v>557854</v>
      </c>
      <c r="M28" s="1549">
        <f>+VLOOKUP(C28,'Tong hop cong'!C27:V27,20,0)</f>
        <v>12</v>
      </c>
      <c r="N28" s="1549">
        <f>+VLOOKUP(C28,'Tong hop cong'!C27:W27,21,0)</f>
        <v>3</v>
      </c>
      <c r="O28" s="1549">
        <f>+VLOOKUP(C28,'Tong hop cong'!C27:X27,22,0)</f>
        <v>0</v>
      </c>
      <c r="P28" s="1549">
        <f>+VLOOKUP(C28,'Tong hop cong'!C27:Y27,23,0)</f>
        <v>0</v>
      </c>
      <c r="Q28" s="1549">
        <f t="shared" si="3"/>
        <v>15</v>
      </c>
      <c r="R28" s="1549">
        <v>20</v>
      </c>
      <c r="S28" s="1551">
        <f t="shared" si="6"/>
        <v>1314082</v>
      </c>
      <c r="T28" s="1551">
        <f t="shared" si="1"/>
        <v>1871936</v>
      </c>
      <c r="U28" s="1552">
        <f t="shared" si="4"/>
        <v>1871936</v>
      </c>
      <c r="W28" s="3626">
        <f t="shared" si="9"/>
        <v>557854.05000000005</v>
      </c>
      <c r="X28" s="3620">
        <f t="shared" si="5"/>
        <v>557854</v>
      </c>
      <c r="Z28" s="3622">
        <f t="shared" si="8"/>
        <v>557854</v>
      </c>
    </row>
    <row r="29" spans="1:26" s="1539" customFormat="1" ht="32.25" customHeight="1">
      <c r="A29" s="1543">
        <v>16</v>
      </c>
      <c r="B29" s="1553" t="s">
        <v>422</v>
      </c>
      <c r="C29" s="2037" t="str">
        <f>'Chấm công công nhân'!L28</f>
        <v>Nàng Sút Chay</v>
      </c>
      <c r="D29" s="1545" t="e">
        <f>VLOOKUP(C29,'Mã số NV'!$B$6:$D$53,3,0)</f>
        <v>#N/A</v>
      </c>
      <c r="E29" s="1546" t="s">
        <v>40</v>
      </c>
      <c r="F29" s="1546"/>
      <c r="G29" s="1547"/>
      <c r="H29" s="1548">
        <f t="shared" si="2"/>
        <v>0</v>
      </c>
      <c r="I29" s="1548">
        <f>+VLOOKUP(C29,'Tong hop cong'!C28:S28,17,0)</f>
        <v>70</v>
      </c>
      <c r="J29" s="1549">
        <f>+VLOOKUP(C29,'Tong hop cong'!$C$13:$U$49,19,0)</f>
        <v>37.956066140177683</v>
      </c>
      <c r="K29" s="1550" t="str">
        <f>VLOOKUP(C29,'Tong hop cong'!C28:AA28,25,0)</f>
        <v>A</v>
      </c>
      <c r="L29" s="1551">
        <f t="shared" si="0"/>
        <v>149616</v>
      </c>
      <c r="M29" s="1549">
        <f>+VLOOKUP(C29,'Tong hop cong'!C28:V28,20,0)</f>
        <v>11</v>
      </c>
      <c r="N29" s="1549">
        <f>+VLOOKUP(C29,'Tong hop cong'!C28:W28,21,0)</f>
        <v>3</v>
      </c>
      <c r="O29" s="1549">
        <f>+VLOOKUP(C29,'Tong hop cong'!C28:X28,22,0)</f>
        <v>0</v>
      </c>
      <c r="P29" s="1549">
        <f>+VLOOKUP(C29,'Tong hop cong'!C28:Y28,23,0)</f>
        <v>0</v>
      </c>
      <c r="Q29" s="1549">
        <f t="shared" si="3"/>
        <v>14</v>
      </c>
      <c r="R29" s="1549">
        <v>20</v>
      </c>
      <c r="S29" s="1551">
        <f t="shared" si="6"/>
        <v>1263849</v>
      </c>
      <c r="T29" s="1551">
        <f t="shared" si="1"/>
        <v>1413465</v>
      </c>
      <c r="U29" s="1552">
        <f t="shared" si="4"/>
        <v>1413465</v>
      </c>
      <c r="W29" s="3626">
        <f t="shared" si="9"/>
        <v>149616.04999999999</v>
      </c>
      <c r="X29" s="3620">
        <f t="shared" si="5"/>
        <v>149616</v>
      </c>
      <c r="Z29" s="3622">
        <f t="shared" si="8"/>
        <v>149616</v>
      </c>
    </row>
    <row r="30" spans="1:26" s="1539" customFormat="1" ht="32.25" customHeight="1">
      <c r="A30" s="1543">
        <v>17</v>
      </c>
      <c r="B30" s="1553" t="s">
        <v>458</v>
      </c>
      <c r="C30" s="2037" t="str">
        <f>'Chấm công công nhân'!L29</f>
        <v>Thảo Khăm Phay</v>
      </c>
      <c r="D30" s="1545" t="e">
        <f>VLOOKUP(C30,'Mã số NV'!$B$6:$D$53,3,0)</f>
        <v>#N/A</v>
      </c>
      <c r="E30" s="1546" t="s">
        <v>40</v>
      </c>
      <c r="F30" s="1546"/>
      <c r="G30" s="1547"/>
      <c r="H30" s="1548">
        <f t="shared" si="2"/>
        <v>0</v>
      </c>
      <c r="I30" s="1548">
        <f>+VLOOKUP(C30,'Tong hop cong'!C29:S29,17,0)</f>
        <v>70</v>
      </c>
      <c r="J30" s="1549">
        <f>+VLOOKUP(C30,'Tong hop cong'!$C$13:$U$49,19,0)</f>
        <v>37.956066140177683</v>
      </c>
      <c r="K30" s="1550" t="str">
        <f>VLOOKUP(C30,'Tong hop cong'!C29:AA29,25,0)</f>
        <v>B</v>
      </c>
      <c r="L30" s="1551">
        <f t="shared" si="0"/>
        <v>142258</v>
      </c>
      <c r="M30" s="1549">
        <f>+VLOOKUP(C30,'Tong hop cong'!C29:V29,20,0)</f>
        <v>11</v>
      </c>
      <c r="N30" s="1549">
        <f>+VLOOKUP(C30,'Tong hop cong'!C29:W29,21,0)</f>
        <v>3</v>
      </c>
      <c r="O30" s="1549">
        <f>+VLOOKUP(C30,'Tong hop cong'!C29:X29,22,0)</f>
        <v>0</v>
      </c>
      <c r="P30" s="1549">
        <f>+VLOOKUP(C30,'Tong hop cong'!C29:Y29,23,0)</f>
        <v>0</v>
      </c>
      <c r="Q30" s="1549">
        <f t="shared" si="3"/>
        <v>14</v>
      </c>
      <c r="R30" s="1549">
        <v>20</v>
      </c>
      <c r="S30" s="1551">
        <f t="shared" si="6"/>
        <v>1263849</v>
      </c>
      <c r="T30" s="1551">
        <f t="shared" si="1"/>
        <v>1406107</v>
      </c>
      <c r="U30" s="1552">
        <f t="shared" si="4"/>
        <v>1406107</v>
      </c>
      <c r="W30" s="3626">
        <f t="shared" si="9"/>
        <v>142258.04999999999</v>
      </c>
      <c r="X30" s="3620">
        <f t="shared" si="5"/>
        <v>142258</v>
      </c>
      <c r="Z30" s="3622">
        <f t="shared" si="8"/>
        <v>142258</v>
      </c>
    </row>
    <row r="31" spans="1:26" s="3604" customFormat="1" ht="32.25" customHeight="1">
      <c r="A31" s="1543">
        <v>18</v>
      </c>
      <c r="B31" s="1553" t="s">
        <v>460</v>
      </c>
      <c r="C31" s="2037" t="str">
        <f>'Chấm công công nhân'!L30</f>
        <v>Thảo Sớm</v>
      </c>
      <c r="D31" s="1545" t="e">
        <f>VLOOKUP(C31,'Mã số NV'!$B$6:$D$53,3,0)</f>
        <v>#N/A</v>
      </c>
      <c r="E31" s="1546" t="s">
        <v>40</v>
      </c>
      <c r="F31" s="1546"/>
      <c r="G31" s="1547"/>
      <c r="H31" s="1548">
        <f t="shared" si="2"/>
        <v>0</v>
      </c>
      <c r="I31" s="1548">
        <f>+VLOOKUP(C31,'Tong hop cong'!C30:S30,17,0)</f>
        <v>134</v>
      </c>
      <c r="J31" s="1549">
        <f>+VLOOKUP(C31,'Tong hop cong'!$C$13:$U$49,19,0)</f>
        <v>72.658755182625839</v>
      </c>
      <c r="K31" s="1550" t="str">
        <f>VLOOKUP(C31,'Tong hop cong'!C30:AA30,25,0)</f>
        <v>A</v>
      </c>
      <c r="L31" s="1551">
        <f t="shared" si="0"/>
        <v>286408</v>
      </c>
      <c r="M31" s="1549">
        <f>+VLOOKUP(C31,'Tong hop cong'!C30:V30,20,0)</f>
        <v>12</v>
      </c>
      <c r="N31" s="1549">
        <f>+VLOOKUP(C31,'Tong hop cong'!C30:W30,21,0)</f>
        <v>3</v>
      </c>
      <c r="O31" s="1549">
        <f>+VLOOKUP(C31,'Tong hop cong'!C30:X30,22,0)</f>
        <v>0</v>
      </c>
      <c r="P31" s="1549">
        <f>+VLOOKUP(C31,'Tong hop cong'!C30:Y30,23,0)</f>
        <v>0</v>
      </c>
      <c r="Q31" s="1549">
        <f t="shared" si="3"/>
        <v>15</v>
      </c>
      <c r="R31" s="1549">
        <v>20</v>
      </c>
      <c r="S31" s="1551">
        <f t="shared" si="6"/>
        <v>1314082</v>
      </c>
      <c r="T31" s="1551">
        <f t="shared" si="1"/>
        <v>1600490</v>
      </c>
      <c r="U31" s="1552">
        <f t="shared" si="4"/>
        <v>1600490</v>
      </c>
      <c r="W31" s="3626">
        <f t="shared" si="9"/>
        <v>286408.05</v>
      </c>
      <c r="X31" s="3620">
        <f t="shared" si="5"/>
        <v>286408</v>
      </c>
      <c r="Z31" s="3622">
        <f t="shared" si="8"/>
        <v>286408</v>
      </c>
    </row>
    <row r="32" spans="1:26" s="1539" customFormat="1" ht="32.25" customHeight="1">
      <c r="A32" s="3596">
        <v>19</v>
      </c>
      <c r="B32" s="3597" t="s">
        <v>462</v>
      </c>
      <c r="C32" s="2037" t="str">
        <f>'Chấm công công nhân'!L31</f>
        <v>Pha Xúc</v>
      </c>
      <c r="D32" s="3598" t="e">
        <f>VLOOKUP(C32,'Mã số NV'!$B$6:$D$53,3,0)</f>
        <v>#N/A</v>
      </c>
      <c r="E32" s="3599" t="s">
        <v>40</v>
      </c>
      <c r="F32" s="3599"/>
      <c r="G32" s="3371"/>
      <c r="H32" s="3370">
        <f t="shared" si="2"/>
        <v>0</v>
      </c>
      <c r="I32" s="3370">
        <f>+VLOOKUP(C32,'Tong hop cong'!C31:S31,17,0)</f>
        <v>0</v>
      </c>
      <c r="J32" s="1549">
        <f>+VLOOKUP(C32,'Tong hop cong'!$C$13:$U$49,19,0)</f>
        <v>0</v>
      </c>
      <c r="K32" s="3601" t="str">
        <f>VLOOKUP(C32,'Tong hop cong'!C31:AA31,25,0)</f>
        <v>B</v>
      </c>
      <c r="L32" s="1551">
        <f t="shared" si="0"/>
        <v>0</v>
      </c>
      <c r="M32" s="3600">
        <f>+VLOOKUP(C32,'Tong hop cong'!C31:V31,20,0)</f>
        <v>11</v>
      </c>
      <c r="N32" s="3600">
        <f>+VLOOKUP(C32,'Tong hop cong'!C31:W31,21,0)</f>
        <v>2</v>
      </c>
      <c r="O32" s="3600">
        <f>+VLOOKUP(C32,'Tong hop cong'!C31:X31,22,0)</f>
        <v>0</v>
      </c>
      <c r="P32" s="3600">
        <f>+VLOOKUP(C32,'Tong hop cong'!C31:Y31,23,0)</f>
        <v>0</v>
      </c>
      <c r="Q32" s="3600">
        <f t="shared" si="3"/>
        <v>13</v>
      </c>
      <c r="R32" s="1549">
        <v>20</v>
      </c>
      <c r="S32" s="1551">
        <f t="shared" si="6"/>
        <v>1193418</v>
      </c>
      <c r="T32" s="3602">
        <f t="shared" si="1"/>
        <v>1193418</v>
      </c>
      <c r="U32" s="3603">
        <f t="shared" si="4"/>
        <v>1193418</v>
      </c>
      <c r="W32" s="3626">
        <f t="shared" si="9"/>
        <v>0.05</v>
      </c>
      <c r="X32" s="3620">
        <f t="shared" si="5"/>
        <v>0</v>
      </c>
      <c r="Z32" s="3622">
        <f t="shared" si="8"/>
        <v>0</v>
      </c>
    </row>
    <row r="33" spans="1:26" s="1539" customFormat="1" ht="32.25" customHeight="1">
      <c r="A33" s="1543">
        <v>20</v>
      </c>
      <c r="B33" s="1554" t="s">
        <v>467</v>
      </c>
      <c r="C33" s="2037" t="str">
        <f>'Chấm công công nhân'!L32</f>
        <v>Nàng Phon</v>
      </c>
      <c r="D33" s="1545" t="e">
        <f>VLOOKUP(C33,'Mã số NV'!$B$6:$D$53,3,0)</f>
        <v>#N/A</v>
      </c>
      <c r="E33" s="1546" t="s">
        <v>40</v>
      </c>
      <c r="F33" s="1546"/>
      <c r="G33" s="1547"/>
      <c r="H33" s="1548">
        <f t="shared" si="2"/>
        <v>0</v>
      </c>
      <c r="I33" s="1548">
        <f>+VLOOKUP(C33,'Tong hop cong'!C32:S32,17,0)</f>
        <v>40</v>
      </c>
      <c r="J33" s="1549">
        <f>+VLOOKUP(C33,'Tong hop cong'!$C$13:$U$49,19,0)</f>
        <v>21.689180651530105</v>
      </c>
      <c r="K33" s="1550" t="str">
        <f>VLOOKUP(C33,'Tong hop cong'!C32:AA32,25,0)</f>
        <v>A</v>
      </c>
      <c r="L33" s="1551">
        <f t="shared" si="0"/>
        <v>85495</v>
      </c>
      <c r="M33" s="1549">
        <f>+VLOOKUP(C33,'Tong hop cong'!C32:V32,20,0)</f>
        <v>13</v>
      </c>
      <c r="N33" s="1549">
        <f>+VLOOKUP(C33,'Tong hop cong'!C32:W32,21,0)</f>
        <v>4</v>
      </c>
      <c r="O33" s="1549">
        <f>+VLOOKUP(C33,'Tong hop cong'!C32:X32,22,0)</f>
        <v>0</v>
      </c>
      <c r="P33" s="1549">
        <f>+VLOOKUP(C33,'Tong hop cong'!C32:Y32,23,0)</f>
        <v>0</v>
      </c>
      <c r="Q33" s="1549">
        <f t="shared" si="3"/>
        <v>17</v>
      </c>
      <c r="R33" s="1549">
        <v>20</v>
      </c>
      <c r="S33" s="1551">
        <f>ROUND((((M33*(46.1*$H$9))+(N33*(76.9*$H$9))+(O33*(76.8*$H$9))+(P33*(107.6*$H$9)))+Q33*$Y$12),0)+R33*25000</f>
        <v>1434745</v>
      </c>
      <c r="T33" s="1551">
        <f t="shared" si="1"/>
        <v>1520240</v>
      </c>
      <c r="U33" s="1552">
        <f t="shared" si="4"/>
        <v>1520240</v>
      </c>
      <c r="W33" s="3626">
        <f t="shared" si="9"/>
        <v>85495.05</v>
      </c>
      <c r="X33" s="3620">
        <f t="shared" si="5"/>
        <v>85495</v>
      </c>
      <c r="Z33" s="3622">
        <f t="shared" si="8"/>
        <v>85495</v>
      </c>
    </row>
    <row r="34" spans="1:26" s="1539" customFormat="1" ht="32.25" customHeight="1">
      <c r="A34" s="1543">
        <v>21</v>
      </c>
      <c r="B34" s="1555" t="s">
        <v>486</v>
      </c>
      <c r="C34" s="2037" t="str">
        <f>'Chấm công công nhân'!L33</f>
        <v>Thảo Chăn</v>
      </c>
      <c r="D34" s="1545" t="e">
        <f>VLOOKUP(C34,'Mã số NV'!$B$6:$D$53,3,0)</f>
        <v>#N/A</v>
      </c>
      <c r="E34" s="1546" t="s">
        <v>40</v>
      </c>
      <c r="F34" s="1546"/>
      <c r="G34" s="1547"/>
      <c r="H34" s="1548">
        <f t="shared" si="2"/>
        <v>0</v>
      </c>
      <c r="I34" s="1548">
        <f>+VLOOKUP(C34,'Tong hop cong'!C33:S33,17,0)</f>
        <v>262</v>
      </c>
      <c r="J34" s="1549">
        <f>+VLOOKUP(C34,'Tong hop cong'!$C$13:$U$49,19,0)</f>
        <v>142.06413326752218</v>
      </c>
      <c r="K34" s="1550" t="str">
        <f>VLOOKUP(C34,'Tong hop cong'!C33:AA33,25,0)</f>
        <v>A</v>
      </c>
      <c r="L34" s="1551">
        <f t="shared" si="0"/>
        <v>559991</v>
      </c>
      <c r="M34" s="1549">
        <f>+VLOOKUP(C34,'Tong hop cong'!C33:V33,20,0)</f>
        <v>14</v>
      </c>
      <c r="N34" s="1549">
        <f>+VLOOKUP(C34,'Tong hop cong'!C33:W33,21,0)</f>
        <v>3</v>
      </c>
      <c r="O34" s="1549">
        <f>+VLOOKUP(C34,'Tong hop cong'!C33:X33,22,0)</f>
        <v>0</v>
      </c>
      <c r="P34" s="1549">
        <f>+VLOOKUP(C34,'Tong hop cong'!C33:Y33,23,0)</f>
        <v>0</v>
      </c>
      <c r="Q34" s="1549">
        <f t="shared" si="3"/>
        <v>17</v>
      </c>
      <c r="R34" s="1549">
        <v>20</v>
      </c>
      <c r="S34" s="1551">
        <f>ROUND((((M34*(46.1*$H$9))+(N34*(76.9*$H$9))+(O34*(76.8*$H$9))+(P34*(107.6*$H$9)))+Q34*$Y$12),0)+R34*25000</f>
        <v>1414546</v>
      </c>
      <c r="T34" s="1551">
        <f t="shared" si="1"/>
        <v>1974537</v>
      </c>
      <c r="U34" s="1552">
        <f t="shared" si="4"/>
        <v>1974537</v>
      </c>
      <c r="W34" s="3626">
        <f t="shared" si="9"/>
        <v>559991.05000000005</v>
      </c>
      <c r="X34" s="3620">
        <f t="shared" si="5"/>
        <v>559991</v>
      </c>
      <c r="Z34" s="3622">
        <f t="shared" si="8"/>
        <v>559991</v>
      </c>
    </row>
    <row r="35" spans="1:26" s="1539" customFormat="1" ht="32.25" customHeight="1">
      <c r="A35" s="1543">
        <v>22</v>
      </c>
      <c r="B35" s="1555" t="s">
        <v>488</v>
      </c>
      <c r="C35" s="2037" t="str">
        <f>'Chấm công công nhân'!L34</f>
        <v>Thong La</v>
      </c>
      <c r="D35" s="1545" t="e">
        <f>VLOOKUP(C35,'Mã số NV'!$B$6:$D$53,3,0)</f>
        <v>#N/A</v>
      </c>
      <c r="E35" s="1546" t="s">
        <v>40</v>
      </c>
      <c r="F35" s="1546"/>
      <c r="G35" s="1547"/>
      <c r="H35" s="1548">
        <f t="shared" si="2"/>
        <v>0</v>
      </c>
      <c r="I35" s="1548">
        <f>+VLOOKUP(C35,'Tong hop cong'!C34:S34,17,0)</f>
        <v>133</v>
      </c>
      <c r="J35" s="1549">
        <f>+VLOOKUP(C35,'Tong hop cong'!$C$13:$U$49,19,0)</f>
        <v>72.116525666337594</v>
      </c>
      <c r="K35" s="1550" t="str">
        <f>VLOOKUP(C35,'Tong hop cong'!C34:AA34,25,0)</f>
        <v>A</v>
      </c>
      <c r="L35" s="1551">
        <f t="shared" si="0"/>
        <v>284270</v>
      </c>
      <c r="M35" s="1549">
        <f>+VLOOKUP(C35,'Tong hop cong'!C34:V34,20,0)</f>
        <v>14</v>
      </c>
      <c r="N35" s="1549">
        <f>+VLOOKUP(C35,'Tong hop cong'!C34:W34,21,0)</f>
        <v>3</v>
      </c>
      <c r="O35" s="1549">
        <f>+VLOOKUP(C35,'Tong hop cong'!C34:X34,22,0)</f>
        <v>0</v>
      </c>
      <c r="P35" s="1549">
        <f>+VLOOKUP(C35,'Tong hop cong'!C34:Y34,23,0)</f>
        <v>0</v>
      </c>
      <c r="Q35" s="1549">
        <f t="shared" si="3"/>
        <v>17</v>
      </c>
      <c r="R35" s="1549">
        <v>20</v>
      </c>
      <c r="S35" s="1551">
        <f>ROUND((((M35*(46.1*$H$9))+(N35*(76.9*$H$9))+(O35*(76.8*$H$9))+(P35*(107.6*$H$9)))+Q35*$Y$12),0)+R35*25000</f>
        <v>1414546</v>
      </c>
      <c r="T35" s="1551">
        <f t="shared" si="1"/>
        <v>1698816</v>
      </c>
      <c r="U35" s="1552">
        <f t="shared" si="4"/>
        <v>1698816</v>
      </c>
      <c r="W35" s="3626">
        <f>L35+$Y$13</f>
        <v>284270.05</v>
      </c>
      <c r="X35" s="3620">
        <f t="shared" si="5"/>
        <v>284270</v>
      </c>
      <c r="Z35" s="3622">
        <f t="shared" si="8"/>
        <v>284270</v>
      </c>
    </row>
    <row r="36" spans="1:26" s="1539" customFormat="1" ht="32.25" customHeight="1">
      <c r="A36" s="1543">
        <v>23</v>
      </c>
      <c r="B36" s="1544" t="s">
        <v>420</v>
      </c>
      <c r="C36" s="2037" t="str">
        <f>'Chấm công công nhân'!L35</f>
        <v>Thảo Cum Pha</v>
      </c>
      <c r="D36" s="1545" t="e">
        <f>VLOOKUP(C36,'Mã số NV'!$B$6:$D$53,3,0)</f>
        <v>#N/A</v>
      </c>
      <c r="E36" s="1546" t="s">
        <v>40</v>
      </c>
      <c r="F36" s="1546"/>
      <c r="G36" s="1547"/>
      <c r="H36" s="1548">
        <f t="shared" si="2"/>
        <v>0</v>
      </c>
      <c r="I36" s="1548">
        <f>+VLOOKUP(C36,'Tong hop cong'!C35:S35,17,0)</f>
        <v>21</v>
      </c>
      <c r="J36" s="1549">
        <f>+VLOOKUP(C36,'Tong hop cong'!$C$13:$U$49,19,0)</f>
        <v>11.386819842053303</v>
      </c>
      <c r="K36" s="1550" t="str">
        <f>VLOOKUP(C36,'Tong hop cong'!C35:AA35,25,0)</f>
        <v>B</v>
      </c>
      <c r="L36" s="1551">
        <f t="shared" si="0"/>
        <v>42677</v>
      </c>
      <c r="M36" s="1549">
        <f>+VLOOKUP(C36,'Tong hop cong'!C35:V35,20,0)</f>
        <v>8</v>
      </c>
      <c r="N36" s="1549">
        <f>+VLOOKUP(C36,'Tong hop cong'!C35:W35,21,0)</f>
        <v>2</v>
      </c>
      <c r="O36" s="1549">
        <f>+VLOOKUP(C36,'Tong hop cong'!C35:X35,22,0)</f>
        <v>0</v>
      </c>
      <c r="P36" s="1549">
        <f>+VLOOKUP(C36,'Tong hop cong'!C35:Y35,23,0)</f>
        <v>0</v>
      </c>
      <c r="Q36" s="1549">
        <f t="shared" si="3"/>
        <v>10</v>
      </c>
      <c r="R36" s="1549">
        <v>20</v>
      </c>
      <c r="S36" s="1551">
        <f t="shared" si="6"/>
        <v>1042721</v>
      </c>
      <c r="T36" s="1551">
        <f t="shared" si="1"/>
        <v>1085398</v>
      </c>
      <c r="U36" s="1552">
        <f t="shared" si="4"/>
        <v>1085398</v>
      </c>
      <c r="W36" s="3626">
        <f t="shared" si="9"/>
        <v>42677.05</v>
      </c>
      <c r="X36" s="3620">
        <f t="shared" si="5"/>
        <v>42677</v>
      </c>
      <c r="Z36" s="3622">
        <f t="shared" si="8"/>
        <v>42677</v>
      </c>
    </row>
    <row r="37" spans="1:26" s="1539" customFormat="1" ht="32.25" customHeight="1">
      <c r="A37" s="1543">
        <v>24</v>
      </c>
      <c r="B37" s="1544" t="s">
        <v>436</v>
      </c>
      <c r="C37" s="2037" t="str">
        <f>'Chấm công công nhân'!L36</f>
        <v>T Ô Vên</v>
      </c>
      <c r="D37" s="1545" t="e">
        <f>VLOOKUP(C37,'Mã số NV'!$B$6:$D$53,3,0)</f>
        <v>#N/A</v>
      </c>
      <c r="E37" s="1546" t="s">
        <v>40</v>
      </c>
      <c r="F37" s="1546"/>
      <c r="G37" s="1547"/>
      <c r="H37" s="1548">
        <f t="shared" si="2"/>
        <v>0</v>
      </c>
      <c r="I37" s="1548">
        <f>+VLOOKUP(C37,'Tong hop cong'!C36:S36,17,0)</f>
        <v>206</v>
      </c>
      <c r="J37" s="1549">
        <f>+VLOOKUP(C37,'Tong hop cong'!$C$13:$U$49,19,0)</f>
        <v>111.69928035538004</v>
      </c>
      <c r="K37" s="1550" t="str">
        <f>VLOOKUP(C37,'Tong hop cong'!C36:AA36,25,0)</f>
        <v>B</v>
      </c>
      <c r="L37" s="1551">
        <f t="shared" si="0"/>
        <v>418644</v>
      </c>
      <c r="M37" s="1549">
        <f>+VLOOKUP(C37,'Tong hop cong'!C36:V36,20,0)</f>
        <v>14</v>
      </c>
      <c r="N37" s="1549">
        <f>+VLOOKUP(C37,'Tong hop cong'!C36:W36,21,0)</f>
        <v>3</v>
      </c>
      <c r="O37" s="1549">
        <f>+VLOOKUP(C37,'Tong hop cong'!C36:X36,22,0)</f>
        <v>0</v>
      </c>
      <c r="P37" s="1549">
        <f>+VLOOKUP(C37,'Tong hop cong'!C36:Y36,23,0)</f>
        <v>0</v>
      </c>
      <c r="Q37" s="1549">
        <f t="shared" si="3"/>
        <v>17</v>
      </c>
      <c r="R37" s="1549">
        <v>20</v>
      </c>
      <c r="S37" s="1551">
        <f t="shared" si="6"/>
        <v>1414546</v>
      </c>
      <c r="T37" s="1551">
        <f t="shared" si="1"/>
        <v>1833190</v>
      </c>
      <c r="U37" s="1552">
        <f t="shared" si="4"/>
        <v>1833190</v>
      </c>
      <c r="W37" s="3626">
        <f t="shared" si="9"/>
        <v>418644.05</v>
      </c>
      <c r="X37" s="3620">
        <f t="shared" si="5"/>
        <v>418644</v>
      </c>
      <c r="Z37" s="3622">
        <f t="shared" si="8"/>
        <v>418644</v>
      </c>
    </row>
    <row r="38" spans="1:26" s="1539" customFormat="1" ht="32.25" customHeight="1">
      <c r="A38" s="1543">
        <v>25</v>
      </c>
      <c r="B38" s="1544" t="s">
        <v>473</v>
      </c>
      <c r="C38" s="2037" t="str">
        <f>'Chấm công công nhân'!L37</f>
        <v>Nàng Lam</v>
      </c>
      <c r="D38" s="1545" t="e">
        <f>VLOOKUP(C38,'Mã số NV'!$B$6:$D$53,3,0)</f>
        <v>#N/A</v>
      </c>
      <c r="E38" s="1546" t="s">
        <v>40</v>
      </c>
      <c r="F38" s="1546"/>
      <c r="G38" s="1547"/>
      <c r="H38" s="1548">
        <f t="shared" si="2"/>
        <v>0</v>
      </c>
      <c r="I38" s="1548">
        <f>+VLOOKUP(C38,'Tong hop cong'!C37:S37,17,0)</f>
        <v>247</v>
      </c>
      <c r="J38" s="1549">
        <f>+VLOOKUP(C38,'Tong hop cong'!$C$13:$U$49,19,0)</f>
        <v>133.93069052319839</v>
      </c>
      <c r="K38" s="1550" t="str">
        <f>VLOOKUP(C38,'Tong hop cong'!C37:AA37,25,0)</f>
        <v>A</v>
      </c>
      <c r="L38" s="1551">
        <f t="shared" si="0"/>
        <v>527931</v>
      </c>
      <c r="M38" s="1549">
        <f>+VLOOKUP(C38,'Tong hop cong'!C37:V37,20,0)</f>
        <v>18</v>
      </c>
      <c r="N38" s="1549">
        <f>+VLOOKUP(C38,'Tong hop cong'!C37:W37,21,0)</f>
        <v>4</v>
      </c>
      <c r="O38" s="1549">
        <f>+VLOOKUP(C38,'Tong hop cong'!C37:X37,22,0)</f>
        <v>0</v>
      </c>
      <c r="P38" s="1549">
        <f>+VLOOKUP(C38,'Tong hop cong'!C37:Y37,23,0)</f>
        <v>0</v>
      </c>
      <c r="Q38" s="1549">
        <f t="shared" si="3"/>
        <v>22</v>
      </c>
      <c r="R38" s="1549">
        <v>20</v>
      </c>
      <c r="S38" s="1551">
        <f>ROUND((((M38*(46.1*$H$9))+(N38*(76.9*$H$9))+(O38*(76.8*$H$9))+(P38*(107.6*$H$9)))+Q38*$Y$12),0)+R38*25000</f>
        <v>1685907</v>
      </c>
      <c r="T38" s="1551">
        <f t="shared" si="1"/>
        <v>2213838</v>
      </c>
      <c r="U38" s="1552">
        <f t="shared" si="4"/>
        <v>2213838</v>
      </c>
      <c r="W38" s="3626">
        <f t="shared" si="9"/>
        <v>527931.05000000005</v>
      </c>
      <c r="X38" s="3620">
        <f t="shared" si="5"/>
        <v>527931</v>
      </c>
      <c r="Z38" s="3622">
        <f t="shared" si="8"/>
        <v>527931</v>
      </c>
    </row>
    <row r="39" spans="1:26" s="1539" customFormat="1" ht="32.25" customHeight="1">
      <c r="A39" s="1543">
        <v>26</v>
      </c>
      <c r="B39" s="1553" t="s">
        <v>454</v>
      </c>
      <c r="C39" s="2037" t="str">
        <f>'Chấm công công nhân'!L38</f>
        <v>Nàng Hđao</v>
      </c>
      <c r="D39" s="1545" t="e">
        <f>VLOOKUP(C39,'Mã số NV'!$B$6:$D$53,3,0)</f>
        <v>#N/A</v>
      </c>
      <c r="E39" s="1546" t="s">
        <v>40</v>
      </c>
      <c r="F39" s="1546"/>
      <c r="G39" s="1547"/>
      <c r="H39" s="1548">
        <f t="shared" si="2"/>
        <v>0</v>
      </c>
      <c r="I39" s="1548">
        <f>+VLOOKUP(C39,'Tong hop cong'!C38:S38,17,0)</f>
        <v>48</v>
      </c>
      <c r="J39" s="1549">
        <f>+VLOOKUP(C39,'Tong hop cong'!$C$13:$U$49,19,0)</f>
        <v>26.027016781836124</v>
      </c>
      <c r="K39" s="1550" t="str">
        <f>VLOOKUP(C39,'Tong hop cong'!C38:AA38,25,0)</f>
        <v>B</v>
      </c>
      <c r="L39" s="1551">
        <f t="shared" si="0"/>
        <v>97548</v>
      </c>
      <c r="M39" s="1549">
        <f>+VLOOKUP(C39,'Tong hop cong'!C38:V38,20,0)</f>
        <v>13</v>
      </c>
      <c r="N39" s="1549">
        <f>+VLOOKUP(C39,'Tong hop cong'!C38:W38,21,0)</f>
        <v>3</v>
      </c>
      <c r="O39" s="1549">
        <f>+VLOOKUP(C39,'Tong hop cong'!C38:X38,22,0)</f>
        <v>0</v>
      </c>
      <c r="P39" s="1549">
        <f>+VLOOKUP(C39,'Tong hop cong'!C38:Y38,23,0)</f>
        <v>0</v>
      </c>
      <c r="Q39" s="1549">
        <f t="shared" si="3"/>
        <v>16</v>
      </c>
      <c r="R39" s="1549">
        <v>20</v>
      </c>
      <c r="S39" s="1551">
        <f>ROUND((((M39*(46.1*$H$9))+(N39*(76.9*$H$9))+(O39*(76.8*$H$9))+(P39*(107.6*$H$9)))+Q39*$Y$12),0)+R39*25000</f>
        <v>1364314</v>
      </c>
      <c r="T39" s="1551">
        <f t="shared" si="1"/>
        <v>1461862</v>
      </c>
      <c r="U39" s="1552">
        <f t="shared" si="4"/>
        <v>1461862</v>
      </c>
      <c r="W39" s="3626">
        <f t="shared" si="9"/>
        <v>97548.05</v>
      </c>
      <c r="X39" s="3620">
        <f t="shared" si="5"/>
        <v>97548</v>
      </c>
      <c r="Z39" s="3622">
        <f t="shared" si="8"/>
        <v>97548</v>
      </c>
    </row>
    <row r="40" spans="1:26" s="1539" customFormat="1" ht="32.25" customHeight="1">
      <c r="A40" s="1543">
        <v>27</v>
      </c>
      <c r="B40" s="1553"/>
      <c r="C40" s="2037" t="str">
        <f>'Chấm công công nhân'!L39</f>
        <v>Thảo Tong</v>
      </c>
      <c r="D40" s="1545"/>
      <c r="E40" s="1546" t="s">
        <v>40</v>
      </c>
      <c r="F40" s="1546"/>
      <c r="G40" s="1547"/>
      <c r="H40" s="1548">
        <f t="shared" si="2"/>
        <v>0</v>
      </c>
      <c r="I40" s="1548">
        <f>+VLOOKUP(C40,'Tong hop cong'!C39:S39,17,0)</f>
        <v>118</v>
      </c>
      <c r="J40" s="1549">
        <f>+VLOOKUP(C40,'Tong hop cong'!$C$13:$U$49,19,0)</f>
        <v>63.9830829220138</v>
      </c>
      <c r="K40" s="1550" t="str">
        <f>VLOOKUP(C40,'Tong hop cong'!C39:AA39,25,0)</f>
        <v>B</v>
      </c>
      <c r="L40" s="1551">
        <f t="shared" si="0"/>
        <v>239806</v>
      </c>
      <c r="M40" s="1549">
        <f>+VLOOKUP(C40,'Tong hop cong'!C39:V39,20,0)</f>
        <v>14</v>
      </c>
      <c r="N40" s="1549">
        <f>+VLOOKUP(C40,'Tong hop cong'!C39:W39,21,0)</f>
        <v>3</v>
      </c>
      <c r="O40" s="1549">
        <f>+VLOOKUP(C40,'Tong hop cong'!C39:X39,22,0)</f>
        <v>0</v>
      </c>
      <c r="P40" s="1549">
        <f>+VLOOKUP(C40,'Tong hop cong'!C39:Y39,23,0)</f>
        <v>0</v>
      </c>
      <c r="Q40" s="1549">
        <f t="shared" si="3"/>
        <v>17</v>
      </c>
      <c r="R40" s="1549">
        <v>20</v>
      </c>
      <c r="S40" s="1551">
        <f t="shared" si="6"/>
        <v>1414546</v>
      </c>
      <c r="T40" s="1551">
        <f t="shared" si="1"/>
        <v>1654352</v>
      </c>
      <c r="U40" s="1552">
        <f t="shared" si="4"/>
        <v>1654352</v>
      </c>
      <c r="W40" s="3626">
        <f t="shared" si="9"/>
        <v>239806.05</v>
      </c>
      <c r="X40" s="3620">
        <f t="shared" si="5"/>
        <v>239806</v>
      </c>
      <c r="Z40" s="3622">
        <f t="shared" si="8"/>
        <v>239806</v>
      </c>
    </row>
    <row r="41" spans="1:26" s="1539" customFormat="1" ht="32.25" customHeight="1">
      <c r="A41" s="1543">
        <v>28</v>
      </c>
      <c r="B41" s="1553" t="s">
        <v>464</v>
      </c>
      <c r="C41" s="2037" t="str">
        <f>'Chấm công công nhân'!L40</f>
        <v>Thảo Khốc</v>
      </c>
      <c r="D41" s="1545" t="e">
        <f>VLOOKUP(C41,'Mã số NV'!$B$6:$D$53,3,0)</f>
        <v>#N/A</v>
      </c>
      <c r="E41" s="1546" t="s">
        <v>40</v>
      </c>
      <c r="F41" s="1546"/>
      <c r="G41" s="1547"/>
      <c r="H41" s="1548">
        <f t="shared" si="2"/>
        <v>0</v>
      </c>
      <c r="I41" s="1548">
        <f>+VLOOKUP(C41,'Tong hop cong'!C40:S40,17,0)</f>
        <v>427</v>
      </c>
      <c r="J41" s="1549">
        <f>+VLOOKUP(C41,'Tong hop cong'!$C$13:$U$49,19,0)</f>
        <v>231.53200345508384</v>
      </c>
      <c r="K41" s="1550" t="str">
        <f>VLOOKUP(C41,'Tong hop cong'!C40:AA40,25,0)</f>
        <v>A</v>
      </c>
      <c r="L41" s="1551">
        <f t="shared" si="0"/>
        <v>912657</v>
      </c>
      <c r="M41" s="1549">
        <f>+VLOOKUP(C41,'Tong hop cong'!C40:V40,20,0)</f>
        <v>19</v>
      </c>
      <c r="N41" s="1549">
        <f>+VLOOKUP(C41,'Tong hop cong'!C40:W40,21,0)</f>
        <v>3</v>
      </c>
      <c r="O41" s="1549">
        <f>+VLOOKUP(C41,'Tong hop cong'!C40:X40,22,0)</f>
        <v>0</v>
      </c>
      <c r="P41" s="1549">
        <f>+VLOOKUP(C41,'Tong hop cong'!C40:Y40,23,0)</f>
        <v>0</v>
      </c>
      <c r="Q41" s="1549">
        <f t="shared" si="3"/>
        <v>22</v>
      </c>
      <c r="R41" s="1549">
        <v>20</v>
      </c>
      <c r="S41" s="1551">
        <f t="shared" si="6"/>
        <v>1665708</v>
      </c>
      <c r="T41" s="1551">
        <f t="shared" si="1"/>
        <v>2578365</v>
      </c>
      <c r="U41" s="1552">
        <f t="shared" si="4"/>
        <v>2578365</v>
      </c>
      <c r="W41" s="3626">
        <f t="shared" si="9"/>
        <v>912657.05</v>
      </c>
      <c r="X41" s="3620">
        <f t="shared" si="5"/>
        <v>912657</v>
      </c>
      <c r="Z41" s="3622">
        <f t="shared" si="8"/>
        <v>912657</v>
      </c>
    </row>
    <row r="42" spans="1:26" s="1539" customFormat="1" ht="32.25" customHeight="1">
      <c r="A42" s="1543">
        <v>29</v>
      </c>
      <c r="B42" s="1553"/>
      <c r="C42" s="2037" t="str">
        <f>'Chấm công công nhân'!L41</f>
        <v>Thảo Sợt</v>
      </c>
      <c r="D42" s="1545"/>
      <c r="E42" s="1546" t="s">
        <v>40</v>
      </c>
      <c r="F42" s="1546"/>
      <c r="G42" s="1547"/>
      <c r="H42" s="1548">
        <f t="shared" si="2"/>
        <v>0</v>
      </c>
      <c r="I42" s="1548">
        <f>+VLOOKUP(C42,'Tong hop cong'!C41:S41,17,0)</f>
        <v>430</v>
      </c>
      <c r="J42" s="1549">
        <f>+VLOOKUP(C42,'Tong hop cong'!$C$13:$U$49,19,0)</f>
        <v>233.1586920039486</v>
      </c>
      <c r="K42" s="1550" t="str">
        <f>VLOOKUP(C42,'Tong hop cong'!C41:AA41,25,0)</f>
        <v>B</v>
      </c>
      <c r="L42" s="1551">
        <f t="shared" si="0"/>
        <v>873869</v>
      </c>
      <c r="M42" s="1549">
        <f>+VLOOKUP(C42,'Tong hop cong'!C41:V41,20,0)</f>
        <v>19</v>
      </c>
      <c r="N42" s="1549">
        <f>+VLOOKUP(C42,'Tong hop cong'!C41:W41,21,0)</f>
        <v>3</v>
      </c>
      <c r="O42" s="1549">
        <f>+VLOOKUP(C42,'Tong hop cong'!C41:X41,22,0)</f>
        <v>0</v>
      </c>
      <c r="P42" s="1549">
        <f>+VLOOKUP(C42,'Tong hop cong'!C41:Y41,23,0)</f>
        <v>0</v>
      </c>
      <c r="Q42" s="1549">
        <f t="shared" si="3"/>
        <v>22</v>
      </c>
      <c r="R42" s="1549">
        <v>20</v>
      </c>
      <c r="S42" s="1551">
        <f>ROUND((((M42*(46.1*$H$9))+(N42*(76.9*$H$9))+(O42*(76.8*$H$9))+(P42*(107.6*$H$9)))+Q42*$Y$12),0)+R42*25000</f>
        <v>1665708</v>
      </c>
      <c r="T42" s="1551">
        <f t="shared" si="1"/>
        <v>2539577</v>
      </c>
      <c r="U42" s="1552">
        <f t="shared" si="4"/>
        <v>2539577</v>
      </c>
      <c r="W42" s="3626">
        <f t="shared" si="9"/>
        <v>873869.05</v>
      </c>
      <c r="X42" s="3620">
        <f t="shared" si="5"/>
        <v>873869</v>
      </c>
      <c r="Z42" s="3622">
        <f t="shared" si="8"/>
        <v>873869</v>
      </c>
    </row>
    <row r="43" spans="1:26" s="1539" customFormat="1" ht="32.25" customHeight="1">
      <c r="A43" s="1543">
        <v>30</v>
      </c>
      <c r="B43" s="1553" t="s">
        <v>454</v>
      </c>
      <c r="C43" s="2037" t="str">
        <f>'Chấm công công nhân'!L42</f>
        <v>Thảo Văn</v>
      </c>
      <c r="D43" s="1545" t="str">
        <f>VLOOKUP(C43,'Mã số NV'!$B$6:$D$53,3,0)</f>
        <v>01903</v>
      </c>
      <c r="E43" s="1546" t="s">
        <v>40</v>
      </c>
      <c r="F43" s="1546"/>
      <c r="G43" s="1547"/>
      <c r="H43" s="1548">
        <f t="shared" si="2"/>
        <v>0</v>
      </c>
      <c r="I43" s="1548">
        <f>+VLOOKUP(C43,'Tong hop cong'!C42:S42,17,0)</f>
        <v>0</v>
      </c>
      <c r="J43" s="1549">
        <f>+VLOOKUP(C43,'Tong hop cong'!$C$13:$U$49,19,0)</f>
        <v>0</v>
      </c>
      <c r="K43" s="1550" t="str">
        <f>VLOOKUP(C43,'Tong hop cong'!C42:AA42,25,0)</f>
        <v>C</v>
      </c>
      <c r="L43" s="1551">
        <f t="shared" si="0"/>
        <v>0</v>
      </c>
      <c r="M43" s="1549">
        <f>+VLOOKUP(C43,'Tong hop cong'!C42:V42,20,0)</f>
        <v>13</v>
      </c>
      <c r="N43" s="1549">
        <f>+VLOOKUP(C43,'Tong hop cong'!C42:W42,21,0)</f>
        <v>2</v>
      </c>
      <c r="O43" s="1549">
        <f>+VLOOKUP(C43,'Tong hop cong'!C42:X42,22,0)</f>
        <v>0</v>
      </c>
      <c r="P43" s="1549">
        <f>+VLOOKUP(C43,'Tong hop cong'!C42:Y42,23,0)</f>
        <v>0</v>
      </c>
      <c r="Q43" s="1549">
        <f t="shared" si="3"/>
        <v>15</v>
      </c>
      <c r="R43" s="1549">
        <v>20</v>
      </c>
      <c r="S43" s="1551">
        <f t="shared" si="6"/>
        <v>1293883</v>
      </c>
      <c r="T43" s="1551">
        <f t="shared" si="1"/>
        <v>1293883</v>
      </c>
      <c r="U43" s="1552">
        <f t="shared" si="4"/>
        <v>1293883</v>
      </c>
      <c r="W43" s="3626">
        <f t="shared" si="9"/>
        <v>0.05</v>
      </c>
      <c r="X43" s="3620">
        <f t="shared" si="5"/>
        <v>0</v>
      </c>
      <c r="Z43" s="3622">
        <f t="shared" si="8"/>
        <v>0</v>
      </c>
    </row>
    <row r="44" spans="1:26" s="1539" customFormat="1" ht="32.25" customHeight="1">
      <c r="A44" s="1543">
        <v>31</v>
      </c>
      <c r="B44" s="1553"/>
      <c r="C44" s="2037" t="str">
        <f>'Chấm công công nhân'!L43</f>
        <v>Nàng Túc</v>
      </c>
      <c r="D44" s="1545"/>
      <c r="E44" s="1546" t="s">
        <v>40</v>
      </c>
      <c r="F44" s="1546"/>
      <c r="G44" s="1547"/>
      <c r="H44" s="1548">
        <f t="shared" si="2"/>
        <v>0</v>
      </c>
      <c r="I44" s="1548">
        <f>+VLOOKUP(C44,'Tong hop cong'!C43:S43,17,0)</f>
        <v>209</v>
      </c>
      <c r="J44" s="1549">
        <f>+VLOOKUP(C44,'Tong hop cong'!$C$13:$U$49,19,0)</f>
        <v>113.32596890424479</v>
      </c>
      <c r="K44" s="1550" t="str">
        <f>VLOOKUP(C44,'Tong hop cong'!C43:AA43,25,0)</f>
        <v>A</v>
      </c>
      <c r="L44" s="1551">
        <f t="shared" si="0"/>
        <v>446711</v>
      </c>
      <c r="M44" s="1549">
        <f>+VLOOKUP(C44,'Tong hop cong'!C43:V43,20,0)</f>
        <v>14</v>
      </c>
      <c r="N44" s="1549">
        <f>+VLOOKUP(C44,'Tong hop cong'!C43:W43,21,0)</f>
        <v>3</v>
      </c>
      <c r="O44" s="1549">
        <f>+VLOOKUP(C44,'Tong hop cong'!C43:X43,22,0)</f>
        <v>0</v>
      </c>
      <c r="P44" s="1549">
        <f>+VLOOKUP(C44,'Tong hop cong'!C43:Y43,23,0)</f>
        <v>0</v>
      </c>
      <c r="Q44" s="1549">
        <f t="shared" si="3"/>
        <v>17</v>
      </c>
      <c r="R44" s="1549">
        <v>20</v>
      </c>
      <c r="S44" s="1551">
        <f t="shared" si="6"/>
        <v>1414546</v>
      </c>
      <c r="T44" s="1551">
        <f t="shared" si="1"/>
        <v>1861257</v>
      </c>
      <c r="U44" s="1552">
        <f t="shared" si="4"/>
        <v>1861257</v>
      </c>
      <c r="W44" s="3626">
        <f t="shared" si="9"/>
        <v>446711.05</v>
      </c>
      <c r="X44" s="3620">
        <f t="shared" si="5"/>
        <v>446711</v>
      </c>
      <c r="Z44" s="3622">
        <f t="shared" si="8"/>
        <v>446711</v>
      </c>
    </row>
    <row r="45" spans="1:26" s="1539" customFormat="1" ht="32.25" customHeight="1">
      <c r="A45" s="1543">
        <v>32</v>
      </c>
      <c r="B45" s="1553" t="s">
        <v>464</v>
      </c>
      <c r="C45" s="2037" t="str">
        <f>'Chấm công công nhân'!L44</f>
        <v>Nàng Chon</v>
      </c>
      <c r="D45" s="1545" t="e">
        <f>VLOOKUP(C45,'Mã số NV'!$B$6:$D$53,3,0)</f>
        <v>#N/A</v>
      </c>
      <c r="E45" s="1546" t="s">
        <v>40</v>
      </c>
      <c r="F45" s="1546"/>
      <c r="G45" s="1547"/>
      <c r="H45" s="1548">
        <f t="shared" si="2"/>
        <v>0</v>
      </c>
      <c r="I45" s="1548">
        <f>+VLOOKUP(C45,'Tong hop cong'!C44:S44,17,0)</f>
        <v>306</v>
      </c>
      <c r="J45" s="1549">
        <f>+VLOOKUP(C45,'Tong hop cong'!$C$13:$U$49,19,0)</f>
        <v>165.92223198420527</v>
      </c>
      <c r="K45" s="1550" t="str">
        <f>VLOOKUP(C45,'Tong hop cong'!C44:AA44,25,0)</f>
        <v>B</v>
      </c>
      <c r="L45" s="1551">
        <f t="shared" si="0"/>
        <v>621870</v>
      </c>
      <c r="M45" s="1549">
        <f>+VLOOKUP(C45,'Tong hop cong'!C44:V44,20,0)</f>
        <v>18</v>
      </c>
      <c r="N45" s="1549">
        <f>+VLOOKUP(C45,'Tong hop cong'!C44:W44,21,0)</f>
        <v>4</v>
      </c>
      <c r="O45" s="1549">
        <f>+VLOOKUP(C45,'Tong hop cong'!C44:X44,22,0)</f>
        <v>0</v>
      </c>
      <c r="P45" s="1549">
        <f>+VLOOKUP(C45,'Tong hop cong'!C44:Y44,23,0)</f>
        <v>0</v>
      </c>
      <c r="Q45" s="1549">
        <f t="shared" si="3"/>
        <v>22</v>
      </c>
      <c r="R45" s="1549">
        <v>20</v>
      </c>
      <c r="S45" s="1551">
        <f>ROUND((((M45*(46.1*$H$9))+(N45*(76.9*$H$9))+(O45*(76.8*$H$9))+(P45*(107.6*$H$9)))+Q45*$Y$12),0)+R45*25000</f>
        <v>1685907</v>
      </c>
      <c r="T45" s="1551">
        <f t="shared" si="1"/>
        <v>2307777</v>
      </c>
      <c r="U45" s="1552">
        <f t="shared" si="4"/>
        <v>2307777</v>
      </c>
      <c r="W45" s="3626">
        <f t="shared" si="9"/>
        <v>621870.05000000005</v>
      </c>
      <c r="X45" s="3620">
        <f t="shared" si="5"/>
        <v>621870</v>
      </c>
      <c r="Z45" s="3622">
        <f t="shared" si="8"/>
        <v>621870</v>
      </c>
    </row>
    <row r="46" spans="1:26" s="1539" customFormat="1" ht="32.25" customHeight="1">
      <c r="A46" s="1543">
        <v>33</v>
      </c>
      <c r="B46" s="1553"/>
      <c r="C46" s="2037" t="str">
        <f>'Chấm công công nhân'!L45</f>
        <v>Thảo Hơ Phơ</v>
      </c>
      <c r="D46" s="1545"/>
      <c r="E46" s="1546" t="s">
        <v>1139</v>
      </c>
      <c r="F46" s="1546"/>
      <c r="G46" s="1547"/>
      <c r="H46" s="1548">
        <f t="shared" si="2"/>
        <v>0</v>
      </c>
      <c r="I46" s="1548">
        <f>+VLOOKUP(C46,'Tong hop cong'!C45:S45,17,0)</f>
        <v>307</v>
      </c>
      <c r="J46" s="1549">
        <f>+VLOOKUP(C46,'Tong hop cong'!$C$13:$U$49,19,0)</f>
        <v>166.46446150049351</v>
      </c>
      <c r="K46" s="1550" t="str">
        <f>VLOOKUP(C46,'Tong hop cong'!C45:AA45,25,0)</f>
        <v>A</v>
      </c>
      <c r="L46" s="1551">
        <f t="shared" si="0"/>
        <v>656173</v>
      </c>
      <c r="M46" s="1549">
        <f>+VLOOKUP(C46,'Tong hop cong'!C45:V45,20,0)</f>
        <v>17</v>
      </c>
      <c r="N46" s="1549">
        <f>+VLOOKUP(C46,'Tong hop cong'!C45:W45,21,0)</f>
        <v>3</v>
      </c>
      <c r="O46" s="1549">
        <f>+VLOOKUP(C46,'Tong hop cong'!C45:X45,22,0)</f>
        <v>0</v>
      </c>
      <c r="P46" s="1549">
        <f>+VLOOKUP(C46,'Tong hop cong'!C45:Y45,23,0)</f>
        <v>0</v>
      </c>
      <c r="Q46" s="1549">
        <f t="shared" si="3"/>
        <v>20</v>
      </c>
      <c r="R46" s="1549">
        <v>20</v>
      </c>
      <c r="S46" s="1551">
        <f t="shared" si="6"/>
        <v>1565244</v>
      </c>
      <c r="T46" s="1551">
        <f t="shared" si="1"/>
        <v>2221417</v>
      </c>
      <c r="U46" s="1552">
        <f t="shared" si="4"/>
        <v>2221417</v>
      </c>
      <c r="W46" s="3626">
        <f t="shared" si="9"/>
        <v>656173.05000000005</v>
      </c>
      <c r="X46" s="3620">
        <f t="shared" si="5"/>
        <v>656173</v>
      </c>
      <c r="Z46" s="3622">
        <f t="shared" si="8"/>
        <v>656173</v>
      </c>
    </row>
    <row r="47" spans="1:26" s="1539" customFormat="1" ht="32.25" customHeight="1">
      <c r="A47" s="1543">
        <v>34</v>
      </c>
      <c r="B47" s="1553"/>
      <c r="C47" s="2037" t="str">
        <f>'Chấm công công nhân'!L46</f>
        <v>Thảo Phét</v>
      </c>
      <c r="D47" s="1545"/>
      <c r="E47" s="1546"/>
      <c r="F47" s="1546"/>
      <c r="G47" s="1547"/>
      <c r="H47" s="1548">
        <f t="shared" si="2"/>
        <v>0</v>
      </c>
      <c r="I47" s="1548">
        <f>+VLOOKUP(C47,'Tong hop cong'!C46:S46,17,0)</f>
        <v>311</v>
      </c>
      <c r="J47" s="1549">
        <f>+VLOOKUP(C47,'Tong hop cong'!$C$13:$U$49,19,0)</f>
        <v>168.63337956564655</v>
      </c>
      <c r="K47" s="1550" t="str">
        <f>VLOOKUP(C47,'Tong hop cong'!C46:AA46,25,0)</f>
        <v>A</v>
      </c>
      <c r="L47" s="1551">
        <f t="shared" si="0"/>
        <v>664722</v>
      </c>
      <c r="M47" s="1549">
        <f>+VLOOKUP(C47,'Tong hop cong'!C46:V46,20,0)</f>
        <v>20</v>
      </c>
      <c r="N47" s="1549">
        <f>+VLOOKUP(C47,'Tong hop cong'!C46:W46,21,0)</f>
        <v>3</v>
      </c>
      <c r="O47" s="1549">
        <f>+VLOOKUP(C47,'Tong hop cong'!C46:X46,22,0)</f>
        <v>0</v>
      </c>
      <c r="P47" s="1549">
        <f>+VLOOKUP(C47,'Tong hop cong'!C46:Y46,23,0)</f>
        <v>0</v>
      </c>
      <c r="Q47" s="1549">
        <f t="shared" si="3"/>
        <v>23</v>
      </c>
      <c r="R47" s="1549">
        <v>20</v>
      </c>
      <c r="S47" s="1551">
        <f>ROUND((((M47*(46.1*$H$9))+(N47*(76.9*$H$9))+(O47*(76.8*$H$9))+(P47*(107.6*$H$9)))+Q47*$Y$12),0)+R47*25000</f>
        <v>1715941</v>
      </c>
      <c r="T47" s="1551">
        <f t="shared" si="1"/>
        <v>2380663</v>
      </c>
      <c r="U47" s="1552">
        <f t="shared" si="4"/>
        <v>2380663</v>
      </c>
      <c r="W47" s="3626">
        <f t="shared" si="9"/>
        <v>664722.05000000005</v>
      </c>
      <c r="X47" s="3620">
        <f t="shared" si="5"/>
        <v>664722</v>
      </c>
      <c r="Z47" s="3622">
        <f t="shared" si="8"/>
        <v>664722</v>
      </c>
    </row>
    <row r="48" spans="1:26" s="1539" customFormat="1" ht="32.25" customHeight="1">
      <c r="A48" s="1543">
        <v>35</v>
      </c>
      <c r="B48" s="1553"/>
      <c r="C48" s="2037" t="str">
        <f>'Chấm công công nhân'!L47</f>
        <v>Hăn</v>
      </c>
      <c r="D48" s="1545"/>
      <c r="E48" s="1546"/>
      <c r="F48" s="1546"/>
      <c r="G48" s="1547"/>
      <c r="H48" s="1548">
        <f t="shared" si="2"/>
        <v>0</v>
      </c>
      <c r="I48" s="1548">
        <f>+VLOOKUP(C48,'Tong hop cong'!C47:S47,17,0)</f>
        <v>47</v>
      </c>
      <c r="J48" s="1549">
        <f>+VLOOKUP(C48,'Tong hop cong'!$C$13:$U$49,19,0)</f>
        <v>25.484787265547869</v>
      </c>
      <c r="K48" s="1550" t="str">
        <f>VLOOKUP(C48,'Tong hop cong'!C47:AA47,25,0)</f>
        <v>A</v>
      </c>
      <c r="L48" s="1551">
        <f t="shared" si="0"/>
        <v>100456</v>
      </c>
      <c r="M48" s="1549">
        <f>+VLOOKUP(C48,'Tong hop cong'!C47:V47,20,0)</f>
        <v>17</v>
      </c>
      <c r="N48" s="1549">
        <f>+VLOOKUP(C48,'Tong hop cong'!C47:W47,21,0)</f>
        <v>3</v>
      </c>
      <c r="O48" s="1549">
        <f>+VLOOKUP(C48,'Tong hop cong'!C47:X47,22,0)</f>
        <v>0</v>
      </c>
      <c r="P48" s="1549">
        <f>+VLOOKUP(C48,'Tong hop cong'!C47:Y47,23,0)</f>
        <v>0</v>
      </c>
      <c r="Q48" s="1549">
        <f t="shared" si="3"/>
        <v>20</v>
      </c>
      <c r="R48" s="1549">
        <v>20</v>
      </c>
      <c r="S48" s="1551">
        <f t="shared" si="6"/>
        <v>1565244</v>
      </c>
      <c r="T48" s="1551">
        <f t="shared" si="1"/>
        <v>1665700</v>
      </c>
      <c r="U48" s="1552">
        <f t="shared" si="4"/>
        <v>1665700</v>
      </c>
      <c r="W48" s="3626">
        <f t="shared" si="9"/>
        <v>100456.05</v>
      </c>
      <c r="X48" s="3620">
        <f t="shared" si="5"/>
        <v>100456</v>
      </c>
      <c r="Z48" s="3622">
        <f t="shared" si="8"/>
        <v>100456</v>
      </c>
    </row>
    <row r="49" spans="1:26" s="1539" customFormat="1" ht="32.25" customHeight="1">
      <c r="A49" s="1543">
        <v>36</v>
      </c>
      <c r="B49" s="1553"/>
      <c r="C49" s="2037" t="str">
        <f>'Chấm công công nhân'!L48</f>
        <v>Thảo Tuỳ</v>
      </c>
      <c r="D49" s="1545"/>
      <c r="E49" s="1546"/>
      <c r="F49" s="1546"/>
      <c r="G49" s="1547"/>
      <c r="H49" s="1548">
        <f t="shared" si="2"/>
        <v>0</v>
      </c>
      <c r="I49" s="1548">
        <f>+VLOOKUP(C49,'Tong hop cong'!C48:S48,17,0)</f>
        <v>348</v>
      </c>
      <c r="J49" s="1549">
        <f>+VLOOKUP(C49,'Tong hop cong'!$C$13:$U$49,19,0)</f>
        <v>188.6958716683119</v>
      </c>
      <c r="K49" s="1550" t="str">
        <f>VLOOKUP(C49,'Tong hop cong'!C48:AA48,25,0)</f>
        <v>A</v>
      </c>
      <c r="L49" s="1551">
        <f t="shared" si="0"/>
        <v>743805</v>
      </c>
      <c r="M49" s="1549">
        <f>+VLOOKUP(C49,'Tong hop cong'!C48:V48,20,0)</f>
        <v>19</v>
      </c>
      <c r="N49" s="1549">
        <f>+VLOOKUP(C49,'Tong hop cong'!C48:W48,21,0)</f>
        <v>4</v>
      </c>
      <c r="O49" s="1549">
        <f>+VLOOKUP(C49,'Tong hop cong'!C48:X48,22,0)</f>
        <v>0</v>
      </c>
      <c r="P49" s="1549">
        <f>+VLOOKUP(C49,'Tong hop cong'!C48:Y48,23,0)</f>
        <v>0</v>
      </c>
      <c r="Q49" s="1549">
        <f t="shared" si="3"/>
        <v>23</v>
      </c>
      <c r="R49" s="1549">
        <v>20</v>
      </c>
      <c r="S49" s="1551">
        <f>ROUND((((M49*(46.1*$H$9))+(N49*(76.9*$H$9))+(O49*(76.8*$H$9))+(P49*(107.6*$H$9)))+Q49*$Y$12),0)+R49*25000</f>
        <v>1736139</v>
      </c>
      <c r="T49" s="1551">
        <f t="shared" si="1"/>
        <v>2479944</v>
      </c>
      <c r="U49" s="1552">
        <f t="shared" si="4"/>
        <v>2479944</v>
      </c>
      <c r="W49" s="3626">
        <f t="shared" si="9"/>
        <v>743805.05</v>
      </c>
      <c r="X49" s="3620">
        <f t="shared" si="5"/>
        <v>743805</v>
      </c>
      <c r="Z49" s="3622">
        <f t="shared" si="8"/>
        <v>743805</v>
      </c>
    </row>
    <row r="50" spans="1:26" s="1539" customFormat="1" ht="32.25" customHeight="1">
      <c r="A50" s="1543">
        <v>37</v>
      </c>
      <c r="B50" s="1553"/>
      <c r="C50" s="2037" t="str">
        <f>'Chấm công công nhân'!L49</f>
        <v>Thảo Đa Văn</v>
      </c>
      <c r="D50" s="1545"/>
      <c r="E50" s="1546"/>
      <c r="F50" s="1546"/>
      <c r="G50" s="1547"/>
      <c r="H50" s="1548">
        <f t="shared" si="2"/>
        <v>0</v>
      </c>
      <c r="I50" s="1548">
        <f>+VLOOKUP(C50,'Tong hop cong'!C49:S49,17,0)</f>
        <v>0</v>
      </c>
      <c r="J50" s="1549">
        <f>+VLOOKUP(C50,'Tong hop cong'!$C$13:$U$49,19,0)</f>
        <v>0</v>
      </c>
      <c r="K50" s="1550" t="str">
        <f>VLOOKUP(C50,'Tong hop cong'!C49:AA49,25,0)</f>
        <v>B</v>
      </c>
      <c r="L50" s="1551">
        <f t="shared" si="0"/>
        <v>0</v>
      </c>
      <c r="M50" s="1549">
        <f>+VLOOKUP(C50,'Tong hop cong'!C49:V49,20,0)</f>
        <v>0</v>
      </c>
      <c r="N50" s="1549">
        <f>+VLOOKUP(C50,'Tong hop cong'!C49:W49,21,0)</f>
        <v>0</v>
      </c>
      <c r="O50" s="1549">
        <f>+VLOOKUP(C50,'Tong hop cong'!C49:X49,22,0)</f>
        <v>5</v>
      </c>
      <c r="P50" s="1549">
        <f>+VLOOKUP(C50,'Tong hop cong'!C49:Y49,23,0)</f>
        <v>1</v>
      </c>
      <c r="Q50" s="1549">
        <f t="shared" ref="Q50" si="10">SUM(M50:P50)</f>
        <v>6</v>
      </c>
      <c r="R50" s="1549">
        <v>20</v>
      </c>
      <c r="S50" s="1551">
        <f>ROUND((((M50*(46.1*$H$9))+(N50*(76.9*$H$9))+(O50*(76.8*$H$9))+(P50*(107.6*$H$9)))+Q50*$Y$12),0)+R50*25000</f>
        <v>942391</v>
      </c>
      <c r="T50" s="1551">
        <f t="shared" ref="T50" si="11">H50+L50+S50</f>
        <v>942391</v>
      </c>
      <c r="U50" s="1552">
        <f t="shared" ref="U50" si="12">T50</f>
        <v>942391</v>
      </c>
      <c r="W50" s="3626"/>
      <c r="X50" s="3620"/>
      <c r="Z50" s="3622"/>
    </row>
    <row r="51" spans="1:26" s="1539" customFormat="1" ht="32.25" hidden="1" customHeight="1">
      <c r="A51" s="3701">
        <v>38</v>
      </c>
      <c r="B51" s="3702"/>
      <c r="C51" s="3703" t="str">
        <f>'BẢNG LƯƠNG KT'!C54</f>
        <v>Thảo e</v>
      </c>
      <c r="D51" s="1545"/>
      <c r="E51" s="1546"/>
      <c r="F51" s="3368"/>
      <c r="G51" s="3367">
        <f>VLOOKUP(C51,'Tong hop cong'!C50:R50,16,0)</f>
        <v>0</v>
      </c>
      <c r="H51" s="1548">
        <f>ROUND((G51*25000),0)</f>
        <v>0</v>
      </c>
      <c r="I51" s="1548"/>
      <c r="J51" s="1549"/>
      <c r="K51" s="1550"/>
      <c r="L51" s="1551"/>
      <c r="M51" s="1549"/>
      <c r="N51" s="1549"/>
      <c r="O51" s="1549"/>
      <c r="P51" s="1549"/>
      <c r="Q51" s="1549"/>
      <c r="R51" s="1549"/>
      <c r="S51" s="1551"/>
      <c r="T51" s="1551"/>
      <c r="U51" s="1552"/>
    </row>
    <row r="52" spans="1:26" s="1542" customFormat="1" ht="32.25" customHeight="1">
      <c r="A52" s="4110" t="s">
        <v>688</v>
      </c>
      <c r="B52" s="4110"/>
      <c r="C52" s="4110"/>
      <c r="D52" s="4110"/>
      <c r="E52" s="4110"/>
      <c r="F52" s="2133"/>
      <c r="G52" s="2039">
        <f>SUM(G14:G51)</f>
        <v>0</v>
      </c>
      <c r="H52" s="2039">
        <f t="shared" ref="H52:T52" si="13">SUM(H14:H51)</f>
        <v>0</v>
      </c>
      <c r="I52" s="2039">
        <f t="shared" si="13"/>
        <v>6078</v>
      </c>
      <c r="J52" s="2039">
        <f t="shared" si="13"/>
        <v>3295.6709999999989</v>
      </c>
      <c r="K52" s="2039">
        <f t="shared" si="13"/>
        <v>0</v>
      </c>
      <c r="L52" s="2039">
        <f>SUM(L14:L51)</f>
        <v>12771771</v>
      </c>
      <c r="M52" s="2039">
        <f t="shared" si="13"/>
        <v>531</v>
      </c>
      <c r="N52" s="2039">
        <f t="shared" si="13"/>
        <v>108</v>
      </c>
      <c r="O52" s="2039">
        <f t="shared" si="13"/>
        <v>5</v>
      </c>
      <c r="P52" s="2039">
        <f t="shared" si="13"/>
        <v>1</v>
      </c>
      <c r="Q52" s="2039">
        <f t="shared" si="13"/>
        <v>645</v>
      </c>
      <c r="R52" s="2039">
        <f t="shared" si="13"/>
        <v>740</v>
      </c>
      <c r="S52" s="2039">
        <f t="shared" si="13"/>
        <v>53222332</v>
      </c>
      <c r="T52" s="2039">
        <f t="shared" si="13"/>
        <v>65994103</v>
      </c>
      <c r="U52" s="2039">
        <f>SUM(U14:U51)</f>
        <v>65994103</v>
      </c>
      <c r="V52" s="1541"/>
      <c r="W52" s="3619">
        <f>SUM(W14:W49)</f>
        <v>12771771.580000004</v>
      </c>
      <c r="X52" s="3619">
        <f>SUM(X14:X49)</f>
        <v>12771771</v>
      </c>
      <c r="Y52" s="3235"/>
    </row>
    <row r="53" spans="1:26" s="910" customFormat="1" ht="32.25" customHeight="1">
      <c r="A53" s="4102" t="s">
        <v>1917</v>
      </c>
      <c r="B53" s="4102"/>
      <c r="C53" s="4102"/>
      <c r="D53" s="4102"/>
      <c r="E53" s="4102"/>
      <c r="F53" s="4102"/>
      <c r="G53" s="4102"/>
      <c r="H53" s="4102"/>
      <c r="I53" s="4102"/>
      <c r="J53" s="4102"/>
      <c r="K53" s="4102"/>
      <c r="L53" s="4102"/>
      <c r="M53" s="4102"/>
      <c r="N53" s="4102"/>
      <c r="O53" s="4102"/>
      <c r="P53" s="4102"/>
      <c r="Q53" s="4102"/>
      <c r="R53" s="4102"/>
      <c r="S53" s="4102"/>
      <c r="T53" s="4102"/>
      <c r="U53" s="4102"/>
      <c r="Y53" s="2137"/>
    </row>
    <row r="54" spans="1:26" ht="32.25" customHeight="1">
      <c r="O54" s="1950"/>
      <c r="P54" s="1950"/>
      <c r="Q54" s="1950"/>
      <c r="R54" s="1950"/>
      <c r="S54" s="3938" t="s">
        <v>1915</v>
      </c>
      <c r="U54" s="1950"/>
      <c r="V54" s="925"/>
      <c r="W54" s="925"/>
      <c r="X54" s="925"/>
      <c r="Y54" s="925">
        <f>U52+'2'!U39+'3'!S33</f>
        <v>129103662</v>
      </c>
    </row>
    <row r="55" spans="1:26" s="1865" customFormat="1" ht="32.25" customHeight="1">
      <c r="F55" s="3937" t="s">
        <v>45</v>
      </c>
      <c r="I55" s="4106" t="s">
        <v>44</v>
      </c>
      <c r="J55" s="4106"/>
      <c r="K55" s="4106"/>
      <c r="L55" s="4106"/>
      <c r="M55" s="4106"/>
      <c r="N55" s="4106"/>
      <c r="O55" s="1332"/>
      <c r="P55" s="1332"/>
      <c r="Q55" s="1332"/>
      <c r="R55" s="1332"/>
      <c r="S55" s="3939" t="s">
        <v>1104</v>
      </c>
      <c r="U55" s="1332"/>
      <c r="W55" s="3375">
        <f>U52-U51</f>
        <v>65994103</v>
      </c>
    </row>
    <row r="56" spans="1:26" ht="32.25" customHeight="1">
      <c r="A56" s="909"/>
      <c r="C56" s="926"/>
      <c r="D56" s="926"/>
      <c r="G56" s="927"/>
      <c r="H56" s="928"/>
      <c r="I56" s="928"/>
      <c r="J56" s="912"/>
      <c r="K56" s="2031"/>
      <c r="L56" s="929"/>
      <c r="M56" s="926"/>
      <c r="N56" s="926"/>
      <c r="O56" s="926"/>
      <c r="P56" s="926"/>
      <c r="Q56" s="926"/>
      <c r="R56" s="926"/>
      <c r="S56" s="930"/>
    </row>
    <row r="57" spans="1:26" ht="32.25" customHeight="1">
      <c r="A57" s="909"/>
      <c r="C57" s="909"/>
      <c r="D57" s="909"/>
      <c r="G57" s="927"/>
      <c r="K57" s="2031"/>
      <c r="L57" s="926"/>
      <c r="N57" s="923"/>
      <c r="O57" s="925"/>
      <c r="P57" s="923"/>
      <c r="Q57" s="923"/>
      <c r="R57" s="923"/>
      <c r="S57" s="926"/>
    </row>
    <row r="58" spans="1:26" ht="32.25" customHeight="1">
      <c r="A58" s="909"/>
      <c r="C58" s="909"/>
      <c r="D58" s="909"/>
      <c r="E58" s="925"/>
      <c r="F58" s="925"/>
      <c r="G58" s="1968"/>
      <c r="K58" s="2031"/>
      <c r="L58" s="4085"/>
      <c r="M58" s="4085"/>
      <c r="S58" s="926"/>
      <c r="U58" s="2035"/>
    </row>
    <row r="59" spans="1:26" ht="32.25" customHeight="1">
      <c r="A59" s="909"/>
      <c r="C59" s="909"/>
      <c r="D59" s="909"/>
      <c r="E59" s="925"/>
      <c r="F59" s="925"/>
      <c r="G59" s="1968"/>
      <c r="K59" s="2031"/>
      <c r="L59" s="2035"/>
      <c r="M59" s="2035"/>
      <c r="O59" s="2035"/>
      <c r="U59" s="2035"/>
    </row>
    <row r="60" spans="1:26" ht="32.25" customHeight="1">
      <c r="A60" s="909"/>
      <c r="C60" s="909"/>
      <c r="D60" s="909"/>
      <c r="G60" s="1967"/>
      <c r="K60" s="2031"/>
      <c r="L60" s="909"/>
      <c r="M60" s="933"/>
      <c r="N60" s="4086"/>
      <c r="O60" s="4086"/>
      <c r="P60" s="4086"/>
      <c r="Q60" s="4086"/>
      <c r="R60" s="4086"/>
      <c r="S60" s="4086"/>
    </row>
    <row r="61" spans="1:26" ht="32.25" customHeight="1">
      <c r="A61" s="909"/>
      <c r="C61" s="909"/>
      <c r="D61" s="909"/>
      <c r="E61" s="934"/>
      <c r="F61" s="934"/>
      <c r="G61" s="1966"/>
      <c r="H61" s="1968"/>
      <c r="I61" s="1968"/>
      <c r="J61" s="4094"/>
      <c r="K61" s="4094"/>
      <c r="L61" s="4094"/>
      <c r="M61" s="4094"/>
      <c r="N61" s="4094"/>
      <c r="O61" s="4094"/>
      <c r="P61" s="4094"/>
      <c r="Q61" s="4094"/>
      <c r="R61" s="4094"/>
      <c r="S61" s="4094"/>
      <c r="T61" s="4094"/>
      <c r="U61" s="4094"/>
    </row>
    <row r="62" spans="1:26" s="935" customFormat="1" ht="32.25" customHeight="1">
      <c r="G62" s="1965"/>
      <c r="H62" s="936"/>
      <c r="I62" s="936"/>
      <c r="J62" s="937"/>
      <c r="K62" s="938"/>
      <c r="L62" s="939"/>
      <c r="M62" s="940"/>
      <c r="N62" s="940"/>
      <c r="O62" s="940"/>
      <c r="P62" s="940"/>
      <c r="Q62" s="940"/>
      <c r="R62" s="940"/>
    </row>
    <row r="63" spans="1:26" ht="32.25" customHeight="1">
      <c r="E63" s="941"/>
      <c r="F63" s="941"/>
      <c r="T63" s="925"/>
    </row>
    <row r="64" spans="1:26" ht="32.25" customHeight="1">
      <c r="A64" s="942"/>
      <c r="M64" s="912"/>
      <c r="N64" s="912"/>
      <c r="O64" s="912"/>
      <c r="P64" s="912"/>
      <c r="Q64" s="912"/>
      <c r="R64" s="912"/>
      <c r="S64" s="912"/>
      <c r="T64" s="2035"/>
    </row>
    <row r="65" spans="1:19" ht="32.25" customHeight="1">
      <c r="A65" s="943"/>
      <c r="N65" s="1968"/>
      <c r="P65" s="1968"/>
      <c r="Q65" s="1968"/>
      <c r="R65" s="1968"/>
      <c r="S65" s="925"/>
    </row>
    <row r="66" spans="1:19" ht="32.25" customHeight="1">
      <c r="A66" s="943"/>
      <c r="S66" s="941"/>
    </row>
    <row r="67" spans="1:19" ht="32.25" customHeight="1">
      <c r="L67" s="944"/>
    </row>
  </sheetData>
  <mergeCells count="27">
    <mergeCell ref="J61:M61"/>
    <mergeCell ref="N61:U61"/>
    <mergeCell ref="A52:E52"/>
    <mergeCell ref="L58:M58"/>
    <mergeCell ref="N60:S60"/>
    <mergeCell ref="A53:U53"/>
    <mergeCell ref="I55:N55"/>
    <mergeCell ref="T10:T12"/>
    <mergeCell ref="U10:U12"/>
    <mergeCell ref="G11:H11"/>
    <mergeCell ref="I11:L11"/>
    <mergeCell ref="M11:S11"/>
    <mergeCell ref="G10:S10"/>
    <mergeCell ref="A10:A12"/>
    <mergeCell ref="B10:C12"/>
    <mergeCell ref="D10:D12"/>
    <mergeCell ref="E10:E12"/>
    <mergeCell ref="F10:F12"/>
    <mergeCell ref="E9:G9"/>
    <mergeCell ref="A1:U1"/>
    <mergeCell ref="A2:U2"/>
    <mergeCell ref="A3:U3"/>
    <mergeCell ref="A4:G4"/>
    <mergeCell ref="A5:G5"/>
    <mergeCell ref="A7:U7"/>
    <mergeCell ref="E8:G8"/>
    <mergeCell ref="S9:U9"/>
  </mergeCells>
  <pageMargins left="0.43307086614173229" right="0.39370078740157483" top="0.43307086614173229" bottom="0.39370078740157483" header="0.31496062992125984" footer="0.31496062992125984"/>
  <pageSetup paperSize="9" scale="50" orientation="landscape" r:id="rId1"/>
  <colBreaks count="1" manualBreakCount="1">
    <brk id="2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4"/>
  <sheetViews>
    <sheetView topLeftCell="A30" zoomScale="70" zoomScaleNormal="70" workbookViewId="0">
      <selection activeCell="G19" sqref="G19:G37"/>
    </sheetView>
  </sheetViews>
  <sheetFormatPr defaultColWidth="9.25" defaultRowHeight="16.5"/>
  <cols>
    <col min="1" max="1" width="6.375" style="3294" customWidth="1"/>
    <col min="2" max="2" width="9.375" style="909" hidden="1" customWidth="1"/>
    <col min="3" max="3" width="18.25" style="915" customWidth="1"/>
    <col min="4" max="4" width="6.375" style="915" hidden="1" customWidth="1"/>
    <col min="5" max="5" width="8" style="909" hidden="1" customWidth="1"/>
    <col min="6" max="6" width="19.875" style="909" customWidth="1"/>
    <col min="7" max="7" width="11" style="911" customWidth="1"/>
    <col min="8" max="8" width="18.375" style="909" customWidth="1"/>
    <col min="9" max="9" width="13.875" style="909" customWidth="1"/>
    <col min="10" max="10" width="14.375" style="911" customWidth="1"/>
    <col min="11" max="11" width="7.875" style="3297" customWidth="1"/>
    <col min="12" max="12" width="15.125" style="912" customWidth="1"/>
    <col min="13" max="13" width="11.75" style="909" customWidth="1"/>
    <col min="14" max="14" width="11" style="909" customWidth="1"/>
    <col min="15" max="15" width="11.25" style="909" customWidth="1"/>
    <col min="16" max="16" width="11.875" style="909" customWidth="1"/>
    <col min="17" max="18" width="14" style="909" customWidth="1"/>
    <col min="19" max="19" width="16" style="909" customWidth="1"/>
    <col min="20" max="20" width="17.25" style="909" customWidth="1"/>
    <col min="21" max="21" width="17.875" style="909" customWidth="1"/>
    <col min="22" max="22" width="12.375" style="909" customWidth="1"/>
    <col min="23" max="23" width="17.25" style="909" hidden="1" customWidth="1"/>
    <col min="24" max="24" width="17.875" style="909" hidden="1" customWidth="1"/>
    <col min="25" max="25" width="17.125" style="909" hidden="1" customWidth="1"/>
    <col min="26" max="26" width="10.375" style="909" hidden="1" customWidth="1"/>
    <col min="27" max="27" width="0" style="909" hidden="1" customWidth="1"/>
    <col min="28" max="28" width="11.375" style="909" hidden="1" customWidth="1"/>
    <col min="29" max="29" width="15.375" style="909" hidden="1" customWidth="1"/>
    <col min="30" max="30" width="0" style="909" hidden="1" customWidth="1"/>
    <col min="31" max="16384" width="9.25" style="909"/>
  </cols>
  <sheetData>
    <row r="1" spans="1:29" ht="12.75" customHeight="1"/>
    <row r="2" spans="1:29" ht="9" customHeight="1"/>
    <row r="3" spans="1:29" ht="8.25" customHeight="1">
      <c r="A3" s="3293"/>
      <c r="B3" s="3293"/>
      <c r="C3" s="3293"/>
      <c r="D3" s="3293"/>
      <c r="E3" s="3293"/>
      <c r="F3" s="3293"/>
      <c r="G3" s="3293"/>
      <c r="H3" s="3293"/>
      <c r="I3" s="3293"/>
      <c r="J3" s="3293"/>
      <c r="K3" s="3293"/>
      <c r="L3" s="3293"/>
      <c r="M3" s="3293"/>
      <c r="N3" s="3293"/>
      <c r="O3" s="3293"/>
      <c r="P3" s="3293"/>
      <c r="Q3" s="3293"/>
      <c r="R3" s="3386"/>
      <c r="S3" s="3293"/>
      <c r="T3" s="3293"/>
      <c r="U3" s="3293"/>
    </row>
    <row r="4" spans="1:29" ht="21.75" customHeight="1">
      <c r="A4" s="4104" t="s">
        <v>165</v>
      </c>
      <c r="B4" s="4104"/>
      <c r="C4" s="4104"/>
      <c r="D4" s="4104"/>
      <c r="E4" s="4104"/>
      <c r="F4" s="4104"/>
      <c r="G4" s="4104"/>
      <c r="H4" s="4104"/>
      <c r="I4" s="4104"/>
      <c r="J4" s="4104"/>
      <c r="K4" s="4104"/>
      <c r="L4" s="4104"/>
      <c r="M4" s="4104"/>
      <c r="N4" s="4104"/>
      <c r="O4" s="4104"/>
      <c r="P4" s="4104"/>
      <c r="Q4" s="4104"/>
      <c r="R4" s="4104"/>
      <c r="S4" s="4104"/>
      <c r="T4" s="4104"/>
      <c r="U4" s="4104"/>
    </row>
    <row r="5" spans="1:29" ht="15.75" customHeight="1">
      <c r="A5" s="4104" t="s">
        <v>171</v>
      </c>
      <c r="B5" s="4104"/>
      <c r="C5" s="4104"/>
      <c r="D5" s="4104"/>
      <c r="E5" s="4104"/>
      <c r="F5" s="4104"/>
      <c r="G5" s="4104"/>
      <c r="H5" s="4104"/>
      <c r="I5" s="4104"/>
      <c r="J5" s="4104"/>
      <c r="K5" s="4104"/>
      <c r="L5" s="4104"/>
      <c r="M5" s="4104"/>
      <c r="N5" s="4104"/>
      <c r="O5" s="4104"/>
      <c r="P5" s="4104"/>
      <c r="Q5" s="4104"/>
      <c r="R5" s="4104"/>
      <c r="S5" s="4104"/>
      <c r="T5" s="4104"/>
      <c r="U5" s="4104"/>
    </row>
    <row r="6" spans="1:29" ht="12.75" customHeight="1">
      <c r="A6" s="4104" t="s">
        <v>726</v>
      </c>
      <c r="B6" s="4104"/>
      <c r="C6" s="4104"/>
      <c r="D6" s="4104"/>
      <c r="E6" s="4104"/>
      <c r="F6" s="4104"/>
      <c r="G6" s="4104"/>
      <c r="H6" s="4104"/>
      <c r="I6" s="4104"/>
      <c r="J6" s="4104"/>
      <c r="K6" s="4104"/>
      <c r="L6" s="4104"/>
      <c r="M6" s="4104"/>
      <c r="N6" s="4104"/>
      <c r="O6" s="4104"/>
      <c r="P6" s="4104"/>
      <c r="Q6" s="4104"/>
      <c r="R6" s="4104"/>
      <c r="S6" s="4104"/>
      <c r="T6" s="4104"/>
      <c r="U6" s="4104"/>
    </row>
    <row r="7" spans="1:29" ht="24.75" customHeight="1">
      <c r="A7" s="4105" t="s">
        <v>602</v>
      </c>
      <c r="B7" s="4105"/>
      <c r="C7" s="4105"/>
      <c r="D7" s="4105"/>
      <c r="E7" s="4105"/>
      <c r="F7" s="4105"/>
      <c r="G7" s="4105"/>
      <c r="H7" s="3293"/>
      <c r="I7" s="3293"/>
      <c r="J7" s="3293"/>
      <c r="K7" s="3293"/>
      <c r="L7" s="3293"/>
      <c r="M7" s="3293"/>
      <c r="N7" s="3293"/>
      <c r="O7" s="3293"/>
      <c r="P7" s="3293"/>
      <c r="Q7" s="3293"/>
      <c r="R7" s="3386"/>
      <c r="S7" s="3293"/>
      <c r="T7" s="3293"/>
      <c r="U7" s="3293"/>
      <c r="W7" s="3394">
        <v>43287281.6173997</v>
      </c>
    </row>
    <row r="8" spans="1:29" s="2004" customFormat="1" ht="21.75" customHeight="1">
      <c r="A8" s="4106" t="s">
        <v>541</v>
      </c>
      <c r="B8" s="4106"/>
      <c r="C8" s="4106"/>
      <c r="D8" s="4106"/>
      <c r="E8" s="4106"/>
      <c r="F8" s="4106"/>
      <c r="G8" s="4106"/>
      <c r="H8" s="3296"/>
      <c r="I8" s="3296"/>
      <c r="J8" s="3296"/>
      <c r="K8" s="3296"/>
      <c r="L8" s="3296"/>
      <c r="M8" s="3296"/>
      <c r="N8" s="3296"/>
      <c r="O8" s="3296"/>
      <c r="P8" s="3296"/>
      <c r="Q8" s="3296"/>
      <c r="R8" s="3388"/>
      <c r="S8" s="3296"/>
      <c r="T8" s="3296"/>
      <c r="U8" s="3296"/>
    </row>
    <row r="9" spans="1:29" ht="12.75" customHeight="1">
      <c r="A9" s="3293"/>
      <c r="B9" s="3293"/>
      <c r="C9" s="3293"/>
      <c r="D9" s="3293"/>
      <c r="E9" s="3293"/>
      <c r="F9" s="3293"/>
      <c r="G9" s="3293"/>
      <c r="H9" s="3293"/>
      <c r="I9" s="3293"/>
      <c r="J9" s="3293"/>
      <c r="K9" s="3293"/>
      <c r="L9" s="3293"/>
      <c r="M9" s="3293"/>
      <c r="N9" s="3293"/>
      <c r="O9" s="3293"/>
      <c r="P9" s="3293"/>
      <c r="Q9" s="3293"/>
      <c r="R9" s="3386"/>
      <c r="S9" s="3293"/>
      <c r="T9" s="3293"/>
      <c r="U9" s="3293"/>
    </row>
    <row r="10" spans="1:29" ht="3.75" customHeight="1">
      <c r="A10" s="3293"/>
      <c r="B10" s="3293"/>
      <c r="C10" s="3293"/>
      <c r="D10" s="3293"/>
      <c r="E10" s="3293"/>
      <c r="F10" s="3293"/>
      <c r="G10" s="3293"/>
      <c r="H10" s="3293"/>
      <c r="I10" s="3293"/>
      <c r="J10" s="3293"/>
      <c r="K10" s="3293"/>
      <c r="L10" s="3293"/>
      <c r="M10" s="3293"/>
      <c r="N10" s="3293"/>
      <c r="O10" s="3293"/>
      <c r="P10" s="3293"/>
      <c r="Q10" s="3293"/>
      <c r="R10" s="3386"/>
      <c r="S10" s="3293"/>
      <c r="T10" s="3293"/>
      <c r="U10" s="3293"/>
    </row>
    <row r="11" spans="1:29" ht="12.75" hidden="1" customHeight="1">
      <c r="A11" s="3293"/>
      <c r="B11" s="3293"/>
      <c r="C11" s="3293"/>
      <c r="D11" s="3293"/>
      <c r="E11" s="3293"/>
      <c r="F11" s="3293"/>
      <c r="G11" s="3293"/>
      <c r="H11" s="3293"/>
      <c r="I11" s="3293"/>
      <c r="J11" s="3293"/>
      <c r="K11" s="3293"/>
      <c r="L11" s="3293"/>
      <c r="M11" s="3293"/>
      <c r="N11" s="3293"/>
      <c r="O11" s="3293"/>
      <c r="P11" s="3293"/>
      <c r="Q11" s="3293"/>
      <c r="R11" s="3386"/>
      <c r="S11" s="3293"/>
      <c r="T11" s="3293"/>
      <c r="U11" s="3293"/>
    </row>
    <row r="12" spans="1:29" s="910" customFormat="1" ht="25.5" customHeight="1">
      <c r="A12" s="4107" t="s">
        <v>1813</v>
      </c>
      <c r="B12" s="4107"/>
      <c r="C12" s="4107"/>
      <c r="D12" s="4107"/>
      <c r="E12" s="4107"/>
      <c r="F12" s="4107"/>
      <c r="G12" s="4107"/>
      <c r="H12" s="4107"/>
      <c r="I12" s="4107"/>
      <c r="J12" s="4107"/>
      <c r="K12" s="4107"/>
      <c r="L12" s="4107"/>
      <c r="M12" s="4107"/>
      <c r="N12" s="4107"/>
      <c r="O12" s="4107"/>
      <c r="P12" s="4107"/>
      <c r="Q12" s="4107"/>
      <c r="R12" s="4107"/>
      <c r="S12" s="4107"/>
      <c r="T12" s="4107"/>
      <c r="U12" s="4107"/>
    </row>
    <row r="13" spans="1:29" s="910" customFormat="1" ht="21" customHeight="1">
      <c r="A13" s="1969"/>
      <c r="B13" s="1969"/>
      <c r="C13" s="1385"/>
      <c r="D13" s="1384"/>
      <c r="E13" s="4097"/>
      <c r="F13" s="4097"/>
      <c r="G13" s="4097"/>
      <c r="H13" s="1969"/>
      <c r="I13" s="1969"/>
      <c r="J13" s="1969"/>
      <c r="K13" s="1969"/>
      <c r="L13" s="1969"/>
      <c r="M13" s="1969"/>
      <c r="N13" s="1969"/>
      <c r="O13" s="1969"/>
      <c r="P13" s="1969"/>
      <c r="Q13" s="1969"/>
      <c r="R13" s="1969"/>
      <c r="S13" s="1969"/>
      <c r="T13" s="1969"/>
      <c r="U13" s="1969"/>
    </row>
    <row r="14" spans="1:29" ht="21" hidden="1" customHeight="1">
      <c r="C14" s="1385" t="s">
        <v>894</v>
      </c>
      <c r="D14" s="1386" t="s">
        <v>894</v>
      </c>
      <c r="E14" s="4066">
        <f>'1'!E9:G9</f>
        <v>646.20000000000005</v>
      </c>
      <c r="F14" s="4066"/>
      <c r="G14" s="4066"/>
      <c r="H14" s="917">
        <f>'BẢNG LƯƠNG KT'!H10</f>
        <v>655.8</v>
      </c>
      <c r="I14" s="917"/>
      <c r="J14" s="916"/>
      <c r="K14" s="918"/>
      <c r="L14" s="919"/>
      <c r="M14" s="920"/>
      <c r="N14" s="920"/>
      <c r="O14" s="920"/>
      <c r="P14" s="920"/>
      <c r="Q14" s="920"/>
      <c r="R14" s="920"/>
      <c r="S14" s="4044" t="s">
        <v>1154</v>
      </c>
      <c r="T14" s="4044"/>
      <c r="U14" s="4044"/>
    </row>
    <row r="15" spans="1:29" s="3295" customFormat="1" ht="21.75" customHeight="1">
      <c r="A15" s="4068" t="s">
        <v>1</v>
      </c>
      <c r="B15" s="4098" t="s">
        <v>20</v>
      </c>
      <c r="C15" s="4098"/>
      <c r="D15" s="4098" t="s">
        <v>239</v>
      </c>
      <c r="E15" s="4068" t="s">
        <v>26</v>
      </c>
      <c r="F15" s="4068" t="s">
        <v>9</v>
      </c>
      <c r="G15" s="4116" t="s">
        <v>27</v>
      </c>
      <c r="H15" s="4116"/>
      <c r="I15" s="4116"/>
      <c r="J15" s="4116"/>
      <c r="K15" s="4116"/>
      <c r="L15" s="4116"/>
      <c r="M15" s="4116"/>
      <c r="N15" s="4116"/>
      <c r="O15" s="4116"/>
      <c r="P15" s="4116"/>
      <c r="Q15" s="4116"/>
      <c r="R15" s="4116"/>
      <c r="S15" s="4116"/>
      <c r="T15" s="4079" t="s">
        <v>1162</v>
      </c>
      <c r="U15" s="4080" t="s">
        <v>1152</v>
      </c>
      <c r="Y15" s="2816"/>
      <c r="AA15" s="3295">
        <v>46.1</v>
      </c>
      <c r="AB15" s="2709">
        <f>AA15*$E$14</f>
        <v>29789.820000000003</v>
      </c>
      <c r="AC15" s="2710">
        <f>M19*AB15+Y18*M19</f>
        <v>597477.84000000008</v>
      </c>
    </row>
    <row r="16" spans="1:29" s="3295" customFormat="1" ht="32.25" customHeight="1">
      <c r="A16" s="4068"/>
      <c r="B16" s="4098"/>
      <c r="C16" s="4098"/>
      <c r="D16" s="4098"/>
      <c r="E16" s="4068"/>
      <c r="F16" s="4068"/>
      <c r="G16" s="4067" t="s">
        <v>1143</v>
      </c>
      <c r="H16" s="4067"/>
      <c r="I16" s="4080" t="s">
        <v>31</v>
      </c>
      <c r="J16" s="4080"/>
      <c r="K16" s="4080"/>
      <c r="L16" s="4080"/>
      <c r="M16" s="4117" t="s">
        <v>32</v>
      </c>
      <c r="N16" s="4117"/>
      <c r="O16" s="4117"/>
      <c r="P16" s="4117"/>
      <c r="Q16" s="4117"/>
      <c r="R16" s="4117"/>
      <c r="S16" s="4117"/>
      <c r="T16" s="4079"/>
      <c r="U16" s="4080"/>
      <c r="Y16" s="2817"/>
      <c r="AA16" s="3295">
        <v>76.900000000000006</v>
      </c>
      <c r="AB16" s="2709">
        <f t="shared" ref="AB16:AB19" si="0">AA16*$E$14</f>
        <v>49692.780000000006</v>
      </c>
      <c r="AC16" s="2710">
        <f>N19*AB16+Y18*N19</f>
        <v>69692.78</v>
      </c>
    </row>
    <row r="17" spans="1:28" s="3295" customFormat="1" ht="64.5" customHeight="1">
      <c r="A17" s="4068"/>
      <c r="B17" s="4098"/>
      <c r="C17" s="4098"/>
      <c r="D17" s="4098"/>
      <c r="E17" s="4068"/>
      <c r="F17" s="4068"/>
      <c r="G17" s="2054" t="s">
        <v>362</v>
      </c>
      <c r="H17" s="3300" t="s">
        <v>248</v>
      </c>
      <c r="I17" s="3300" t="s">
        <v>1148</v>
      </c>
      <c r="J17" s="2054" t="s">
        <v>1149</v>
      </c>
      <c r="K17" s="3299" t="s">
        <v>37</v>
      </c>
      <c r="L17" s="3299" t="s">
        <v>38</v>
      </c>
      <c r="M17" s="3303" t="s">
        <v>954</v>
      </c>
      <c r="N17" s="3303" t="s">
        <v>955</v>
      </c>
      <c r="O17" s="3303" t="s">
        <v>1150</v>
      </c>
      <c r="P17" s="3303" t="s">
        <v>1151</v>
      </c>
      <c r="Q17" s="3301" t="s">
        <v>1352</v>
      </c>
      <c r="R17" s="3898" t="s">
        <v>1893</v>
      </c>
      <c r="S17" s="3299" t="s">
        <v>24</v>
      </c>
      <c r="T17" s="4079"/>
      <c r="U17" s="4080"/>
      <c r="X17" s="3295">
        <v>0.01</v>
      </c>
      <c r="Y17" s="2706">
        <f>Mủ!AW51</f>
        <v>0</v>
      </c>
      <c r="AA17" s="3295">
        <v>76.8</v>
      </c>
      <c r="AB17" s="2709">
        <f t="shared" si="0"/>
        <v>49628.160000000003</v>
      </c>
    </row>
    <row r="18" spans="1:28" s="2415" customFormat="1" ht="24" customHeight="1">
      <c r="A18" s="2440" t="s">
        <v>606</v>
      </c>
      <c r="B18" s="2441" t="s">
        <v>609</v>
      </c>
      <c r="C18" s="2442" t="s">
        <v>607</v>
      </c>
      <c r="D18" s="2441" t="s">
        <v>611</v>
      </c>
      <c r="E18" s="2441" t="s">
        <v>635</v>
      </c>
      <c r="F18" s="2440" t="s">
        <v>608</v>
      </c>
      <c r="G18" s="2440" t="s">
        <v>609</v>
      </c>
      <c r="H18" s="2440" t="s">
        <v>610</v>
      </c>
      <c r="I18" s="2440" t="s">
        <v>611</v>
      </c>
      <c r="J18" s="2440" t="s">
        <v>635</v>
      </c>
      <c r="K18" s="2440" t="s">
        <v>692</v>
      </c>
      <c r="L18" s="2441" t="s">
        <v>636</v>
      </c>
      <c r="M18" s="2441" t="s">
        <v>637</v>
      </c>
      <c r="N18" s="2441" t="s">
        <v>1245</v>
      </c>
      <c r="O18" s="2440" t="s">
        <v>693</v>
      </c>
      <c r="P18" s="2440" t="s">
        <v>694</v>
      </c>
      <c r="Q18" s="2440" t="s">
        <v>1251</v>
      </c>
      <c r="R18" s="2440" t="s">
        <v>1246</v>
      </c>
      <c r="S18" s="2440" t="s">
        <v>1891</v>
      </c>
      <c r="T18" s="2441" t="s">
        <v>1892</v>
      </c>
      <c r="U18" s="2440" t="s">
        <v>698</v>
      </c>
      <c r="W18" s="3621">
        <f>SUM(W19:W33)</f>
        <v>5082268</v>
      </c>
      <c r="Y18" s="2416">
        <v>20000</v>
      </c>
      <c r="AA18" s="2448"/>
      <c r="AB18" s="2709">
        <f t="shared" si="0"/>
        <v>0</v>
      </c>
    </row>
    <row r="19" spans="1:28" s="1539" customFormat="1" ht="29.25" customHeight="1">
      <c r="A19" s="1543">
        <v>1</v>
      </c>
      <c r="B19" s="1544" t="s">
        <v>438</v>
      </c>
      <c r="C19" s="2038" t="str">
        <f>'Chấm công công nhân'!L51</f>
        <v>Thảo Xa Đết</v>
      </c>
      <c r="D19" s="1545" t="e">
        <f>VLOOKUP(C19,'Mã số NV'!$B$6:$D$53,3,0)</f>
        <v>#N/A</v>
      </c>
      <c r="E19" s="1546" t="s">
        <v>40</v>
      </c>
      <c r="F19" s="1546"/>
      <c r="G19" s="1547"/>
      <c r="H19" s="1548">
        <f>G19*25000</f>
        <v>0</v>
      </c>
      <c r="I19" s="1548">
        <f>+VLOOKUP(C19,'Tong hop cong'!C52:S52,17,0)</f>
        <v>79</v>
      </c>
      <c r="J19" s="1549">
        <f>+VLOOKUP(C19,'Tong hop cong'!$C$52:$U$70,19,0)</f>
        <v>42.057470517448856</v>
      </c>
      <c r="K19" s="1550" t="str">
        <f>+VLOOKUP(C19,'Tong hop cong'!C52:AA52,25,0)</f>
        <v>B</v>
      </c>
      <c r="L19" s="1551">
        <f>ROUND((IF(K19="A",(J19*(6.1*$E$14)),IF(K19="B",(J19*(5.8*$E$14)),IF(K19="C",(J19*(5.5*$E$14)),IF(K19="D",(J19*(5.2*$E$14))))))),0)</f>
        <v>157630</v>
      </c>
      <c r="M19" s="1549">
        <f>+VLOOKUP(C19,'Tong hop cong'!C52:V52,20,0)</f>
        <v>12</v>
      </c>
      <c r="N19" s="1549">
        <f>+VLOOKUP(C19,'Tong hop cong'!C52:W66,21,0)</f>
        <v>1</v>
      </c>
      <c r="O19" s="1549">
        <f>+VLOOKUP(C19,'Tong hop cong'!$C$52:$Y$70,22,0)</f>
        <v>0</v>
      </c>
      <c r="P19" s="1549">
        <f>+VLOOKUP(C19,'Tong hop cong'!$C$52:$Y$70,23,0)</f>
        <v>0</v>
      </c>
      <c r="Q19" s="1549">
        <f>M19+N19+O19+P19</f>
        <v>13</v>
      </c>
      <c r="R19" s="1549">
        <v>20</v>
      </c>
      <c r="S19" s="1551">
        <f>ROUND((((M19*(46.1*$H$14))+(N19*(76.9*$H$14))+(O19*(76.8*$H$14))+(P19*(107.6*$H$14)))+Q19*$Y$18),0)+R19*25000</f>
        <v>1173220</v>
      </c>
      <c r="T19" s="1551">
        <f t="shared" ref="T19:T38" si="1">H19+L19+S19</f>
        <v>1330850</v>
      </c>
      <c r="U19" s="1552">
        <f t="shared" ref="U19:U38" si="2">T19</f>
        <v>1330850</v>
      </c>
      <c r="W19" s="3623">
        <f>ROUND(L19,0)</f>
        <v>157630</v>
      </c>
      <c r="X19" s="3617">
        <f>W19-$X$17</f>
        <v>157629.99</v>
      </c>
      <c r="Y19" s="2958">
        <v>25000</v>
      </c>
      <c r="AA19" s="2449">
        <v>107.6</v>
      </c>
      <c r="AB19" s="2709">
        <f t="shared" si="0"/>
        <v>69531.12</v>
      </c>
    </row>
    <row r="20" spans="1:28" s="1539" customFormat="1" ht="29.25" customHeight="1">
      <c r="A20" s="1543">
        <v>2</v>
      </c>
      <c r="B20" s="1553" t="s">
        <v>440</v>
      </c>
      <c r="C20" s="2038" t="str">
        <f>'Chấm công công nhân'!L52</f>
        <v>Thảo Sột</v>
      </c>
      <c r="D20" s="1545" t="e">
        <f>VLOOKUP(C20,'Mã số NV'!$B$6:$D$53,3,0)</f>
        <v>#N/A</v>
      </c>
      <c r="E20" s="1546" t="s">
        <v>40</v>
      </c>
      <c r="F20" s="1546"/>
      <c r="G20" s="1547"/>
      <c r="H20" s="1548">
        <f t="shared" ref="H20:H37" si="3">G20*25000</f>
        <v>0</v>
      </c>
      <c r="I20" s="1548">
        <f>+VLOOKUP(C20,'Tong hop cong'!C53:S53,17,0)</f>
        <v>314</v>
      </c>
      <c r="J20" s="1549">
        <f>+VLOOKUP(C20,'Tong hop cong'!$C$52:$U$70,19,0)</f>
        <v>167.16513598074604</v>
      </c>
      <c r="K20" s="1550" t="str">
        <f>+VLOOKUP(C20,'Tong hop cong'!C53:AA53,25,0)</f>
        <v>A</v>
      </c>
      <c r="L20" s="1551">
        <f t="shared" ref="L20:L38" si="4">ROUND((IF(K20="A",(J20*(6.1*$E$14)),IF(K20="B",(J20*(5.8*$E$14)),IF(K20="C",(J20*(5.5*$E$14)),IF(K20="D",(J20*(5.2*$E$14))))))),0)</f>
        <v>658935</v>
      </c>
      <c r="M20" s="1549">
        <f>+VLOOKUP(C20,'Tong hop cong'!C53:V53,20,0)</f>
        <v>18</v>
      </c>
      <c r="N20" s="1549">
        <f>+VLOOKUP(C20,'Tong hop cong'!C53:W71,21,0)</f>
        <v>2</v>
      </c>
      <c r="O20" s="1549">
        <f>+VLOOKUP(C20,'Tong hop cong'!$C$52:$Y$70,22,0)</f>
        <v>0</v>
      </c>
      <c r="P20" s="1549">
        <f>+VLOOKUP(C20,'Tong hop cong'!$C$52:$Y$70,23,0)</f>
        <v>0</v>
      </c>
      <c r="Q20" s="1549">
        <f t="shared" ref="Q20:Q38" si="5">M20+N20+O20+P20</f>
        <v>20</v>
      </c>
      <c r="R20" s="1549">
        <v>20</v>
      </c>
      <c r="S20" s="1551">
        <f>ROUND((((M20*(46.1*$H$14))+(N20*(76.9*$H$14))+(O20*(76.8*$H$14))+(P20*(107.6*$H$14)))+Q20*$Y$18),0)+R20*25000</f>
        <v>1545045</v>
      </c>
      <c r="T20" s="1551">
        <f t="shared" si="1"/>
        <v>2203980</v>
      </c>
      <c r="U20" s="1552">
        <f t="shared" si="2"/>
        <v>2203980</v>
      </c>
      <c r="W20" s="3623">
        <f>ROUND(L20,0)</f>
        <v>658935</v>
      </c>
      <c r="AA20" s="2449"/>
    </row>
    <row r="21" spans="1:28" s="1539" customFormat="1" ht="29.25" customHeight="1">
      <c r="A21" s="1543">
        <v>3</v>
      </c>
      <c r="B21" s="1553" t="s">
        <v>442</v>
      </c>
      <c r="C21" s="2038" t="str">
        <f>'Chấm công công nhân'!L53</f>
        <v>Stoong</v>
      </c>
      <c r="D21" s="1545" t="str">
        <f>VLOOKUP(C21,'Mã số NV'!$B$6:$D$53,3,0)</f>
        <v>01876</v>
      </c>
      <c r="E21" s="1546" t="s">
        <v>40</v>
      </c>
      <c r="F21" s="1546"/>
      <c r="G21" s="1547"/>
      <c r="H21" s="1548">
        <f t="shared" si="3"/>
        <v>0</v>
      </c>
      <c r="I21" s="1548">
        <f>+VLOOKUP(C21,'Tong hop cong'!C54:S54,17,0)</f>
        <v>203</v>
      </c>
      <c r="J21" s="1549">
        <f>+VLOOKUP(C21,'Tong hop cong'!$C$52:$U$70,19,0)</f>
        <v>108.07172803850781</v>
      </c>
      <c r="K21" s="1550" t="str">
        <f>+VLOOKUP(C21,'Tong hop cong'!C54:AA54,25,0)</f>
        <v>A</v>
      </c>
      <c r="L21" s="1551">
        <f t="shared" si="4"/>
        <v>425999</v>
      </c>
      <c r="M21" s="1549">
        <f>+VLOOKUP(C21,'Tong hop cong'!C54:V54,20,0)</f>
        <v>14</v>
      </c>
      <c r="N21" s="1549">
        <f>+VLOOKUP(C21,'Tong hop cong'!C54:W72,21,0)</f>
        <v>2</v>
      </c>
      <c r="O21" s="1549">
        <f>+VLOOKUP(C21,'Tong hop cong'!$C$52:$Y$70,22,0)</f>
        <v>0</v>
      </c>
      <c r="P21" s="1549">
        <f>+VLOOKUP(C21,'Tong hop cong'!$C$52:$Y$70,23,0)</f>
        <v>0</v>
      </c>
      <c r="Q21" s="1549">
        <f t="shared" si="5"/>
        <v>16</v>
      </c>
      <c r="R21" s="1549">
        <v>20</v>
      </c>
      <c r="S21" s="1551">
        <f t="shared" ref="S21:S35" si="6">ROUND((((M21*(46.1*$H$14))+(N21*(76.9*$H$14))+(O21*(76.8*$H$14))+(P21*(107.6*$H$14)))+Q21*$Y$18),0)+R21*25000</f>
        <v>1344115</v>
      </c>
      <c r="T21" s="1551">
        <f t="shared" si="1"/>
        <v>1770114</v>
      </c>
      <c r="U21" s="1552">
        <f t="shared" si="2"/>
        <v>1770114</v>
      </c>
      <c r="W21" s="3623">
        <f>ROUND(L21,0)</f>
        <v>425999</v>
      </c>
      <c r="AA21" s="2449"/>
    </row>
    <row r="22" spans="1:28" s="1539" customFormat="1" ht="29.25" customHeight="1">
      <c r="A22" s="1543">
        <v>4</v>
      </c>
      <c r="B22" s="1553" t="s">
        <v>444</v>
      </c>
      <c r="C22" s="2038" t="str">
        <f>'Chấm công công nhân'!L54</f>
        <v>Nàng Phắt</v>
      </c>
      <c r="D22" s="1545" t="e">
        <f>VLOOKUP(C22,'Mã số NV'!$B$6:$D$53,3,0)</f>
        <v>#N/A</v>
      </c>
      <c r="E22" s="1546" t="s">
        <v>40</v>
      </c>
      <c r="F22" s="1546"/>
      <c r="G22" s="1547"/>
      <c r="H22" s="1548">
        <f t="shared" si="3"/>
        <v>0</v>
      </c>
      <c r="I22" s="1548">
        <f>+VLOOKUP(C22,'Tong hop cong'!C55:S55,17,0)</f>
        <v>204</v>
      </c>
      <c r="J22" s="1549">
        <f>+VLOOKUP(C22,'Tong hop cong'!$C$52:$U$70,19,0)</f>
        <v>108.60410108303248</v>
      </c>
      <c r="K22" s="1550" t="str">
        <f>+VLOOKUP(C22,'Tong hop cong'!C55:AA55,25,0)</f>
        <v>B</v>
      </c>
      <c r="L22" s="1551">
        <f t="shared" si="4"/>
        <v>407044</v>
      </c>
      <c r="M22" s="1549">
        <f>+VLOOKUP(C22,'Tong hop cong'!C55:V55,20,0)</f>
        <v>14</v>
      </c>
      <c r="N22" s="1549">
        <f>+VLOOKUP(C22,'Tong hop cong'!C55:W73,21,0)</f>
        <v>2</v>
      </c>
      <c r="O22" s="1549">
        <f>+VLOOKUP(C22,'Tong hop cong'!$C$52:$Y$70,22,0)</f>
        <v>0</v>
      </c>
      <c r="P22" s="1549">
        <f>+VLOOKUP(C22,'Tong hop cong'!$C$52:$Y$70,23,0)</f>
        <v>0</v>
      </c>
      <c r="Q22" s="1549">
        <f t="shared" si="5"/>
        <v>16</v>
      </c>
      <c r="R22" s="1549">
        <v>20</v>
      </c>
      <c r="S22" s="1551">
        <f t="shared" si="6"/>
        <v>1344115</v>
      </c>
      <c r="T22" s="1551">
        <f t="shared" si="1"/>
        <v>1751159</v>
      </c>
      <c r="U22" s="1552">
        <f t="shared" si="2"/>
        <v>1751159</v>
      </c>
      <c r="W22" s="3623">
        <f>ROUND(L22,0)</f>
        <v>407044</v>
      </c>
    </row>
    <row r="23" spans="1:28" s="1539" customFormat="1" ht="29.25" customHeight="1">
      <c r="A23" s="1543">
        <v>5</v>
      </c>
      <c r="B23" s="1553" t="s">
        <v>446</v>
      </c>
      <c r="C23" s="2038" t="str">
        <f>'Chấm công công nhân'!L55</f>
        <v>Nàng May</v>
      </c>
      <c r="D23" s="1545" t="e">
        <f>VLOOKUP(C23,'Mã số NV'!$B$6:$D$53,3,0)</f>
        <v>#N/A</v>
      </c>
      <c r="E23" s="1546" t="s">
        <v>40</v>
      </c>
      <c r="F23" s="1546"/>
      <c r="G23" s="1547"/>
      <c r="H23" s="1548">
        <f t="shared" si="3"/>
        <v>0</v>
      </c>
      <c r="I23" s="1548">
        <f>+VLOOKUP(C23,'Tong hop cong'!C56:S56,17,0)</f>
        <v>84</v>
      </c>
      <c r="J23" s="1549">
        <f>+VLOOKUP(C23,'Tong hop cong'!$C$52:$U$70,19,0)</f>
        <v>44.719335740072204</v>
      </c>
      <c r="K23" s="1550" t="str">
        <f>+VLOOKUP(C23,'Tong hop cong'!C56:AA56,25,0)</f>
        <v>B</v>
      </c>
      <c r="L23" s="1551">
        <f t="shared" si="4"/>
        <v>167606</v>
      </c>
      <c r="M23" s="1549">
        <f>+VLOOKUP(C23,'Tong hop cong'!C56:V56,20,0)</f>
        <v>15</v>
      </c>
      <c r="N23" s="1549">
        <f>+VLOOKUP(C23,'Tong hop cong'!C56:W74,21,0)</f>
        <v>2</v>
      </c>
      <c r="O23" s="1549">
        <f>+VLOOKUP(C23,'Tong hop cong'!$C$52:$Y$70,22,0)</f>
        <v>0</v>
      </c>
      <c r="P23" s="1549">
        <f>+VLOOKUP(C23,'Tong hop cong'!$C$52:$Y$70,23,0)</f>
        <v>0</v>
      </c>
      <c r="Q23" s="1549">
        <f t="shared" si="5"/>
        <v>17</v>
      </c>
      <c r="R23" s="1549">
        <v>20</v>
      </c>
      <c r="S23" s="1551">
        <f t="shared" si="6"/>
        <v>1394348</v>
      </c>
      <c r="T23" s="1551">
        <f t="shared" si="1"/>
        <v>1561954</v>
      </c>
      <c r="U23" s="1552">
        <f t="shared" si="2"/>
        <v>1561954</v>
      </c>
      <c r="W23" s="3623">
        <f>ROUND(L23,0)</f>
        <v>167606</v>
      </c>
    </row>
    <row r="24" spans="1:28" s="1539" customFormat="1" ht="29.25" customHeight="1">
      <c r="A24" s="1543">
        <v>6</v>
      </c>
      <c r="B24" s="1553" t="s">
        <v>448</v>
      </c>
      <c r="C24" s="2038" t="str">
        <f>'Chấm công công nhân'!L56</f>
        <v>Thảo Bênh</v>
      </c>
      <c r="D24" s="1545" t="e">
        <f>VLOOKUP(C24,'Mã số NV'!$B$6:$D$53,3,0)</f>
        <v>#N/A</v>
      </c>
      <c r="E24" s="1546" t="s">
        <v>40</v>
      </c>
      <c r="F24" s="1546"/>
      <c r="G24" s="1547"/>
      <c r="H24" s="1548">
        <f t="shared" si="3"/>
        <v>0</v>
      </c>
      <c r="I24" s="1548">
        <f>+VLOOKUP(C24,'Tong hop cong'!C57:S57,17,0)</f>
        <v>85</v>
      </c>
      <c r="J24" s="1549">
        <f>+VLOOKUP(C24,'Tong hop cong'!$C$52:$U$70,19,0)</f>
        <v>45.251708784596865</v>
      </c>
      <c r="K24" s="1550" t="str">
        <f>+VLOOKUP(C24,'Tong hop cong'!C57:AA57,25,0)</f>
        <v>A</v>
      </c>
      <c r="L24" s="1551">
        <f t="shared" si="4"/>
        <v>178374</v>
      </c>
      <c r="M24" s="1549">
        <f>+VLOOKUP(C24,'Tong hop cong'!C57:V57,20,0)</f>
        <v>15</v>
      </c>
      <c r="N24" s="1549">
        <f>+VLOOKUP(C24,'Tong hop cong'!C57:W75,21,0)</f>
        <v>2</v>
      </c>
      <c r="O24" s="1549">
        <f>+VLOOKUP(C24,'Tong hop cong'!$C$52:$Y$70,22,0)</f>
        <v>0</v>
      </c>
      <c r="P24" s="1549">
        <f>+VLOOKUP(C24,'Tong hop cong'!$C$52:$Y$70,23,0)</f>
        <v>0</v>
      </c>
      <c r="Q24" s="1549">
        <f t="shared" si="5"/>
        <v>17</v>
      </c>
      <c r="R24" s="1549">
        <v>20</v>
      </c>
      <c r="S24" s="1551">
        <f t="shared" si="6"/>
        <v>1394348</v>
      </c>
      <c r="T24" s="1551">
        <f t="shared" si="1"/>
        <v>1572722</v>
      </c>
      <c r="U24" s="1552">
        <f t="shared" si="2"/>
        <v>1572722</v>
      </c>
      <c r="W24" s="3623">
        <f t="shared" ref="W24:W33" si="7">ROUND(L24,0)</f>
        <v>178374</v>
      </c>
    </row>
    <row r="25" spans="1:28" s="1539" customFormat="1" ht="29.25" customHeight="1">
      <c r="A25" s="1543">
        <v>7</v>
      </c>
      <c r="B25" s="1553" t="s">
        <v>452</v>
      </c>
      <c r="C25" s="2038" t="str">
        <f>'Chấm công công nhân'!L57</f>
        <v>Thảo Đinh</v>
      </c>
      <c r="D25" s="1545" t="str">
        <f>VLOOKUP(C25,'Mã số NV'!$B$6:$D$53,3,0)</f>
        <v>01895</v>
      </c>
      <c r="E25" s="1546" t="s">
        <v>40</v>
      </c>
      <c r="F25" s="1546"/>
      <c r="G25" s="1547"/>
      <c r="H25" s="1548">
        <f t="shared" si="3"/>
        <v>0</v>
      </c>
      <c r="I25" s="1548">
        <f>+VLOOKUP(C25,'Tong hop cong'!C58:S58,17,0)</f>
        <v>254</v>
      </c>
      <c r="J25" s="1549">
        <f>+VLOOKUP(C25,'Tong hop cong'!$C$52:$U$70,19,0)</f>
        <v>135.22275330926593</v>
      </c>
      <c r="K25" s="1550" t="str">
        <f>+VLOOKUP(C25,'Tong hop cong'!C58:AA58,25,0)</f>
        <v>A</v>
      </c>
      <c r="L25" s="1551">
        <f t="shared" si="4"/>
        <v>533024</v>
      </c>
      <c r="M25" s="1549">
        <f>+VLOOKUP(C25,'Tong hop cong'!C58:V58,20,0)</f>
        <v>20</v>
      </c>
      <c r="N25" s="1549">
        <f>+VLOOKUP(C25,'Tong hop cong'!C58:W76,21,0)</f>
        <v>4</v>
      </c>
      <c r="O25" s="1549">
        <f>+VLOOKUP(C25,'Tong hop cong'!$C$52:$Y$70,22,0)</f>
        <v>0</v>
      </c>
      <c r="P25" s="1549">
        <f>+VLOOKUP(C25,'Tong hop cong'!$C$52:$Y$70,23,0)</f>
        <v>0</v>
      </c>
      <c r="Q25" s="1549">
        <f t="shared" si="5"/>
        <v>24</v>
      </c>
      <c r="R25" s="1549">
        <v>20</v>
      </c>
      <c r="S25" s="1551">
        <f t="shared" si="6"/>
        <v>1786372</v>
      </c>
      <c r="T25" s="1551">
        <f t="shared" si="1"/>
        <v>2319396</v>
      </c>
      <c r="U25" s="1552">
        <f t="shared" si="2"/>
        <v>2319396</v>
      </c>
      <c r="W25" s="3623">
        <f t="shared" si="7"/>
        <v>533024</v>
      </c>
    </row>
    <row r="26" spans="1:28" s="1539" customFormat="1" ht="29.25" customHeight="1">
      <c r="A26" s="1543">
        <v>8</v>
      </c>
      <c r="B26" s="1553" t="s">
        <v>456</v>
      </c>
      <c r="C26" s="2038" t="str">
        <f>'Chấm công công nhân'!L58</f>
        <v>Thảo Vi</v>
      </c>
      <c r="D26" s="1545" t="str">
        <f>VLOOKUP(C26,'Mã số NV'!$B$6:$D$53,3,0)</f>
        <v>01908</v>
      </c>
      <c r="E26" s="1546" t="s">
        <v>40</v>
      </c>
      <c r="F26" s="1546"/>
      <c r="G26" s="1547"/>
      <c r="H26" s="1548">
        <f t="shared" si="3"/>
        <v>0</v>
      </c>
      <c r="I26" s="1548">
        <f>+VLOOKUP(C26,'Tong hop cong'!C59:S59,17,0)</f>
        <v>101</v>
      </c>
      <c r="J26" s="1549">
        <f>+VLOOKUP(C26,'Tong hop cong'!$C$52:$U$70,19,0)</f>
        <v>53.769677496991569</v>
      </c>
      <c r="K26" s="1550" t="str">
        <f>+VLOOKUP(C26,'Tong hop cong'!C59:AA59,25,0)</f>
        <v>B</v>
      </c>
      <c r="L26" s="1551">
        <f t="shared" si="4"/>
        <v>201527</v>
      </c>
      <c r="M26" s="1549">
        <f>+VLOOKUP(C26,'Tong hop cong'!C59:V59,20,0)</f>
        <v>15</v>
      </c>
      <c r="N26" s="1549">
        <f>+VLOOKUP(C26,'Tong hop cong'!C59:W77,21,0)</f>
        <v>1</v>
      </c>
      <c r="O26" s="1549">
        <f>+VLOOKUP(C26,'Tong hop cong'!$C$52:$Y$70,22,0)</f>
        <v>0</v>
      </c>
      <c r="P26" s="1549">
        <f>+VLOOKUP(C26,'Tong hop cong'!$C$52:$Y$70,23,0)</f>
        <v>0</v>
      </c>
      <c r="Q26" s="1549">
        <f t="shared" si="5"/>
        <v>16</v>
      </c>
      <c r="R26" s="1549">
        <v>20</v>
      </c>
      <c r="S26" s="1551">
        <f t="shared" si="6"/>
        <v>1323917</v>
      </c>
      <c r="T26" s="1551">
        <f t="shared" si="1"/>
        <v>1525444</v>
      </c>
      <c r="U26" s="1552">
        <f t="shared" si="2"/>
        <v>1525444</v>
      </c>
      <c r="W26" s="3623">
        <f t="shared" si="7"/>
        <v>201527</v>
      </c>
    </row>
    <row r="27" spans="1:28" s="1539" customFormat="1" ht="29.25" customHeight="1">
      <c r="A27" s="1543">
        <v>9</v>
      </c>
      <c r="B27" s="1553"/>
      <c r="C27" s="2038" t="str">
        <f>'Chấm công công nhân'!L59</f>
        <v>Thảo Văn</v>
      </c>
      <c r="D27" s="1545"/>
      <c r="E27" s="1546" t="s">
        <v>40</v>
      </c>
      <c r="F27" s="1546"/>
      <c r="G27" s="1547"/>
      <c r="H27" s="1548">
        <f t="shared" si="3"/>
        <v>0</v>
      </c>
      <c r="I27" s="1548">
        <f>+VLOOKUP(C27,'Tong hop cong'!C60:S60,17,0)</f>
        <v>242</v>
      </c>
      <c r="J27" s="1549">
        <f>+VLOOKUP(C27,'Tong hop cong'!$C$52:$U$70,19,0)</f>
        <v>128.83427677496991</v>
      </c>
      <c r="K27" s="1550" t="str">
        <f>+VLOOKUP(C27,'Tong hop cong'!C60:AA60,25,0)</f>
        <v>B</v>
      </c>
      <c r="L27" s="1551">
        <f t="shared" si="4"/>
        <v>482866</v>
      </c>
      <c r="M27" s="1549">
        <f>+VLOOKUP(C27,'Tong hop cong'!C60:V60,20,0)</f>
        <v>20</v>
      </c>
      <c r="N27" s="1549">
        <f>+VLOOKUP(C27,'Tong hop cong'!C60:W78,21,0)</f>
        <v>2</v>
      </c>
      <c r="O27" s="1549">
        <f>+VLOOKUP(C27,'Tong hop cong'!$C$52:$Y$70,22,0)</f>
        <v>0</v>
      </c>
      <c r="P27" s="1549">
        <f>+VLOOKUP(C27,'Tong hop cong'!$C$52:$Y$70,23,0)</f>
        <v>0</v>
      </c>
      <c r="Q27" s="1549">
        <f t="shared" si="5"/>
        <v>22</v>
      </c>
      <c r="R27" s="1549">
        <v>20</v>
      </c>
      <c r="S27" s="1551">
        <f t="shared" si="6"/>
        <v>1645510</v>
      </c>
      <c r="T27" s="1551">
        <f t="shared" si="1"/>
        <v>2128376</v>
      </c>
      <c r="U27" s="1552">
        <f t="shared" si="2"/>
        <v>2128376</v>
      </c>
      <c r="W27" s="3623">
        <f t="shared" si="7"/>
        <v>482866</v>
      </c>
    </row>
    <row r="28" spans="1:28" s="1539" customFormat="1" ht="29.25" customHeight="1">
      <c r="A28" s="1543">
        <v>10</v>
      </c>
      <c r="B28" s="1553"/>
      <c r="C28" s="2038" t="str">
        <f>'Chấm công công nhân'!L60</f>
        <v>Nàng Phìn</v>
      </c>
      <c r="D28" s="1545"/>
      <c r="E28" s="1546" t="s">
        <v>40</v>
      </c>
      <c r="F28" s="1546"/>
      <c r="G28" s="1547"/>
      <c r="H28" s="1548">
        <f t="shared" si="3"/>
        <v>0</v>
      </c>
      <c r="I28" s="1548">
        <f>+VLOOKUP(C28,'Tong hop cong'!C61:S61,17,0)</f>
        <v>232</v>
      </c>
      <c r="J28" s="1549">
        <f>+VLOOKUP(C28,'Tong hop cong'!$C$52:$U$70,19,0)</f>
        <v>123.51054632972323</v>
      </c>
      <c r="K28" s="1550" t="str">
        <f>+VLOOKUP(C28,'Tong hop cong'!C61:AA61,25,0)</f>
        <v>A</v>
      </c>
      <c r="L28" s="1551">
        <f t="shared" si="4"/>
        <v>486856</v>
      </c>
      <c r="M28" s="1549">
        <f>+VLOOKUP(C28,'Tong hop cong'!C61:V61,20,0)</f>
        <v>17</v>
      </c>
      <c r="N28" s="1549">
        <f>+VLOOKUP(C28,'Tong hop cong'!C61:W79,21,0)</f>
        <v>2</v>
      </c>
      <c r="O28" s="1549">
        <f>+VLOOKUP(C28,'Tong hop cong'!$C$52:$Y$70,22,0)</f>
        <v>0</v>
      </c>
      <c r="P28" s="1549">
        <f>+VLOOKUP(C28,'Tong hop cong'!$C$52:$Y$70,23,0)</f>
        <v>0</v>
      </c>
      <c r="Q28" s="1549">
        <f t="shared" si="5"/>
        <v>19</v>
      </c>
      <c r="R28" s="1549">
        <v>20</v>
      </c>
      <c r="S28" s="1551">
        <f t="shared" si="6"/>
        <v>1494813</v>
      </c>
      <c r="T28" s="1551">
        <f t="shared" si="1"/>
        <v>1981669</v>
      </c>
      <c r="U28" s="1552">
        <f t="shared" si="2"/>
        <v>1981669</v>
      </c>
      <c r="W28" s="3623">
        <f t="shared" si="7"/>
        <v>486856</v>
      </c>
    </row>
    <row r="29" spans="1:28" s="1539" customFormat="1" ht="29.25" customHeight="1">
      <c r="A29" s="1543">
        <v>11</v>
      </c>
      <c r="B29" s="1544" t="s">
        <v>475</v>
      </c>
      <c r="C29" s="2038" t="str">
        <f>'Chấm công công nhân'!L61</f>
        <v>Mẹ Sột</v>
      </c>
      <c r="D29" s="1545" t="e">
        <f>VLOOKUP(C29,'Mã số NV'!$B$6:$D$53,3,0)</f>
        <v>#N/A</v>
      </c>
      <c r="E29" s="1546" t="s">
        <v>40</v>
      </c>
      <c r="F29" s="1546"/>
      <c r="G29" s="1547"/>
      <c r="H29" s="1548">
        <f t="shared" si="3"/>
        <v>0</v>
      </c>
      <c r="I29" s="1548">
        <f>+VLOOKUP(C29,'Tong hop cong'!C62:S62,17,0)</f>
        <v>216</v>
      </c>
      <c r="J29" s="1549">
        <f>+VLOOKUP(C29,'Tong hop cong'!$C$52:$U$70,19,0)</f>
        <v>114.99257761732849</v>
      </c>
      <c r="K29" s="1550" t="str">
        <f>+VLOOKUP(C29,'Tong hop cong'!C62:AA62,25,0)</f>
        <v>C</v>
      </c>
      <c r="L29" s="1551">
        <f t="shared" si="4"/>
        <v>408695</v>
      </c>
      <c r="M29" s="1549">
        <f>+VLOOKUP(C29,'Tong hop cong'!C62:V62,20,0)</f>
        <v>17</v>
      </c>
      <c r="N29" s="1549">
        <f>+VLOOKUP(C29,'Tong hop cong'!C62:W80,21,0)</f>
        <v>2</v>
      </c>
      <c r="O29" s="1549">
        <f>+VLOOKUP(C29,'Tong hop cong'!$C$52:$Y$70,22,0)</f>
        <v>0</v>
      </c>
      <c r="P29" s="1549">
        <f>+VLOOKUP(C29,'Tong hop cong'!$C$52:$Y$70,23,0)</f>
        <v>0</v>
      </c>
      <c r="Q29" s="1549">
        <f t="shared" si="5"/>
        <v>19</v>
      </c>
      <c r="R29" s="1549">
        <v>20</v>
      </c>
      <c r="S29" s="1551">
        <f t="shared" si="6"/>
        <v>1494813</v>
      </c>
      <c r="T29" s="1551">
        <f t="shared" si="1"/>
        <v>1903508</v>
      </c>
      <c r="U29" s="1552">
        <f t="shared" si="2"/>
        <v>1903508</v>
      </c>
      <c r="W29" s="3623">
        <f t="shared" si="7"/>
        <v>408695</v>
      </c>
    </row>
    <row r="30" spans="1:28" s="1539" customFormat="1" ht="29.25" customHeight="1">
      <c r="A30" s="1543">
        <v>12</v>
      </c>
      <c r="B30" s="1544" t="s">
        <v>477</v>
      </c>
      <c r="C30" s="2038" t="str">
        <f>'Chấm công công nhân'!L62</f>
        <v>Nàng Heo</v>
      </c>
      <c r="D30" s="1545" t="e">
        <f>VLOOKUP(C30,'Mã số NV'!$B$6:$D$53,3,0)</f>
        <v>#N/A</v>
      </c>
      <c r="E30" s="1546" t="s">
        <v>40</v>
      </c>
      <c r="F30" s="1546"/>
      <c r="G30" s="1547"/>
      <c r="H30" s="1548">
        <f t="shared" si="3"/>
        <v>0</v>
      </c>
      <c r="I30" s="1548">
        <f>+VLOOKUP(C30,'Tong hop cong'!C63:S63,17,0)</f>
        <v>102</v>
      </c>
      <c r="J30" s="1549">
        <f>+VLOOKUP(C30,'Tong hop cong'!$C$52:$U$70,19,0)</f>
        <v>54.302050541516238</v>
      </c>
      <c r="K30" s="1550" t="str">
        <f>+VLOOKUP(C30,'Tong hop cong'!C63:AA63,25,0)</f>
        <v>A</v>
      </c>
      <c r="L30" s="1551">
        <f t="shared" si="4"/>
        <v>214049</v>
      </c>
      <c r="M30" s="1549">
        <f>+VLOOKUP(C30,'Tong hop cong'!C63:V63,20,0)</f>
        <v>15</v>
      </c>
      <c r="N30" s="1549">
        <f>+VLOOKUP(C30,'Tong hop cong'!C63:W81,21,0)</f>
        <v>1</v>
      </c>
      <c r="O30" s="1549">
        <f>+VLOOKUP(C30,'Tong hop cong'!$C$52:$Y$70,22,0)</f>
        <v>0</v>
      </c>
      <c r="P30" s="1549">
        <f>+VLOOKUP(C30,'Tong hop cong'!$C$52:$Y$70,23,0)</f>
        <v>0</v>
      </c>
      <c r="Q30" s="1549">
        <f t="shared" si="5"/>
        <v>16</v>
      </c>
      <c r="R30" s="1549">
        <v>20</v>
      </c>
      <c r="S30" s="1551">
        <f t="shared" si="6"/>
        <v>1323917</v>
      </c>
      <c r="T30" s="1551">
        <f t="shared" si="1"/>
        <v>1537966</v>
      </c>
      <c r="U30" s="1552">
        <f t="shared" si="2"/>
        <v>1537966</v>
      </c>
      <c r="W30" s="3623">
        <f t="shared" si="7"/>
        <v>214049</v>
      </c>
    </row>
    <row r="31" spans="1:28" s="1539" customFormat="1" ht="29.25" customHeight="1">
      <c r="A31" s="1543">
        <v>13</v>
      </c>
      <c r="B31" s="1544"/>
      <c r="C31" s="2038" t="str">
        <f>'Chấm công công nhân'!L63</f>
        <v>Thảo Chăn Ti</v>
      </c>
      <c r="D31" s="1545"/>
      <c r="E31" s="1546" t="s">
        <v>40</v>
      </c>
      <c r="F31" s="1546"/>
      <c r="G31" s="1547"/>
      <c r="H31" s="1548">
        <f t="shared" si="3"/>
        <v>0</v>
      </c>
      <c r="I31" s="1548">
        <f>+VLOOKUP(C31,'Tong hop cong'!C64:S64,17,0)</f>
        <v>71</v>
      </c>
      <c r="J31" s="1549">
        <f>+VLOOKUP(C31,'Tong hop cong'!$C$52:$U$70,19,0)</f>
        <v>37.798486161251496</v>
      </c>
      <c r="K31" s="1550" t="str">
        <f>+VLOOKUP(C31,'Tong hop cong'!C64:AA64,25,0)</f>
        <v>B</v>
      </c>
      <c r="L31" s="1551">
        <f t="shared" si="4"/>
        <v>141667</v>
      </c>
      <c r="M31" s="1549">
        <f>+VLOOKUP(C31,'Tong hop cong'!C64:V64,20,0)</f>
        <v>12</v>
      </c>
      <c r="N31" s="1549">
        <f>+VLOOKUP(C31,'Tong hop cong'!C64:W82,21,0)</f>
        <v>1</v>
      </c>
      <c r="O31" s="1549">
        <f>+VLOOKUP(C31,'Tong hop cong'!$C$52:$Y$70,22,0)</f>
        <v>0</v>
      </c>
      <c r="P31" s="1549">
        <f>+VLOOKUP(C31,'Tong hop cong'!$C$52:$Y$70,23,0)</f>
        <v>0</v>
      </c>
      <c r="Q31" s="1549">
        <f t="shared" si="5"/>
        <v>13</v>
      </c>
      <c r="R31" s="1549">
        <v>20</v>
      </c>
      <c r="S31" s="1551">
        <f t="shared" si="6"/>
        <v>1173220</v>
      </c>
      <c r="T31" s="1551">
        <f t="shared" si="1"/>
        <v>1314887</v>
      </c>
      <c r="U31" s="1552">
        <f t="shared" si="2"/>
        <v>1314887</v>
      </c>
      <c r="W31" s="3623">
        <f t="shared" si="7"/>
        <v>141667</v>
      </c>
    </row>
    <row r="32" spans="1:28" s="1539" customFormat="1" ht="29.25" customHeight="1">
      <c r="A32" s="1543">
        <v>14</v>
      </c>
      <c r="B32" s="1544"/>
      <c r="C32" s="2038" t="str">
        <f>'Chấm công công nhân'!L64</f>
        <v>Nàng Ve</v>
      </c>
      <c r="D32" s="1545"/>
      <c r="E32" s="1546" t="s">
        <v>40</v>
      </c>
      <c r="F32" s="1546"/>
      <c r="G32" s="1547"/>
      <c r="H32" s="1548">
        <f t="shared" si="3"/>
        <v>0</v>
      </c>
      <c r="I32" s="1548">
        <f>+VLOOKUP(C32,'Tong hop cong'!C65:S65,17,0)</f>
        <v>234</v>
      </c>
      <c r="J32" s="1549">
        <f>+VLOOKUP(C32,'Tong hop cong'!$C$52:$U$70,19,0)</f>
        <v>124.57529241877255</v>
      </c>
      <c r="K32" s="1550" t="str">
        <f>+VLOOKUP(C32,'Tong hop cong'!C65:AA65,25,0)</f>
        <v>B</v>
      </c>
      <c r="L32" s="1551">
        <f t="shared" si="4"/>
        <v>466903</v>
      </c>
      <c r="M32" s="1549">
        <f>+VLOOKUP(C32,'Tong hop cong'!C65:V65,20,0)</f>
        <v>16</v>
      </c>
      <c r="N32" s="1549">
        <f>+VLOOKUP(C32,'Tong hop cong'!C65:W83,21,0)</f>
        <v>2</v>
      </c>
      <c r="O32" s="1549">
        <f>+VLOOKUP(C32,'Tong hop cong'!$C$52:$Y$70,22,0)</f>
        <v>0</v>
      </c>
      <c r="P32" s="1549">
        <f>+VLOOKUP(C32,'Tong hop cong'!$C$52:$Y$70,23,0)</f>
        <v>0</v>
      </c>
      <c r="Q32" s="1549">
        <f t="shared" si="5"/>
        <v>18</v>
      </c>
      <c r="R32" s="1549">
        <v>20</v>
      </c>
      <c r="S32" s="1551">
        <f t="shared" si="6"/>
        <v>1444580</v>
      </c>
      <c r="T32" s="1551">
        <f t="shared" si="1"/>
        <v>1911483</v>
      </c>
      <c r="U32" s="1552">
        <f t="shared" si="2"/>
        <v>1911483</v>
      </c>
      <c r="W32" s="3623">
        <f t="shared" si="7"/>
        <v>466903</v>
      </c>
    </row>
    <row r="33" spans="1:26" s="1539" customFormat="1" ht="29.25" customHeight="1">
      <c r="A33" s="1543">
        <v>15</v>
      </c>
      <c r="B33" s="1544"/>
      <c r="C33" s="2038" t="str">
        <f>'Chấm công công nhân'!L65</f>
        <v>Nàng Phết</v>
      </c>
      <c r="D33" s="1545"/>
      <c r="E33" s="1546" t="s">
        <v>40</v>
      </c>
      <c r="F33" s="1546"/>
      <c r="G33" s="1547"/>
      <c r="H33" s="1548">
        <f t="shared" si="3"/>
        <v>0</v>
      </c>
      <c r="I33" s="1548">
        <f>+VLOOKUP(C33,'Tong hop cong'!C66:S66,17,0)</f>
        <v>72</v>
      </c>
      <c r="J33" s="1549">
        <f>+VLOOKUP(C33,'Tong hop cong'!$C$52:$U$70,19,0)</f>
        <v>38.330859205776171</v>
      </c>
      <c r="K33" s="1550" t="str">
        <f>+VLOOKUP(C33,'Tong hop cong'!C66:AA66,25,0)</f>
        <v>A</v>
      </c>
      <c r="L33" s="1551">
        <f t="shared" si="4"/>
        <v>151093</v>
      </c>
      <c r="M33" s="1549">
        <f>+VLOOKUP(C33,'Tong hop cong'!C66:V66,20,0)</f>
        <v>12</v>
      </c>
      <c r="N33" s="1549">
        <f>+VLOOKUP(C33,'Tong hop cong'!C66:W84,21,0)</f>
        <v>1</v>
      </c>
      <c r="O33" s="1549">
        <f>+VLOOKUP(C33,'Tong hop cong'!$C$52:$Y$70,22,0)</f>
        <v>0</v>
      </c>
      <c r="P33" s="1549">
        <f>+VLOOKUP(C33,'Tong hop cong'!$C$52:$Y$70,23,0)</f>
        <v>0</v>
      </c>
      <c r="Q33" s="1549">
        <f t="shared" si="5"/>
        <v>13</v>
      </c>
      <c r="R33" s="1549">
        <v>20</v>
      </c>
      <c r="S33" s="1551">
        <f t="shared" si="6"/>
        <v>1173220</v>
      </c>
      <c r="T33" s="1551">
        <f t="shared" si="1"/>
        <v>1324313</v>
      </c>
      <c r="U33" s="1552">
        <f t="shared" si="2"/>
        <v>1324313</v>
      </c>
      <c r="W33" s="3623">
        <f t="shared" si="7"/>
        <v>151093</v>
      </c>
    </row>
    <row r="34" spans="1:26" s="1539" customFormat="1" ht="29.25" customHeight="1">
      <c r="A34" s="1543">
        <v>16</v>
      </c>
      <c r="B34" s="1544"/>
      <c r="C34" s="2038" t="str">
        <f>'Chấm công công nhân'!L66</f>
        <v>Thảo On</v>
      </c>
      <c r="D34" s="1545"/>
      <c r="E34" s="1546"/>
      <c r="F34" s="1546"/>
      <c r="G34" s="1547"/>
      <c r="H34" s="1548">
        <f t="shared" si="3"/>
        <v>0</v>
      </c>
      <c r="I34" s="1548">
        <f>+VLOOKUP(C34,'Tong hop cong'!C67:S67,17,0)</f>
        <v>0</v>
      </c>
      <c r="J34" s="1549">
        <f>+VLOOKUP(C34,'Tong hop cong'!$C$52:$U$70,19,0)</f>
        <v>0</v>
      </c>
      <c r="K34" s="1550" t="str">
        <f>+VLOOKUP(C34,'Tong hop cong'!C67:AA67,25,0)</f>
        <v>A</v>
      </c>
      <c r="L34" s="1551">
        <f t="shared" si="4"/>
        <v>0</v>
      </c>
      <c r="M34" s="1549">
        <f>+VLOOKUP(C34,'Tong hop cong'!C67:V67,20,0)</f>
        <v>0</v>
      </c>
      <c r="N34" s="1549">
        <f>+VLOOKUP(C34,'Tong hop cong'!C67:W85,21,0)</f>
        <v>0</v>
      </c>
      <c r="O34" s="1549">
        <f>+VLOOKUP(C34,'Tong hop cong'!$C$52:$Y$70,22,0)</f>
        <v>4</v>
      </c>
      <c r="P34" s="1549">
        <f>+VLOOKUP(C34,'Tong hop cong'!$C$52:$Y$70,23,0)</f>
        <v>0</v>
      </c>
      <c r="Q34" s="1549">
        <f t="shared" si="5"/>
        <v>4</v>
      </c>
      <c r="R34" s="1549">
        <v>20</v>
      </c>
      <c r="S34" s="1551">
        <f t="shared" si="6"/>
        <v>781462</v>
      </c>
      <c r="T34" s="1551">
        <f t="shared" ref="T34:T37" si="8">H34+L34+S34</f>
        <v>781462</v>
      </c>
      <c r="U34" s="1552">
        <f t="shared" ref="U34:U37" si="9">T34</f>
        <v>781462</v>
      </c>
      <c r="W34" s="3623"/>
    </row>
    <row r="35" spans="1:26" s="1539" customFormat="1" ht="29.25" customHeight="1">
      <c r="A35" s="1543">
        <v>17</v>
      </c>
      <c r="B35" s="1544"/>
      <c r="C35" s="2038" t="str">
        <f>'Chấm công công nhân'!L67</f>
        <v>Thảo Sum</v>
      </c>
      <c r="D35" s="1545"/>
      <c r="E35" s="1546"/>
      <c r="F35" s="1546"/>
      <c r="G35" s="1547"/>
      <c r="H35" s="1548">
        <f t="shared" si="3"/>
        <v>0</v>
      </c>
      <c r="I35" s="1548">
        <f>+VLOOKUP(C35,'Tong hop cong'!C68:S68,17,0)</f>
        <v>0</v>
      </c>
      <c r="J35" s="1549">
        <f>+VLOOKUP(C35,'Tong hop cong'!$C$52:$U$70,19,0)</f>
        <v>0</v>
      </c>
      <c r="K35" s="1550" t="str">
        <f>+VLOOKUP(C35,'Tong hop cong'!C68:AA68,25,0)</f>
        <v>B</v>
      </c>
      <c r="L35" s="1551">
        <f t="shared" si="4"/>
        <v>0</v>
      </c>
      <c r="M35" s="1549">
        <f>+VLOOKUP(C35,'Tong hop cong'!C68:V68,20,0)</f>
        <v>0</v>
      </c>
      <c r="N35" s="1549">
        <f>+VLOOKUP(C35,'Tong hop cong'!C68:W86,21,0)</f>
        <v>0</v>
      </c>
      <c r="O35" s="1549">
        <f>+VLOOKUP(C35,'Tong hop cong'!$C$52:$Y$70,22,0)</f>
        <v>4</v>
      </c>
      <c r="P35" s="1549">
        <f>+VLOOKUP(C35,'Tong hop cong'!$C$52:$Y$70,23,0)</f>
        <v>0</v>
      </c>
      <c r="Q35" s="1549">
        <f t="shared" si="5"/>
        <v>4</v>
      </c>
      <c r="R35" s="1549">
        <v>20</v>
      </c>
      <c r="S35" s="1551">
        <f t="shared" si="6"/>
        <v>781462</v>
      </c>
      <c r="T35" s="1551">
        <f t="shared" si="8"/>
        <v>781462</v>
      </c>
      <c r="U35" s="1552">
        <f t="shared" si="9"/>
        <v>781462</v>
      </c>
      <c r="W35" s="3623"/>
    </row>
    <row r="36" spans="1:26" s="1539" customFormat="1" ht="29.25" customHeight="1">
      <c r="A36" s="1543">
        <v>18</v>
      </c>
      <c r="B36" s="1544"/>
      <c r="C36" s="2038" t="str">
        <f>'Chấm công công nhân'!L68</f>
        <v>Cha La</v>
      </c>
      <c r="D36" s="1545"/>
      <c r="E36" s="1546"/>
      <c r="F36" s="1546"/>
      <c r="G36" s="1547"/>
      <c r="H36" s="1548">
        <f t="shared" si="3"/>
        <v>0</v>
      </c>
      <c r="I36" s="1548">
        <f>+VLOOKUP(C36,'Tong hop cong'!C69:S69,17,0)</f>
        <v>0</v>
      </c>
      <c r="J36" s="1549">
        <f>+VLOOKUP(C36,'Tong hop cong'!$C$52:$U$70,19,0)</f>
        <v>0</v>
      </c>
      <c r="K36" s="1550" t="str">
        <f>+VLOOKUP(C36,'Tong hop cong'!C69:AA69,25,0)</f>
        <v>A</v>
      </c>
      <c r="L36" s="1551">
        <f t="shared" si="4"/>
        <v>0</v>
      </c>
      <c r="M36" s="1549">
        <f>+VLOOKUP(C36,'Tong hop cong'!C69:V69,20,0)</f>
        <v>0</v>
      </c>
      <c r="N36" s="1549">
        <f>+VLOOKUP(C36,'Tong hop cong'!C69:W87,21,0)</f>
        <v>0</v>
      </c>
      <c r="O36" s="1549">
        <f>+VLOOKUP(C36,'Tong hop cong'!$C$52:$Y$70,22,0)</f>
        <v>4</v>
      </c>
      <c r="P36" s="1549">
        <f>+VLOOKUP(C36,'Tong hop cong'!$C$52:$Y$70,23,0)</f>
        <v>0</v>
      </c>
      <c r="Q36" s="1549">
        <f t="shared" si="5"/>
        <v>4</v>
      </c>
      <c r="R36" s="1549">
        <v>20</v>
      </c>
      <c r="S36" s="1551">
        <f>ROUND((((M36*(46.1*$H$14))+(N36*(76.9*$H$14))+(O36*(76.8*$H$14))+(P36*(107.6*$H$14)))+Q36*$Y$18),0)+R36*25000</f>
        <v>781462</v>
      </c>
      <c r="T36" s="1551">
        <f t="shared" si="8"/>
        <v>781462</v>
      </c>
      <c r="U36" s="1552">
        <f t="shared" si="9"/>
        <v>781462</v>
      </c>
      <c r="W36" s="3623"/>
    </row>
    <row r="37" spans="1:26" s="1539" customFormat="1" ht="29.25" customHeight="1">
      <c r="A37" s="1543">
        <v>19</v>
      </c>
      <c r="B37" s="1544"/>
      <c r="C37" s="2038" t="str">
        <f>'Chấm công công nhân'!L69</f>
        <v>Nàng Binh</v>
      </c>
      <c r="D37" s="1545"/>
      <c r="E37" s="1546"/>
      <c r="F37" s="1546"/>
      <c r="G37" s="1547"/>
      <c r="H37" s="1548">
        <f t="shared" si="3"/>
        <v>0</v>
      </c>
      <c r="I37" s="1548">
        <f>+VLOOKUP(C37,'Tong hop cong'!C70:S70,17,0)</f>
        <v>0</v>
      </c>
      <c r="J37" s="1549">
        <f>+VLOOKUP(C37,'Tong hop cong'!$C$52:$U$70,19,0)</f>
        <v>0</v>
      </c>
      <c r="K37" s="1550" t="str">
        <f>+VLOOKUP(C37,'Tong hop cong'!C70:AA70,25,0)</f>
        <v>C</v>
      </c>
      <c r="L37" s="1551">
        <f t="shared" si="4"/>
        <v>0</v>
      </c>
      <c r="M37" s="1549">
        <f>+VLOOKUP(C37,'Tong hop cong'!C70:V70,20,0)</f>
        <v>0</v>
      </c>
      <c r="N37" s="1549">
        <f>+VLOOKUP(C37,'Tong hop cong'!C70:W88,21,0)</f>
        <v>0</v>
      </c>
      <c r="O37" s="1549">
        <f>+VLOOKUP(C37,'Tong hop cong'!$C$52:$Y$70,22,0)</f>
        <v>2</v>
      </c>
      <c r="P37" s="1549">
        <f>+VLOOKUP(C37,'Tong hop cong'!$C$52:$Y$70,23,0)</f>
        <v>0</v>
      </c>
      <c r="Q37" s="1549">
        <f t="shared" si="5"/>
        <v>2</v>
      </c>
      <c r="R37" s="1549">
        <v>20</v>
      </c>
      <c r="S37" s="1551">
        <f>ROUND((((M37*(46.1*$H$14))+(N37*(76.9*$H$14))+(O37*(76.8*$H$14))+(P37*(107.6*$H$14)))+Q37*$Y$18),0)+R37*25000</f>
        <v>640731</v>
      </c>
      <c r="T37" s="1551">
        <f t="shared" si="8"/>
        <v>640731</v>
      </c>
      <c r="U37" s="1552">
        <f t="shared" si="9"/>
        <v>640731</v>
      </c>
      <c r="W37" s="3623"/>
    </row>
    <row r="38" spans="1:26" s="1539" customFormat="1" ht="29.25" hidden="1" customHeight="1">
      <c r="A38" s="3701">
        <v>20</v>
      </c>
      <c r="B38" s="1544"/>
      <c r="C38" s="3369" t="str">
        <f>'Tong hop cong'!C71</f>
        <v>Thảo e</v>
      </c>
      <c r="D38" s="1545"/>
      <c r="E38" s="1546"/>
      <c r="F38" s="1546"/>
      <c r="G38" s="3367">
        <f>+VLOOKUP(C38,'Tong hop cong'!C71:R71,16,0)</f>
        <v>0</v>
      </c>
      <c r="H38" s="1548">
        <f>ROUND((G38*25000),0)</f>
        <v>0</v>
      </c>
      <c r="I38" s="1548">
        <f>+VLOOKUP(C38,'Tong hop cong'!C71:S71,17,0)</f>
        <v>0</v>
      </c>
      <c r="J38" s="1549"/>
      <c r="K38" s="1550">
        <f>+VLOOKUP(C38,'Tong hop cong'!C71:AA71,24,0)</f>
        <v>0</v>
      </c>
      <c r="L38" s="1551">
        <f t="shared" si="4"/>
        <v>0</v>
      </c>
      <c r="M38" s="1549">
        <f>+VLOOKUP(C38,'Tong hop cong'!C71:V71,20,0)</f>
        <v>0</v>
      </c>
      <c r="N38" s="1549">
        <f>+VLOOKUP(C38,'Tong hop cong'!C71:W89,21,0)</f>
        <v>0</v>
      </c>
      <c r="O38" s="1549"/>
      <c r="P38" s="1549"/>
      <c r="Q38" s="1549">
        <f t="shared" si="5"/>
        <v>0</v>
      </c>
      <c r="R38" s="1549"/>
      <c r="S38" s="1551">
        <f t="shared" ref="S38" si="10">ROUND((((M38*(46.1*$E$14))+(N38*(76.9*$E$14))+(O38*(76.8*$E$14))+(P38*(107.6*$E$14)))+Q38*$Y$18+R38*$Y$18),0)</f>
        <v>0</v>
      </c>
      <c r="T38" s="1551">
        <f t="shared" si="1"/>
        <v>0</v>
      </c>
      <c r="U38" s="1552">
        <f t="shared" si="2"/>
        <v>0</v>
      </c>
    </row>
    <row r="39" spans="1:26" s="1542" customFormat="1" ht="29.25" customHeight="1">
      <c r="A39" s="4110" t="s">
        <v>688</v>
      </c>
      <c r="B39" s="4110"/>
      <c r="C39" s="4110"/>
      <c r="D39" s="4110"/>
      <c r="E39" s="4110"/>
      <c r="F39" s="3302"/>
      <c r="G39" s="2039">
        <f>SUM(G19:G38)</f>
        <v>0</v>
      </c>
      <c r="H39" s="2039">
        <f t="shared" ref="H39:U39" si="11">SUM(H19:H38)</f>
        <v>0</v>
      </c>
      <c r="I39" s="2039">
        <f t="shared" si="11"/>
        <v>2493</v>
      </c>
      <c r="J39" s="2039">
        <f t="shared" si="11"/>
        <v>1327.2060000000001</v>
      </c>
      <c r="K39" s="2039">
        <f t="shared" si="11"/>
        <v>0</v>
      </c>
      <c r="L39" s="2039">
        <f t="shared" si="11"/>
        <v>5082268</v>
      </c>
      <c r="M39" s="2039">
        <f t="shared" si="11"/>
        <v>232</v>
      </c>
      <c r="N39" s="2039">
        <f t="shared" si="11"/>
        <v>27</v>
      </c>
      <c r="O39" s="2039">
        <f t="shared" si="11"/>
        <v>14</v>
      </c>
      <c r="P39" s="2039">
        <f t="shared" si="11"/>
        <v>0</v>
      </c>
      <c r="Q39" s="2039">
        <f t="shared" si="11"/>
        <v>273</v>
      </c>
      <c r="R39" s="2039">
        <f>SUM(R19:R37)</f>
        <v>380</v>
      </c>
      <c r="S39" s="2039">
        <f t="shared" si="11"/>
        <v>24040670</v>
      </c>
      <c r="T39" s="2039">
        <f t="shared" si="11"/>
        <v>29122938</v>
      </c>
      <c r="U39" s="2039">
        <f t="shared" si="11"/>
        <v>29122938</v>
      </c>
      <c r="V39" s="1541"/>
      <c r="W39" s="1541"/>
      <c r="X39" s="1541"/>
      <c r="Y39" s="3235"/>
    </row>
    <row r="40" spans="1:26" s="910" customFormat="1" ht="36" customHeight="1">
      <c r="A40" s="4102" t="s">
        <v>1918</v>
      </c>
      <c r="B40" s="4102"/>
      <c r="C40" s="4102"/>
      <c r="D40" s="4102"/>
      <c r="E40" s="4102"/>
      <c r="F40" s="4102"/>
      <c r="G40" s="4102"/>
      <c r="H40" s="4102"/>
      <c r="I40" s="4102"/>
      <c r="J40" s="4102"/>
      <c r="K40" s="4102"/>
      <c r="L40" s="4102"/>
      <c r="M40" s="4102"/>
      <c r="N40" s="4102"/>
      <c r="O40" s="4102"/>
      <c r="P40" s="4102"/>
      <c r="Q40" s="4102"/>
      <c r="R40" s="4102"/>
      <c r="S40" s="4102"/>
      <c r="T40" s="4102"/>
      <c r="U40" s="4102"/>
      <c r="Y40" s="3382"/>
      <c r="Z40" s="910">
        <v>33</v>
      </c>
    </row>
    <row r="41" spans="1:26" ht="21.75" customHeight="1">
      <c r="O41" s="1950"/>
      <c r="P41" s="1950"/>
      <c r="Q41" s="1950"/>
      <c r="R41" s="1950"/>
      <c r="S41" s="3938" t="s">
        <v>1915</v>
      </c>
      <c r="U41" s="1950"/>
      <c r="V41" s="925"/>
      <c r="W41" s="925"/>
      <c r="X41" s="925"/>
    </row>
    <row r="42" spans="1:26" s="1865" customFormat="1" ht="23.25" customHeight="1">
      <c r="F42" s="3937" t="s">
        <v>45</v>
      </c>
      <c r="L42" s="3937" t="s">
        <v>44</v>
      </c>
      <c r="O42" s="1332"/>
      <c r="P42" s="1332"/>
      <c r="Q42" s="4118" t="s">
        <v>1104</v>
      </c>
      <c r="R42" s="4118"/>
      <c r="S42" s="4118"/>
      <c r="T42" s="4118"/>
      <c r="U42" s="4118"/>
      <c r="W42" s="3375">
        <f>U39-U38</f>
        <v>29122938</v>
      </c>
      <c r="Z42" s="3252"/>
    </row>
    <row r="43" spans="1:26">
      <c r="A43" s="909"/>
      <c r="C43" s="926"/>
      <c r="D43" s="926"/>
      <c r="G43" s="927"/>
      <c r="H43" s="928"/>
      <c r="I43" s="928"/>
      <c r="J43" s="912"/>
      <c r="K43" s="3294"/>
      <c r="L43" s="929"/>
      <c r="M43" s="926"/>
      <c r="N43" s="926"/>
      <c r="O43" s="926"/>
      <c r="P43" s="926"/>
      <c r="Q43" s="926"/>
      <c r="R43" s="926"/>
      <c r="S43" s="930"/>
    </row>
    <row r="44" spans="1:26">
      <c r="A44" s="909"/>
      <c r="C44" s="909"/>
      <c r="D44" s="909"/>
      <c r="G44" s="927"/>
      <c r="K44" s="3294"/>
      <c r="L44" s="926"/>
      <c r="N44" s="923"/>
      <c r="P44" s="923"/>
      <c r="Q44" s="923"/>
      <c r="R44" s="923"/>
      <c r="S44" s="926"/>
    </row>
    <row r="45" spans="1:26">
      <c r="A45" s="909"/>
      <c r="C45" s="909"/>
      <c r="D45" s="909"/>
      <c r="E45" s="925"/>
      <c r="F45" s="925"/>
      <c r="G45" s="1968"/>
      <c r="K45" s="3294"/>
      <c r="L45" s="4085"/>
      <c r="M45" s="4085"/>
      <c r="U45" s="3298"/>
    </row>
    <row r="46" spans="1:26">
      <c r="A46" s="909"/>
      <c r="C46" s="909"/>
      <c r="D46" s="909"/>
      <c r="E46" s="925"/>
      <c r="F46" s="925"/>
      <c r="G46" s="1968"/>
      <c r="K46" s="3294"/>
      <c r="L46" s="3298"/>
      <c r="M46" s="3298"/>
      <c r="O46" s="3298"/>
      <c r="U46" s="3298"/>
      <c r="Y46" s="3394">
        <v>85236709.503490001</v>
      </c>
    </row>
    <row r="47" spans="1:26">
      <c r="A47" s="909"/>
      <c r="C47" s="909"/>
      <c r="D47" s="909"/>
      <c r="G47" s="1967"/>
      <c r="K47" s="3294"/>
      <c r="L47" s="909"/>
      <c r="M47" s="933"/>
      <c r="N47" s="4086"/>
      <c r="O47" s="4086"/>
      <c r="P47" s="4086"/>
      <c r="Q47" s="4086"/>
      <c r="R47" s="4086"/>
      <c r="S47" s="4086"/>
    </row>
    <row r="48" spans="1:26">
      <c r="A48" s="909"/>
      <c r="C48" s="909"/>
      <c r="D48" s="909"/>
      <c r="E48" s="934"/>
      <c r="F48" s="934"/>
      <c r="G48" s="1966"/>
      <c r="H48" s="1968"/>
      <c r="I48" s="1968"/>
      <c r="J48" s="4094"/>
      <c r="K48" s="4094"/>
      <c r="L48" s="4094"/>
      <c r="M48" s="4094"/>
      <c r="N48" s="4094"/>
      <c r="O48" s="4094"/>
      <c r="P48" s="4094"/>
      <c r="Q48" s="4094"/>
      <c r="R48" s="4094"/>
      <c r="S48" s="4094"/>
      <c r="T48" s="4094"/>
      <c r="U48" s="4094"/>
    </row>
    <row r="49" spans="1:20" s="935" customFormat="1" ht="17.25">
      <c r="G49" s="1965"/>
      <c r="H49" s="936"/>
      <c r="I49" s="936"/>
      <c r="J49" s="937"/>
      <c r="K49" s="938"/>
      <c r="L49" s="939"/>
      <c r="M49" s="940"/>
      <c r="N49" s="940"/>
      <c r="O49" s="940"/>
      <c r="P49" s="940"/>
      <c r="Q49" s="940"/>
      <c r="R49" s="940"/>
    </row>
    <row r="50" spans="1:20">
      <c r="E50" s="941"/>
      <c r="F50" s="941"/>
      <c r="T50" s="925"/>
    </row>
    <row r="51" spans="1:20">
      <c r="A51" s="942"/>
      <c r="M51" s="912"/>
      <c r="N51" s="912"/>
      <c r="O51" s="912"/>
      <c r="P51" s="912"/>
      <c r="Q51" s="912"/>
      <c r="R51" s="912"/>
      <c r="S51" s="912"/>
      <c r="T51" s="3298"/>
    </row>
    <row r="52" spans="1:20">
      <c r="A52" s="943"/>
      <c r="N52" s="1968"/>
      <c r="P52" s="1968"/>
      <c r="Q52" s="1968"/>
      <c r="R52" s="1968"/>
      <c r="S52" s="925"/>
    </row>
    <row r="53" spans="1:20">
      <c r="A53" s="943"/>
      <c r="S53" s="941"/>
    </row>
    <row r="54" spans="1:20">
      <c r="L54" s="944"/>
    </row>
  </sheetData>
  <mergeCells count="27">
    <mergeCell ref="Q42:U42"/>
    <mergeCell ref="L45:M45"/>
    <mergeCell ref="N47:S47"/>
    <mergeCell ref="J48:M48"/>
    <mergeCell ref="N48:U48"/>
    <mergeCell ref="A40:U40"/>
    <mergeCell ref="E13:G13"/>
    <mergeCell ref="E14:G14"/>
    <mergeCell ref="A15:A17"/>
    <mergeCell ref="B15:C17"/>
    <mergeCell ref="D15:D17"/>
    <mergeCell ref="E15:E17"/>
    <mergeCell ref="F15:F17"/>
    <mergeCell ref="G15:S15"/>
    <mergeCell ref="T15:T17"/>
    <mergeCell ref="U15:U17"/>
    <mergeCell ref="G16:H16"/>
    <mergeCell ref="I16:L16"/>
    <mergeCell ref="M16:S16"/>
    <mergeCell ref="A39:E39"/>
    <mergeCell ref="S14:U14"/>
    <mergeCell ref="A12:U12"/>
    <mergeCell ref="A4:U4"/>
    <mergeCell ref="A5:U5"/>
    <mergeCell ref="A6:U6"/>
    <mergeCell ref="A7:G7"/>
    <mergeCell ref="A8:G8"/>
  </mergeCells>
  <pageMargins left="0.51181102362204722" right="0.51181102362204722" top="0" bottom="0" header="0" footer="0"/>
  <pageSetup paperSize="9" scale="5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8"/>
  <sheetViews>
    <sheetView topLeftCell="A4" zoomScale="70" zoomScaleNormal="70" workbookViewId="0">
      <pane xSplit="2" topLeftCell="C1" activePane="topRight" state="frozen"/>
      <selection activeCell="G46" sqref="G46"/>
      <selection pane="topRight" activeCell="R30" sqref="R30:R31"/>
    </sheetView>
  </sheetViews>
  <sheetFormatPr defaultColWidth="9.25" defaultRowHeight="16.5"/>
  <cols>
    <col min="1" max="1" width="6.75" style="3255" customWidth="1"/>
    <col min="2" max="2" width="9.375" style="909" hidden="1" customWidth="1"/>
    <col min="3" max="3" width="21.375" style="915" customWidth="1"/>
    <col min="4" max="4" width="6.375" style="915" hidden="1" customWidth="1"/>
    <col min="5" max="5" width="8" style="909" hidden="1" customWidth="1"/>
    <col min="6" max="6" width="22.5" style="909" customWidth="1"/>
    <col min="7" max="7" width="15.75" style="911" customWidth="1"/>
    <col min="8" max="8" width="17.375" style="909" customWidth="1"/>
    <col min="9" max="9" width="17.875" style="909" customWidth="1"/>
    <col min="10" max="10" width="13.375" style="911" customWidth="1"/>
    <col min="11" max="11" width="7.875" style="3256" customWidth="1"/>
    <col min="12" max="12" width="15.625" style="912" customWidth="1"/>
    <col min="13" max="13" width="13" style="909" customWidth="1"/>
    <col min="14" max="14" width="11.125" style="909" customWidth="1"/>
    <col min="15" max="15" width="14" style="909" customWidth="1"/>
    <col min="16" max="16" width="17.375" style="909" customWidth="1"/>
    <col min="17" max="17" width="1.875" style="909" hidden="1" customWidth="1"/>
    <col min="18" max="18" width="18.25" style="909" customWidth="1"/>
    <col min="19" max="19" width="18.875" style="909" customWidth="1"/>
    <col min="20" max="20" width="19.375" style="909" hidden="1" customWidth="1"/>
    <col min="21" max="21" width="17.875" style="909" hidden="1" customWidth="1"/>
    <col min="22" max="22" width="0" style="909" hidden="1" customWidth="1"/>
    <col min="23" max="23" width="15.875" style="909" hidden="1" customWidth="1"/>
    <col min="24" max="24" width="0" style="909" hidden="1" customWidth="1"/>
    <col min="25" max="25" width="12.625" style="909" hidden="1" customWidth="1"/>
    <col min="26" max="16384" width="9.25" style="909"/>
  </cols>
  <sheetData>
    <row r="1" spans="1:25" ht="59.25" customHeight="1">
      <c r="A1" s="4104" t="s">
        <v>165</v>
      </c>
      <c r="B1" s="4104"/>
      <c r="C1" s="4104"/>
      <c r="D1" s="4104"/>
      <c r="E1" s="4104"/>
      <c r="F1" s="4104"/>
      <c r="G1" s="4104"/>
      <c r="H1" s="4104"/>
      <c r="I1" s="4104"/>
      <c r="J1" s="4104"/>
      <c r="K1" s="4104"/>
      <c r="L1" s="4104"/>
      <c r="M1" s="4104"/>
      <c r="N1" s="4104"/>
      <c r="O1" s="4104"/>
      <c r="P1" s="4104"/>
      <c r="Q1" s="4104"/>
      <c r="R1" s="4104"/>
      <c r="S1" s="4104"/>
    </row>
    <row r="2" spans="1:25" ht="22.5" customHeight="1">
      <c r="A2" s="4104" t="s">
        <v>171</v>
      </c>
      <c r="B2" s="4104"/>
      <c r="C2" s="4104"/>
      <c r="D2" s="4104"/>
      <c r="E2" s="4104"/>
      <c r="F2" s="4104"/>
      <c r="G2" s="4104"/>
      <c r="H2" s="4104"/>
      <c r="I2" s="4104"/>
      <c r="J2" s="4104"/>
      <c r="K2" s="4104"/>
      <c r="L2" s="4104"/>
      <c r="M2" s="4104"/>
      <c r="N2" s="4104"/>
      <c r="O2" s="4104"/>
      <c r="P2" s="4104"/>
      <c r="Q2" s="4104"/>
      <c r="R2" s="4104"/>
      <c r="S2" s="4104"/>
    </row>
    <row r="3" spans="1:25" ht="12.75" customHeight="1">
      <c r="A3" s="4104" t="s">
        <v>726</v>
      </c>
      <c r="B3" s="4104"/>
      <c r="C3" s="4104"/>
      <c r="D3" s="4104"/>
      <c r="E3" s="4104"/>
      <c r="F3" s="4104"/>
      <c r="G3" s="4104"/>
      <c r="H3" s="4104"/>
      <c r="I3" s="4104"/>
      <c r="J3" s="4104"/>
      <c r="K3" s="4104"/>
      <c r="L3" s="4104"/>
      <c r="M3" s="4104"/>
      <c r="N3" s="4104"/>
      <c r="O3" s="4104"/>
      <c r="P3" s="4104"/>
      <c r="Q3" s="4104"/>
      <c r="R3" s="4104"/>
      <c r="S3" s="4104"/>
    </row>
    <row r="4" spans="1:25" ht="24.75" customHeight="1">
      <c r="A4" s="4105" t="s">
        <v>602</v>
      </c>
      <c r="B4" s="4105"/>
      <c r="C4" s="4105"/>
      <c r="D4" s="4105"/>
      <c r="E4" s="4105"/>
      <c r="F4" s="4105"/>
      <c r="G4" s="4105"/>
      <c r="H4" s="3254"/>
      <c r="I4" s="3254"/>
      <c r="J4" s="3254"/>
      <c r="K4" s="3254"/>
      <c r="L4" s="3254"/>
      <c r="M4" s="3254"/>
      <c r="N4" s="3254"/>
      <c r="O4" s="3254"/>
      <c r="P4" s="3254"/>
      <c r="Q4" s="3254"/>
      <c r="R4" s="3254"/>
      <c r="S4" s="3254"/>
    </row>
    <row r="5" spans="1:25" s="2004" customFormat="1" ht="21.75" customHeight="1">
      <c r="A5" s="4106" t="s">
        <v>541</v>
      </c>
      <c r="B5" s="4106"/>
      <c r="C5" s="4106"/>
      <c r="D5" s="4106"/>
      <c r="E5" s="4106"/>
      <c r="F5" s="4106"/>
      <c r="G5" s="4106"/>
      <c r="H5" s="3258"/>
      <c r="I5" s="3258"/>
      <c r="J5" s="3258"/>
      <c r="K5" s="3258"/>
      <c r="L5" s="3258"/>
      <c r="M5" s="3258"/>
      <c r="N5" s="3258"/>
      <c r="O5" s="3258"/>
      <c r="P5" s="3258"/>
      <c r="Q5" s="3258"/>
      <c r="R5" s="3258"/>
      <c r="S5" s="3258"/>
    </row>
    <row r="6" spans="1:25" ht="12.75" customHeight="1">
      <c r="A6" s="3254"/>
      <c r="B6" s="3254"/>
      <c r="C6" s="3254"/>
      <c r="D6" s="3254"/>
      <c r="E6" s="3254"/>
      <c r="F6" s="3254"/>
      <c r="G6" s="3254"/>
      <c r="H6" s="3254"/>
      <c r="I6" s="3254"/>
      <c r="J6" s="3254"/>
      <c r="K6" s="3254"/>
      <c r="L6" s="3254"/>
      <c r="M6" s="3254"/>
      <c r="N6" s="3254"/>
      <c r="O6" s="3254"/>
      <c r="P6" s="3254"/>
      <c r="Q6" s="3254"/>
      <c r="R6" s="3254"/>
      <c r="S6" s="3254"/>
    </row>
    <row r="7" spans="1:25" ht="12.75" customHeight="1">
      <c r="A7" s="3254"/>
      <c r="B7" s="3254"/>
      <c r="C7" s="3254"/>
      <c r="D7" s="3254"/>
      <c r="E7" s="3254"/>
      <c r="F7" s="3254"/>
      <c r="G7" s="3254"/>
      <c r="H7" s="3254"/>
      <c r="I7" s="3254"/>
      <c r="J7" s="3254"/>
      <c r="K7" s="3254"/>
      <c r="L7" s="3254"/>
      <c r="M7" s="3254"/>
      <c r="N7" s="3254"/>
      <c r="O7" s="3254"/>
      <c r="P7" s="3254"/>
      <c r="Q7" s="3254"/>
      <c r="R7" s="3254"/>
      <c r="S7" s="3254"/>
    </row>
    <row r="8" spans="1:25" ht="12.75" customHeight="1">
      <c r="A8" s="3254"/>
      <c r="B8" s="3254"/>
      <c r="C8" s="3254"/>
      <c r="D8" s="3254"/>
      <c r="E8" s="3254"/>
      <c r="F8" s="3254"/>
      <c r="G8" s="3254"/>
      <c r="H8" s="3254"/>
      <c r="I8" s="3254"/>
      <c r="J8" s="3254"/>
      <c r="K8" s="3254"/>
      <c r="L8" s="3254"/>
      <c r="M8" s="3254"/>
      <c r="N8" s="3254"/>
      <c r="O8" s="3254"/>
      <c r="P8" s="3254"/>
      <c r="Q8" s="3254"/>
      <c r="R8" s="3254"/>
      <c r="S8" s="3254"/>
    </row>
    <row r="9" spans="1:25" s="910" customFormat="1" ht="25.5" customHeight="1">
      <c r="A9" s="4107" t="s">
        <v>1814</v>
      </c>
      <c r="B9" s="4107"/>
      <c r="C9" s="4107"/>
      <c r="D9" s="4107"/>
      <c r="E9" s="4107"/>
      <c r="F9" s="4107"/>
      <c r="G9" s="4107"/>
      <c r="H9" s="4107"/>
      <c r="I9" s="4107"/>
      <c r="J9" s="4107"/>
      <c r="K9" s="4107"/>
      <c r="L9" s="4107"/>
      <c r="M9" s="4107"/>
      <c r="N9" s="4107"/>
      <c r="O9" s="4107"/>
      <c r="P9" s="4107"/>
      <c r="Q9" s="4107"/>
      <c r="R9" s="4107"/>
      <c r="S9" s="4107"/>
    </row>
    <row r="10" spans="1:25" s="910" customFormat="1" ht="21" customHeight="1">
      <c r="A10" s="1969"/>
      <c r="B10" s="1969"/>
      <c r="C10" s="1385"/>
      <c r="D10" s="1384"/>
      <c r="E10" s="4097"/>
      <c r="F10" s="4097"/>
      <c r="G10" s="4097"/>
      <c r="H10" s="1969"/>
      <c r="I10" s="1969"/>
      <c r="J10" s="1969"/>
      <c r="K10" s="1969"/>
      <c r="L10" s="1969"/>
      <c r="M10" s="1969"/>
      <c r="N10" s="1969"/>
      <c r="O10" s="1969"/>
      <c r="P10" s="1969"/>
      <c r="Q10" s="1969"/>
      <c r="R10" s="1969"/>
      <c r="S10" s="1969"/>
    </row>
    <row r="11" spans="1:25" ht="21" hidden="1" customHeight="1">
      <c r="C11" s="1385" t="s">
        <v>894</v>
      </c>
      <c r="D11" s="1386" t="s">
        <v>894</v>
      </c>
      <c r="E11" s="4066">
        <f>'1'!E9:G9</f>
        <v>646.20000000000005</v>
      </c>
      <c r="F11" s="4066"/>
      <c r="G11" s="4066"/>
      <c r="H11" s="917">
        <f>'BẢNG LƯƠNG KT'!H10</f>
        <v>655.8</v>
      </c>
      <c r="I11" s="917"/>
      <c r="J11" s="916"/>
      <c r="K11" s="918"/>
      <c r="L11" s="919"/>
      <c r="M11" s="920"/>
      <c r="N11" s="920"/>
      <c r="O11" s="920"/>
      <c r="P11" s="920"/>
      <c r="Q11" s="920"/>
      <c r="R11" s="4044" t="s">
        <v>1154</v>
      </c>
      <c r="S11" s="4044"/>
    </row>
    <row r="12" spans="1:25" s="3258" customFormat="1" ht="21.75" customHeight="1">
      <c r="A12" s="4108" t="s">
        <v>1</v>
      </c>
      <c r="B12" s="4110" t="s">
        <v>20</v>
      </c>
      <c r="C12" s="4110"/>
      <c r="D12" s="4110" t="s">
        <v>239</v>
      </c>
      <c r="E12" s="4108" t="s">
        <v>26</v>
      </c>
      <c r="F12" s="4108" t="s">
        <v>9</v>
      </c>
      <c r="G12" s="4129" t="s">
        <v>27</v>
      </c>
      <c r="H12" s="4130"/>
      <c r="I12" s="4130"/>
      <c r="J12" s="4130"/>
      <c r="K12" s="4130"/>
      <c r="L12" s="4130"/>
      <c r="M12" s="4130"/>
      <c r="N12" s="4130"/>
      <c r="O12" s="4130"/>
      <c r="P12" s="4130"/>
      <c r="Q12" s="4131"/>
      <c r="R12" s="4111" t="s">
        <v>1162</v>
      </c>
      <c r="S12" s="4112" t="s">
        <v>1152</v>
      </c>
    </row>
    <row r="13" spans="1:25" s="3258" customFormat="1" ht="28.5" customHeight="1">
      <c r="A13" s="4108"/>
      <c r="B13" s="4110"/>
      <c r="C13" s="4110"/>
      <c r="D13" s="4110"/>
      <c r="E13" s="4108"/>
      <c r="F13" s="4108"/>
      <c r="G13" s="4113" t="s">
        <v>1143</v>
      </c>
      <c r="H13" s="4113"/>
      <c r="I13" s="4112" t="s">
        <v>31</v>
      </c>
      <c r="J13" s="4112"/>
      <c r="K13" s="4112"/>
      <c r="L13" s="4112"/>
      <c r="M13" s="4126" t="s">
        <v>32</v>
      </c>
      <c r="N13" s="4127"/>
      <c r="O13" s="4127"/>
      <c r="P13" s="4127"/>
      <c r="Q13" s="4128"/>
      <c r="R13" s="4111"/>
      <c r="S13" s="4112"/>
    </row>
    <row r="14" spans="1:25" s="3258" customFormat="1" ht="63" customHeight="1">
      <c r="A14" s="4109"/>
      <c r="B14" s="4110"/>
      <c r="C14" s="4110"/>
      <c r="D14" s="4110"/>
      <c r="E14" s="4109"/>
      <c r="F14" s="4108"/>
      <c r="G14" s="922" t="s">
        <v>362</v>
      </c>
      <c r="H14" s="3890" t="s">
        <v>1889</v>
      </c>
      <c r="I14" s="3259" t="s">
        <v>1148</v>
      </c>
      <c r="J14" s="922" t="s">
        <v>1149</v>
      </c>
      <c r="K14" s="3261" t="s">
        <v>37</v>
      </c>
      <c r="L14" s="3261" t="s">
        <v>38</v>
      </c>
      <c r="M14" s="3262" t="s">
        <v>954</v>
      </c>
      <c r="N14" s="3262" t="s">
        <v>955</v>
      </c>
      <c r="O14" s="3898" t="s">
        <v>1893</v>
      </c>
      <c r="P14" s="3261" t="s">
        <v>24</v>
      </c>
      <c r="Q14" s="3263" t="s">
        <v>1352</v>
      </c>
      <c r="R14" s="4111"/>
      <c r="S14" s="4112"/>
      <c r="T14" s="3627">
        <f>SUM(T16:T31)</f>
        <v>3586621</v>
      </c>
    </row>
    <row r="15" spans="1:25" s="2415" customFormat="1" ht="30.75" customHeight="1">
      <c r="A15" s="2441" t="s">
        <v>606</v>
      </c>
      <c r="B15" s="2441" t="s">
        <v>609</v>
      </c>
      <c r="C15" s="2441" t="s">
        <v>607</v>
      </c>
      <c r="D15" s="2441" t="s">
        <v>611</v>
      </c>
      <c r="E15" s="2441" t="s">
        <v>635</v>
      </c>
      <c r="F15" s="2441" t="s">
        <v>608</v>
      </c>
      <c r="G15" s="2441" t="s">
        <v>609</v>
      </c>
      <c r="H15" s="2441" t="s">
        <v>610</v>
      </c>
      <c r="I15" s="2441" t="s">
        <v>611</v>
      </c>
      <c r="J15" s="2441" t="s">
        <v>635</v>
      </c>
      <c r="K15" s="2441" t="s">
        <v>692</v>
      </c>
      <c r="L15" s="2441" t="s">
        <v>636</v>
      </c>
      <c r="M15" s="2441" t="s">
        <v>637</v>
      </c>
      <c r="N15" s="2441" t="s">
        <v>1245</v>
      </c>
      <c r="O15" s="2440" t="s">
        <v>693</v>
      </c>
      <c r="P15" s="2440" t="s">
        <v>694</v>
      </c>
      <c r="Q15" s="2440" t="s">
        <v>1251</v>
      </c>
      <c r="R15" s="2441" t="s">
        <v>1895</v>
      </c>
      <c r="S15" s="2440" t="s">
        <v>1246</v>
      </c>
      <c r="T15" s="2416">
        <v>20000</v>
      </c>
    </row>
    <row r="16" spans="1:25" s="1540" customFormat="1" ht="27" customHeight="1">
      <c r="A16" s="3373">
        <v>1</v>
      </c>
      <c r="B16" s="1544" t="s">
        <v>482</v>
      </c>
      <c r="C16" s="3697" t="str">
        <f>'Chấm công công nhân'!L71</f>
        <v>Thảo Bun</v>
      </c>
      <c r="D16" s="1545" t="e">
        <f>VLOOKUP(C16,'Mã số NV'!$B$6:$D$53,3,0)</f>
        <v>#N/A</v>
      </c>
      <c r="E16" s="1546" t="s">
        <v>40</v>
      </c>
      <c r="F16" s="3372"/>
      <c r="G16" s="3371"/>
      <c r="H16" s="3370">
        <f>G16*25000</f>
        <v>0</v>
      </c>
      <c r="I16" s="1548">
        <f>+VLOOKUP(C16,'Tong hop cong'!C73:S73,17,0)</f>
        <v>218</v>
      </c>
      <c r="J16" s="1549">
        <f>+VLOOKUP(C16,'Tong hop cong'!$C$73:$U$88,19,0)</f>
        <v>134.48461493411421</v>
      </c>
      <c r="K16" s="1550" t="str">
        <f>+VLOOKUP(C16,'Tong hop cong'!C73:AA74,25,0)</f>
        <v>B</v>
      </c>
      <c r="L16" s="1551">
        <f>ROUND((IF(K16="A",(J16*((6.1+0.6)*$E$11)),IF(K16="B",(J16*((5.8+0.6)*$E$11)),IF(K16="C",(J16*((5.5+0.6)*$E$11)),IF(K16="D",(J16*((5.2+0.6)*$E$11))))))),0)</f>
        <v>556185</v>
      </c>
      <c r="M16" s="1549">
        <f>+VLOOKUP(C16,'Tong hop cong'!C73:V79,20,0)</f>
        <v>19</v>
      </c>
      <c r="N16" s="1549">
        <f>+VLOOKUP(C16,'Tong hop cong'!C73:W79,21,0)</f>
        <v>4</v>
      </c>
      <c r="O16" s="1549">
        <v>20</v>
      </c>
      <c r="P16" s="1551">
        <f>ROUND(((M16+N16)*100000),0)+O16*25000</f>
        <v>2800000</v>
      </c>
      <c r="Q16" s="1551"/>
      <c r="R16" s="1551">
        <f t="shared" ref="R16:R30" si="0">H16+L16+P16</f>
        <v>3356185</v>
      </c>
      <c r="S16" s="1552">
        <f t="shared" ref="S16:S31" si="1">R16</f>
        <v>3356185</v>
      </c>
      <c r="T16" s="3628">
        <f>ROUND(L16,0)</f>
        <v>556185</v>
      </c>
      <c r="W16" s="2943">
        <v>8770905.2027592603</v>
      </c>
      <c r="Y16" s="2944">
        <f>W16-S16</f>
        <v>5414720.2027592603</v>
      </c>
    </row>
    <row r="17" spans="1:25" s="1540" customFormat="1" ht="27.75" customHeight="1">
      <c r="A17" s="3373">
        <v>2</v>
      </c>
      <c r="B17" s="1544" t="s">
        <v>484</v>
      </c>
      <c r="C17" s="3697" t="str">
        <f>'Chấm công công nhân'!L72</f>
        <v>Thảo Nga</v>
      </c>
      <c r="D17" s="1545" t="e">
        <f>VLOOKUP(C17,'Mã số NV'!$B$6:$D$53,3,0)</f>
        <v>#N/A</v>
      </c>
      <c r="E17" s="1546" t="s">
        <v>40</v>
      </c>
      <c r="F17" s="3372"/>
      <c r="G17" s="3371"/>
      <c r="H17" s="3370">
        <f t="shared" ref="H17:H31" si="2">G17*25000</f>
        <v>0</v>
      </c>
      <c r="I17" s="1548">
        <f>+VLOOKUP(C17,'Tong hop cong'!C74:S74,17,0)</f>
        <v>189</v>
      </c>
      <c r="J17" s="1549">
        <f>+VLOOKUP(C17,'Tong hop cong'!$C$73:$U$88,19,0)</f>
        <v>116.5944597364568</v>
      </c>
      <c r="K17" s="1550" t="str">
        <f>+VLOOKUP(C17,'Tong hop cong'!C74:AA75,25,0)</f>
        <v>A</v>
      </c>
      <c r="L17" s="1551">
        <f t="shared" ref="L17:L31" si="3">ROUND((IF(K17="A",(J17*((6.1+0.6)*$E$11)),IF(K17="B",(J17*((5.8+0.6)*$E$11)),IF(K17="C",(J17*((5.5+0.6)*$E$11)),IF(K17="D",(J17*((5.2+0.6)*$E$11))))))),0)</f>
        <v>504800</v>
      </c>
      <c r="M17" s="1549">
        <f>+VLOOKUP(C17,'Tong hop cong'!C74:V80,20,0)</f>
        <v>15</v>
      </c>
      <c r="N17" s="1549">
        <f>+VLOOKUP(C17,'Tong hop cong'!C74:W80,21,0)</f>
        <v>3</v>
      </c>
      <c r="O17" s="1549">
        <v>20</v>
      </c>
      <c r="P17" s="1551">
        <f>ROUND(((M17+N17)*100000),0)+O17*25000</f>
        <v>2300000</v>
      </c>
      <c r="Q17" s="1551"/>
      <c r="R17" s="1551">
        <f t="shared" si="0"/>
        <v>2804800</v>
      </c>
      <c r="S17" s="1552">
        <f t="shared" si="1"/>
        <v>2804800</v>
      </c>
      <c r="T17" s="3628">
        <f t="shared" ref="T17:T32" si="4">ROUND(L17,0)</f>
        <v>504800</v>
      </c>
      <c r="U17" s="2707"/>
      <c r="W17" s="2943">
        <v>6199567.9679549653</v>
      </c>
      <c r="Y17" s="2944">
        <f t="shared" ref="Y17:Y20" si="5">W17-S17</f>
        <v>3394767.9679549653</v>
      </c>
    </row>
    <row r="18" spans="1:25" s="1540" customFormat="1" ht="27.75" customHeight="1">
      <c r="A18" s="3373">
        <v>3</v>
      </c>
      <c r="B18" s="1544" t="s">
        <v>486</v>
      </c>
      <c r="C18" s="3697" t="str">
        <f>'Chấm công công nhân'!L73</f>
        <v>Thảo Tia</v>
      </c>
      <c r="D18" s="1545" t="e">
        <f>VLOOKUP(C18,'Mã số NV'!$B$6:$D$53,3,0)</f>
        <v>#N/A</v>
      </c>
      <c r="E18" s="1546" t="s">
        <v>40</v>
      </c>
      <c r="F18" s="3374"/>
      <c r="G18" s="3371"/>
      <c r="H18" s="3370">
        <f t="shared" si="2"/>
        <v>0</v>
      </c>
      <c r="I18" s="1548">
        <f>+VLOOKUP(C18,'Tong hop cong'!C75:S75,17,0)</f>
        <v>211</v>
      </c>
      <c r="J18" s="1549">
        <f>+VLOOKUP(C18,'Tong hop cong'!$C$73:$U$88,19,0)</f>
        <v>130.16630161054172</v>
      </c>
      <c r="K18" s="1550" t="str">
        <f>+VLOOKUP(C18,'Tong hop cong'!C75:AA76,25,0)</f>
        <v>A</v>
      </c>
      <c r="L18" s="1551">
        <f t="shared" si="3"/>
        <v>563560</v>
      </c>
      <c r="M18" s="1549">
        <f>+VLOOKUP(C18,'Tong hop cong'!C75:V81,20,0)</f>
        <v>16</v>
      </c>
      <c r="N18" s="1549">
        <f>+VLOOKUP(C18,'Tong hop cong'!C75:W81,21,0)</f>
        <v>3</v>
      </c>
      <c r="O18" s="1549">
        <v>20</v>
      </c>
      <c r="P18" s="1551">
        <f t="shared" ref="P18:P30" si="6">ROUND(((M18+N18)*100000),0)+O18*25000</f>
        <v>2400000</v>
      </c>
      <c r="Q18" s="1551"/>
      <c r="R18" s="1551">
        <f t="shared" si="0"/>
        <v>2963560</v>
      </c>
      <c r="S18" s="1552">
        <f t="shared" si="1"/>
        <v>2963560</v>
      </c>
      <c r="T18" s="3628">
        <f t="shared" si="4"/>
        <v>563560</v>
      </c>
      <c r="U18" s="2708"/>
      <c r="W18" s="2943">
        <v>6404613.8923295289</v>
      </c>
      <c r="Y18" s="2944">
        <f t="shared" si="5"/>
        <v>3441053.8923295289</v>
      </c>
    </row>
    <row r="19" spans="1:25" s="1540" customFormat="1" ht="28.5" customHeight="1">
      <c r="A19" s="3373">
        <v>4</v>
      </c>
      <c r="B19" s="1544"/>
      <c r="C19" s="3697" t="str">
        <f>'Chấm công công nhân'!L74</f>
        <v>Thảo Nuy</v>
      </c>
      <c r="D19" s="1545"/>
      <c r="E19" s="1546" t="s">
        <v>40</v>
      </c>
      <c r="F19" s="3374"/>
      <c r="G19" s="3371"/>
      <c r="H19" s="3370">
        <f t="shared" si="2"/>
        <v>0</v>
      </c>
      <c r="I19" s="1548">
        <f>+VLOOKUP(C19,'Tong hop cong'!C76:S76,17,0)</f>
        <v>211</v>
      </c>
      <c r="J19" s="1549">
        <f>+VLOOKUP(C19,'Tong hop cong'!$C$73:$U$88,19,0)</f>
        <v>130.16630161054172</v>
      </c>
      <c r="K19" s="1550" t="str">
        <f>+VLOOKUP(C19,'Tong hop cong'!C76:AA77,25,0)</f>
        <v>B</v>
      </c>
      <c r="L19" s="1551">
        <f t="shared" si="3"/>
        <v>538326</v>
      </c>
      <c r="M19" s="1549">
        <f>+VLOOKUP(C19,'Tong hop cong'!C76:V82,20,0)</f>
        <v>15</v>
      </c>
      <c r="N19" s="1549">
        <f>+VLOOKUP(C19,'Tong hop cong'!C76:W82,21,0)</f>
        <v>3</v>
      </c>
      <c r="O19" s="1549">
        <v>20</v>
      </c>
      <c r="P19" s="1551">
        <f t="shared" si="6"/>
        <v>2300000</v>
      </c>
      <c r="Q19" s="1551"/>
      <c r="R19" s="1551">
        <f t="shared" si="0"/>
        <v>2838326</v>
      </c>
      <c r="S19" s="1552">
        <f t="shared" si="1"/>
        <v>2838326</v>
      </c>
      <c r="T19" s="3628">
        <f t="shared" si="4"/>
        <v>538326</v>
      </c>
      <c r="U19" s="2706"/>
      <c r="W19" s="2943">
        <v>7766067.0230760807</v>
      </c>
      <c r="Y19" s="2944">
        <f t="shared" si="5"/>
        <v>4927741.0230760807</v>
      </c>
    </row>
    <row r="20" spans="1:25" s="1540" customFormat="1" ht="29.25" customHeight="1">
      <c r="A20" s="3373">
        <v>5</v>
      </c>
      <c r="B20" s="1544"/>
      <c r="C20" s="3697" t="str">
        <f>'Chấm công công nhân'!L75</f>
        <v>Thảo Xay</v>
      </c>
      <c r="D20" s="1545"/>
      <c r="E20" s="1546" t="s">
        <v>40</v>
      </c>
      <c r="F20" s="3374"/>
      <c r="G20" s="3371"/>
      <c r="H20" s="3370">
        <f t="shared" si="2"/>
        <v>0</v>
      </c>
      <c r="I20" s="1548">
        <f>+VLOOKUP(C20,'Tong hop cong'!C77:S77,17,0)</f>
        <v>65</v>
      </c>
      <c r="J20" s="1549">
        <f>+VLOOKUP(C20,'Tong hop cong'!$C$73:$U$88,19,0)</f>
        <v>40.098623718887261</v>
      </c>
      <c r="K20" s="1550" t="str">
        <f>+VLOOKUP(C20,'Tong hop cong'!C77:AA78,25,0)</f>
        <v>B</v>
      </c>
      <c r="L20" s="1551">
        <f t="shared" si="3"/>
        <v>165835</v>
      </c>
      <c r="M20" s="1549">
        <f>+VLOOKUP(C20,'Tong hop cong'!C77:V83,20,0)</f>
        <v>10</v>
      </c>
      <c r="N20" s="1549">
        <f>+VLOOKUP(C20,'Tong hop cong'!C77:W83,21,0)</f>
        <v>2</v>
      </c>
      <c r="O20" s="1549">
        <v>20</v>
      </c>
      <c r="P20" s="1551">
        <f t="shared" si="6"/>
        <v>1700000</v>
      </c>
      <c r="Q20" s="1551"/>
      <c r="R20" s="1551">
        <f t="shared" si="0"/>
        <v>1865835</v>
      </c>
      <c r="S20" s="1552">
        <f t="shared" si="1"/>
        <v>1865835</v>
      </c>
      <c r="T20" s="3628">
        <f t="shared" si="4"/>
        <v>165835</v>
      </c>
      <c r="U20" s="2451">
        <f>Mủ!AW67</f>
        <v>0</v>
      </c>
      <c r="W20" s="2943">
        <v>6887913.7991066957</v>
      </c>
      <c r="Y20" s="2944">
        <f t="shared" si="5"/>
        <v>5022078.7991066957</v>
      </c>
    </row>
    <row r="21" spans="1:25" s="1540" customFormat="1" ht="29.25" customHeight="1">
      <c r="A21" s="3373">
        <v>6</v>
      </c>
      <c r="B21" s="1544"/>
      <c r="C21" s="3697" t="str">
        <f>'Chấm công công nhân'!L76</f>
        <v>Nàng Nọi</v>
      </c>
      <c r="D21" s="1545"/>
      <c r="E21" s="1546" t="s">
        <v>40</v>
      </c>
      <c r="F21" s="3374"/>
      <c r="G21" s="3371"/>
      <c r="H21" s="3370">
        <f t="shared" si="2"/>
        <v>0</v>
      </c>
      <c r="I21" s="1548">
        <f>+VLOOKUP(C21,'Tong hop cong'!C78:S78,17,0)</f>
        <v>0</v>
      </c>
      <c r="J21" s="1549">
        <f>+VLOOKUP(C21,'Tong hop cong'!$C$73:$U$88,19,0)</f>
        <v>0</v>
      </c>
      <c r="K21" s="1550" t="str">
        <f>+VLOOKUP(C21,'Tong hop cong'!C78:AA79,25,0)</f>
        <v>B</v>
      </c>
      <c r="L21" s="1551">
        <f t="shared" si="3"/>
        <v>0</v>
      </c>
      <c r="M21" s="1549">
        <f>+VLOOKUP(C21,'Tong hop cong'!C78:V84,20,0)</f>
        <v>10</v>
      </c>
      <c r="N21" s="1549">
        <f>+VLOOKUP(C21,'Tong hop cong'!C78:W84,21,0)</f>
        <v>1</v>
      </c>
      <c r="O21" s="1549">
        <v>20</v>
      </c>
      <c r="P21" s="1551">
        <f t="shared" si="6"/>
        <v>1600000</v>
      </c>
      <c r="Q21" s="1551"/>
      <c r="R21" s="1551">
        <f t="shared" si="0"/>
        <v>1600000</v>
      </c>
      <c r="S21" s="1552">
        <f t="shared" si="1"/>
        <v>1600000</v>
      </c>
      <c r="T21" s="3628">
        <f t="shared" si="4"/>
        <v>0</v>
      </c>
    </row>
    <row r="22" spans="1:25" s="1540" customFormat="1" ht="27" customHeight="1">
      <c r="A22" s="3373">
        <v>7</v>
      </c>
      <c r="B22" s="1544"/>
      <c r="C22" s="3697" t="str">
        <f>'Chấm công công nhân'!L77</f>
        <v>Thảo Khon</v>
      </c>
      <c r="D22" s="1545"/>
      <c r="E22" s="1546" t="s">
        <v>40</v>
      </c>
      <c r="F22" s="3374"/>
      <c r="G22" s="3371"/>
      <c r="H22" s="3370">
        <f t="shared" si="2"/>
        <v>0</v>
      </c>
      <c r="I22" s="1548">
        <f>+VLOOKUP(C22,'Tong hop cong'!C79:S79,17,0)</f>
        <v>212</v>
      </c>
      <c r="J22" s="1549">
        <f>+VLOOKUP(C22,'Tong hop cong'!$C$73:$U$88,19,0)</f>
        <v>130.7832035139092</v>
      </c>
      <c r="K22" s="1550" t="str">
        <f>+VLOOKUP(C22,'Tong hop cong'!C79:AA80,25,0)</f>
        <v>A</v>
      </c>
      <c r="L22" s="1551">
        <f t="shared" si="3"/>
        <v>566231</v>
      </c>
      <c r="M22" s="1549">
        <f>+VLOOKUP(C22,'Tong hop cong'!C79:V85,20,0)</f>
        <v>15</v>
      </c>
      <c r="N22" s="1549">
        <f>+VLOOKUP(C22,'Tong hop cong'!C79:W85,21,0)</f>
        <v>3</v>
      </c>
      <c r="O22" s="1549">
        <v>20</v>
      </c>
      <c r="P22" s="1551">
        <f t="shared" si="6"/>
        <v>2300000</v>
      </c>
      <c r="Q22" s="1551"/>
      <c r="R22" s="1551">
        <f t="shared" si="0"/>
        <v>2866231</v>
      </c>
      <c r="S22" s="1552">
        <f t="shared" si="1"/>
        <v>2866231</v>
      </c>
      <c r="T22" s="3628">
        <f t="shared" si="4"/>
        <v>566231</v>
      </c>
    </row>
    <row r="23" spans="1:25" s="1540" customFormat="1" ht="25.5" customHeight="1">
      <c r="A23" s="3373">
        <v>8</v>
      </c>
      <c r="B23" s="1544"/>
      <c r="C23" s="3697" t="str">
        <f>'Chấm công công nhân'!L78</f>
        <v>Thảo Tưng</v>
      </c>
      <c r="D23" s="1545"/>
      <c r="E23" s="1546"/>
      <c r="F23" s="1546"/>
      <c r="G23" s="3371"/>
      <c r="H23" s="3370">
        <f t="shared" si="2"/>
        <v>0</v>
      </c>
      <c r="I23" s="1548">
        <f>+VLOOKUP(C23,'Tong hop cong'!C80:S80,17,0)</f>
        <v>23</v>
      </c>
      <c r="J23" s="1549">
        <f>+VLOOKUP(C23,'Tong hop cong'!$C$73:$U$88,19,0)</f>
        <v>14.188743777452414</v>
      </c>
      <c r="K23" s="1550" t="str">
        <f>+VLOOKUP(C23,'Tong hop cong'!C80:AA81,25,0)</f>
        <v>B</v>
      </c>
      <c r="L23" s="1551">
        <f t="shared" si="3"/>
        <v>58680</v>
      </c>
      <c r="M23" s="1549">
        <f>+VLOOKUP(C23,'Tong hop cong'!C80:V86,20,0)</f>
        <v>14</v>
      </c>
      <c r="N23" s="1549">
        <f>+VLOOKUP(C23,'Tong hop cong'!C80:W86,21,0)</f>
        <v>1</v>
      </c>
      <c r="O23" s="1549">
        <v>20</v>
      </c>
      <c r="P23" s="1551">
        <f t="shared" si="6"/>
        <v>2000000</v>
      </c>
      <c r="Q23" s="1551"/>
      <c r="R23" s="1551">
        <f t="shared" si="0"/>
        <v>2058680</v>
      </c>
      <c r="S23" s="1552">
        <f t="shared" si="1"/>
        <v>2058680</v>
      </c>
      <c r="T23" s="3628">
        <f t="shared" si="4"/>
        <v>58680</v>
      </c>
      <c r="U23" s="3065"/>
    </row>
    <row r="24" spans="1:25" s="1540" customFormat="1" ht="27" customHeight="1">
      <c r="A24" s="3373">
        <v>9</v>
      </c>
      <c r="B24" s="1544"/>
      <c r="C24" s="3697" t="str">
        <f>'Chấm công công nhân'!L79</f>
        <v>Thảo Bắt</v>
      </c>
      <c r="D24" s="1545"/>
      <c r="E24" s="1546"/>
      <c r="F24" s="1546"/>
      <c r="G24" s="3371"/>
      <c r="H24" s="3370">
        <f t="shared" si="2"/>
        <v>0</v>
      </c>
      <c r="I24" s="1548">
        <f>+VLOOKUP(C24,'Tong hop cong'!C81:S81,17,0)</f>
        <v>169</v>
      </c>
      <c r="J24" s="1549">
        <f>+VLOOKUP(C24,'Tong hop cong'!$C$73:$U$88,19,0)</f>
        <v>104.25642166910687</v>
      </c>
      <c r="K24" s="1550" t="str">
        <f>+VLOOKUP(C24,'Tong hop cong'!C81:AA82,25,0)</f>
        <v>A</v>
      </c>
      <c r="L24" s="1551">
        <f t="shared" si="3"/>
        <v>451382</v>
      </c>
      <c r="M24" s="1549">
        <f>+VLOOKUP(C24,'Tong hop cong'!C81:V87,20,0)</f>
        <v>18</v>
      </c>
      <c r="N24" s="1549">
        <f>+VLOOKUP(C24,'Tong hop cong'!C81:W87,21,0)</f>
        <v>3</v>
      </c>
      <c r="O24" s="1549">
        <v>20</v>
      </c>
      <c r="P24" s="1551">
        <f t="shared" si="6"/>
        <v>2600000</v>
      </c>
      <c r="Q24" s="1551"/>
      <c r="R24" s="1551">
        <f t="shared" si="0"/>
        <v>3051382</v>
      </c>
      <c r="S24" s="1552">
        <f t="shared" si="1"/>
        <v>3051382</v>
      </c>
      <c r="T24" s="3628">
        <f t="shared" si="4"/>
        <v>451382</v>
      </c>
    </row>
    <row r="25" spans="1:25" s="1540" customFormat="1" ht="29.25" customHeight="1">
      <c r="A25" s="3373">
        <v>10</v>
      </c>
      <c r="B25" s="1544"/>
      <c r="C25" s="3697" t="str">
        <f>'Chấm công công nhân'!L80</f>
        <v>Thảo Lay</v>
      </c>
      <c r="D25" s="1545"/>
      <c r="E25" s="1546"/>
      <c r="F25" s="1546"/>
      <c r="G25" s="3371"/>
      <c r="H25" s="3370">
        <f t="shared" si="2"/>
        <v>0</v>
      </c>
      <c r="I25" s="1548">
        <f>+VLOOKUP(C25,'Tong hop cong'!C82:S82,17,0)</f>
        <v>0</v>
      </c>
      <c r="J25" s="1549">
        <f>+VLOOKUP(C25,'Tong hop cong'!$C$73:$U$88,19,0)</f>
        <v>0</v>
      </c>
      <c r="K25" s="1550" t="str">
        <f>+VLOOKUP(C25,'Tong hop cong'!C82:AA83,25,0)</f>
        <v>B</v>
      </c>
      <c r="L25" s="1551">
        <f t="shared" si="3"/>
        <v>0</v>
      </c>
      <c r="M25" s="1549">
        <f>+VLOOKUP(C25,'Tong hop cong'!C82:V88,20,0)</f>
        <v>0</v>
      </c>
      <c r="N25" s="1549">
        <f>+VLOOKUP(C25,'Tong hop cong'!C82:W88,21,0)</f>
        <v>0</v>
      </c>
      <c r="O25" s="1549">
        <v>20</v>
      </c>
      <c r="P25" s="1551">
        <f t="shared" si="6"/>
        <v>500000</v>
      </c>
      <c r="Q25" s="1551"/>
      <c r="R25" s="1551">
        <f t="shared" si="0"/>
        <v>500000</v>
      </c>
      <c r="S25" s="1552">
        <f t="shared" si="1"/>
        <v>500000</v>
      </c>
      <c r="T25" s="3628">
        <f t="shared" si="4"/>
        <v>0</v>
      </c>
    </row>
    <row r="26" spans="1:25" s="1540" customFormat="1" ht="27" customHeight="1">
      <c r="A26" s="3373">
        <v>11</v>
      </c>
      <c r="B26" s="1544"/>
      <c r="C26" s="3697" t="str">
        <f>'Chấm công công nhân'!L81</f>
        <v>Thảo Chăn</v>
      </c>
      <c r="D26" s="1545"/>
      <c r="E26" s="1546"/>
      <c r="F26" s="3374"/>
      <c r="G26" s="3371"/>
      <c r="H26" s="3370">
        <f t="shared" si="2"/>
        <v>0</v>
      </c>
      <c r="I26" s="1548">
        <f>+VLOOKUP(C26,'Tong hop cong'!C83:S83,17,0)</f>
        <v>20</v>
      </c>
      <c r="J26" s="1549">
        <f>+VLOOKUP(C26,'Tong hop cong'!$C$73:$U$88,19,0)</f>
        <v>12.338038067349926</v>
      </c>
      <c r="K26" s="1550" t="str">
        <f>+VLOOKUP(C26,'Tong hop cong'!C83:AA84,25,0)</f>
        <v>A</v>
      </c>
      <c r="L26" s="1551">
        <f t="shared" si="3"/>
        <v>53418</v>
      </c>
      <c r="M26" s="1549">
        <f>+VLOOKUP(C26,'Tong hop cong'!C83:V89,20,0)</f>
        <v>13</v>
      </c>
      <c r="N26" s="1549">
        <f>+VLOOKUP(C26,'Tong hop cong'!C83:W89,21,0)</f>
        <v>2</v>
      </c>
      <c r="O26" s="1549">
        <v>20</v>
      </c>
      <c r="P26" s="1551">
        <f t="shared" si="6"/>
        <v>2000000</v>
      </c>
      <c r="Q26" s="1551"/>
      <c r="R26" s="1551">
        <f t="shared" si="0"/>
        <v>2053418</v>
      </c>
      <c r="S26" s="1552">
        <f t="shared" si="1"/>
        <v>2053418</v>
      </c>
      <c r="T26" s="3628">
        <f t="shared" si="4"/>
        <v>53418</v>
      </c>
      <c r="U26" s="1613"/>
    </row>
    <row r="27" spans="1:25" s="1540" customFormat="1" ht="25.5" customHeight="1">
      <c r="A27" s="3373">
        <v>12</v>
      </c>
      <c r="B27" s="1544"/>
      <c r="C27" s="3697" t="str">
        <f>'Chấm công công nhân'!L82</f>
        <v>Thảo Lăm Ma</v>
      </c>
      <c r="D27" s="1545"/>
      <c r="E27" s="1546"/>
      <c r="F27" s="3374"/>
      <c r="G27" s="3371"/>
      <c r="H27" s="3370">
        <f t="shared" si="2"/>
        <v>0</v>
      </c>
      <c r="I27" s="1548">
        <f>+VLOOKUP(C27,'Tong hop cong'!C84:S84,17,0)</f>
        <v>0</v>
      </c>
      <c r="J27" s="1549">
        <f>+VLOOKUP(C27,'Tong hop cong'!$C$73:$U$88,19,0)</f>
        <v>0</v>
      </c>
      <c r="K27" s="1550" t="str">
        <f>+VLOOKUP(C27,'Tong hop cong'!C84:AA85,25,0)</f>
        <v>B</v>
      </c>
      <c r="L27" s="1551">
        <f t="shared" si="3"/>
        <v>0</v>
      </c>
      <c r="M27" s="1549">
        <f>+VLOOKUP(C27,'Tong hop cong'!C84:V90,20,0)</f>
        <v>1</v>
      </c>
      <c r="N27" s="1549">
        <f>+VLOOKUP(C27,'Tong hop cong'!C84:W90,21,0)</f>
        <v>0</v>
      </c>
      <c r="O27" s="1549">
        <v>20</v>
      </c>
      <c r="P27" s="1551">
        <f t="shared" si="6"/>
        <v>600000</v>
      </c>
      <c r="Q27" s="1551"/>
      <c r="R27" s="1551">
        <f t="shared" si="0"/>
        <v>600000</v>
      </c>
      <c r="S27" s="1552">
        <f t="shared" si="1"/>
        <v>600000</v>
      </c>
      <c r="T27" s="3628">
        <f t="shared" si="4"/>
        <v>0</v>
      </c>
      <c r="U27" s="1613"/>
    </row>
    <row r="28" spans="1:25" s="1540" customFormat="1" ht="27" customHeight="1">
      <c r="A28" s="3373">
        <v>13</v>
      </c>
      <c r="B28" s="1544"/>
      <c r="C28" s="3697" t="str">
        <f>'Chấm công công nhân'!L83</f>
        <v>Phò Đăm</v>
      </c>
      <c r="D28" s="1545"/>
      <c r="E28" s="1546"/>
      <c r="F28" s="3374"/>
      <c r="G28" s="3371"/>
      <c r="H28" s="3370">
        <f t="shared" si="2"/>
        <v>0</v>
      </c>
      <c r="I28" s="1548">
        <f>+VLOOKUP(C28,'Tong hop cong'!C85:S85,17,0)</f>
        <v>0</v>
      </c>
      <c r="J28" s="1549">
        <f>+VLOOKUP(C28,'Tong hop cong'!$C$73:$U$88,19,0)</f>
        <v>0</v>
      </c>
      <c r="K28" s="1550" t="str">
        <f>+VLOOKUP(C28,'Tong hop cong'!C85:AA86,25,0)</f>
        <v>B</v>
      </c>
      <c r="L28" s="1551">
        <f t="shared" si="3"/>
        <v>0</v>
      </c>
      <c r="M28" s="1549">
        <f>+VLOOKUP(C28,'Tong hop cong'!C85:V91,20,0)</f>
        <v>15</v>
      </c>
      <c r="N28" s="1549">
        <f>+VLOOKUP(C28,'Tong hop cong'!C85:W91,21,0)</f>
        <v>2</v>
      </c>
      <c r="O28" s="1549">
        <v>20</v>
      </c>
      <c r="P28" s="1551">
        <f t="shared" si="6"/>
        <v>2200000</v>
      </c>
      <c r="Q28" s="1551"/>
      <c r="R28" s="1551">
        <f t="shared" si="0"/>
        <v>2200000</v>
      </c>
      <c r="S28" s="1552">
        <f t="shared" si="1"/>
        <v>2200000</v>
      </c>
      <c r="T28" s="3628">
        <f t="shared" si="4"/>
        <v>0</v>
      </c>
      <c r="U28" s="1614"/>
    </row>
    <row r="29" spans="1:25" s="1540" customFormat="1" ht="29.25" customHeight="1">
      <c r="A29" s="3373">
        <v>14</v>
      </c>
      <c r="B29" s="1544"/>
      <c r="C29" s="3697" t="str">
        <f>'Chấm công công nhân'!L84</f>
        <v>Thảo Đăm Đi</v>
      </c>
      <c r="D29" s="1545"/>
      <c r="E29" s="1546"/>
      <c r="F29" s="3374"/>
      <c r="G29" s="3371"/>
      <c r="H29" s="3370">
        <f t="shared" si="2"/>
        <v>0</v>
      </c>
      <c r="I29" s="1548">
        <f>+VLOOKUP(C29,'Tong hop cong'!C86:S86,17,0)</f>
        <v>0</v>
      </c>
      <c r="J29" s="1549">
        <f>+VLOOKUP(C29,'Tong hop cong'!$C$73:$U$88,19,0)</f>
        <v>0</v>
      </c>
      <c r="K29" s="1550" t="str">
        <f>+VLOOKUP(C29,'Tong hop cong'!C86:AA87,25,0)</f>
        <v>B</v>
      </c>
      <c r="L29" s="1551">
        <f t="shared" si="3"/>
        <v>0</v>
      </c>
      <c r="M29" s="1549">
        <f>+VLOOKUP(C29,'Tong hop cong'!C86:V92,20,0)</f>
        <v>1</v>
      </c>
      <c r="N29" s="1549">
        <f>+VLOOKUP(C29,'Tong hop cong'!C86:W92,21,0)</f>
        <v>0</v>
      </c>
      <c r="O29" s="1549">
        <v>20</v>
      </c>
      <c r="P29" s="1551">
        <f t="shared" si="6"/>
        <v>600000</v>
      </c>
      <c r="Q29" s="1551"/>
      <c r="R29" s="1551">
        <f t="shared" si="0"/>
        <v>600000</v>
      </c>
      <c r="S29" s="1552">
        <f t="shared" si="1"/>
        <v>600000</v>
      </c>
      <c r="T29" s="3628">
        <f t="shared" si="4"/>
        <v>0</v>
      </c>
      <c r="U29" s="1614"/>
    </row>
    <row r="30" spans="1:25" s="1540" customFormat="1" ht="27" customHeight="1">
      <c r="A30" s="3373">
        <v>15</v>
      </c>
      <c r="B30" s="1544"/>
      <c r="C30" s="3697" t="str">
        <f>'Chấm công công nhân'!L85</f>
        <v xml:space="preserve"> Thảo Khên </v>
      </c>
      <c r="D30" s="1545"/>
      <c r="E30" s="1546"/>
      <c r="F30" s="1546"/>
      <c r="G30" s="3371"/>
      <c r="H30" s="3370">
        <f t="shared" si="2"/>
        <v>0</v>
      </c>
      <c r="I30" s="1548">
        <f>+VLOOKUP(C30,'Tong hop cong'!C87:S87,17,0)</f>
        <v>13</v>
      </c>
      <c r="J30" s="1549">
        <f>+VLOOKUP(C30,'Tong hop cong'!$C$73:$U$88,19,0)</f>
        <v>8.0197247437774521</v>
      </c>
      <c r="K30" s="1550" t="str">
        <f>+VLOOKUP(C30,'Tong hop cong'!C87:AA88,25,0)</f>
        <v>A</v>
      </c>
      <c r="L30" s="1551">
        <f t="shared" si="3"/>
        <v>34722</v>
      </c>
      <c r="M30" s="1549">
        <f>+VLOOKUP(C30,'Tong hop cong'!C87:V93,20,0)</f>
        <v>13</v>
      </c>
      <c r="N30" s="1549">
        <f>+VLOOKUP(C30,'Tong hop cong'!C87:W93,21,0)</f>
        <v>2</v>
      </c>
      <c r="O30" s="1549">
        <v>20</v>
      </c>
      <c r="P30" s="1551">
        <f t="shared" si="6"/>
        <v>2000000</v>
      </c>
      <c r="Q30" s="1551"/>
      <c r="R30" s="1551">
        <f t="shared" si="0"/>
        <v>2034722</v>
      </c>
      <c r="S30" s="1552">
        <f t="shared" si="1"/>
        <v>2034722</v>
      </c>
      <c r="T30" s="3628">
        <f t="shared" si="4"/>
        <v>34722</v>
      </c>
    </row>
    <row r="31" spans="1:25" s="1540" customFormat="1" ht="27" customHeight="1">
      <c r="A31" s="3373">
        <v>16</v>
      </c>
      <c r="B31" s="1544"/>
      <c r="C31" s="3697" t="str">
        <f>'Chấm công công nhân'!L86</f>
        <v xml:space="preserve"> Thảo Đăm </v>
      </c>
      <c r="D31" s="1545"/>
      <c r="E31" s="1546"/>
      <c r="F31" s="1546"/>
      <c r="G31" s="3371"/>
      <c r="H31" s="3370">
        <f t="shared" si="2"/>
        <v>0</v>
      </c>
      <c r="I31" s="1548">
        <f>+VLOOKUP(C31,'Tong hop cong'!C88:S88,17,0)</f>
        <v>35</v>
      </c>
      <c r="J31" s="1549">
        <f>+VLOOKUP(C31,'Tong hop cong'!$C$73:$U$88,19,0)</f>
        <v>21.591566617862373</v>
      </c>
      <c r="K31" s="1550" t="str">
        <f>+VLOOKUP(C31,'Tong hop cong'!C88:AA89,25,0)</f>
        <v>A</v>
      </c>
      <c r="L31" s="1551">
        <f t="shared" si="3"/>
        <v>93482</v>
      </c>
      <c r="M31" s="1549">
        <f>+VLOOKUP(C31,'Tong hop cong'!C88:V94,20,0)</f>
        <v>16</v>
      </c>
      <c r="N31" s="1549">
        <f>+VLOOKUP(C31,'Tong hop cong'!C88:W94,21,0)</f>
        <v>4</v>
      </c>
      <c r="O31" s="1549">
        <v>20</v>
      </c>
      <c r="P31" s="1551">
        <f>ROUND(((M31+N31)*100000),0)+O31*25000</f>
        <v>2500000</v>
      </c>
      <c r="Q31" s="1551"/>
      <c r="R31" s="1551">
        <f>H31+L31+P31</f>
        <v>2593482</v>
      </c>
      <c r="S31" s="1552">
        <f t="shared" si="1"/>
        <v>2593482</v>
      </c>
      <c r="T31" s="3628">
        <f t="shared" si="4"/>
        <v>93482</v>
      </c>
    </row>
    <row r="32" spans="1:25" s="1540" customFormat="1" ht="28.5" hidden="1" customHeight="1">
      <c r="A32" s="3698">
        <v>17</v>
      </c>
      <c r="B32" s="3699"/>
      <c r="C32" s="3700" t="s">
        <v>1511</v>
      </c>
      <c r="D32" s="1545"/>
      <c r="E32" s="1546" t="s">
        <v>1139</v>
      </c>
      <c r="F32" s="1546"/>
      <c r="G32" s="3371"/>
      <c r="H32" s="3370"/>
      <c r="I32" s="1548"/>
      <c r="J32" s="1549"/>
      <c r="K32" s="1550"/>
      <c r="L32" s="1551"/>
      <c r="M32" s="1549"/>
      <c r="N32" s="1549"/>
      <c r="O32" s="1549"/>
      <c r="P32" s="1551"/>
      <c r="Q32" s="1551"/>
      <c r="R32" s="1551"/>
      <c r="S32" s="1552"/>
      <c r="T32" s="2450">
        <f t="shared" si="4"/>
        <v>0</v>
      </c>
    </row>
    <row r="33" spans="1:21" s="1542" customFormat="1" ht="30" customHeight="1">
      <c r="A33" s="4119" t="s">
        <v>688</v>
      </c>
      <c r="B33" s="4120"/>
      <c r="C33" s="4120"/>
      <c r="D33" s="4120"/>
      <c r="E33" s="4121"/>
      <c r="F33" s="3260"/>
      <c r="G33" s="2039">
        <f>SUM(G16:G32)</f>
        <v>0</v>
      </c>
      <c r="H33" s="2039">
        <f>SUM(H16:H32)</f>
        <v>0</v>
      </c>
      <c r="I33" s="2039">
        <f>SUM(I16:I32)</f>
        <v>1366</v>
      </c>
      <c r="J33" s="2039">
        <f>SUM(J16:J32)</f>
        <v>842.68799999999976</v>
      </c>
      <c r="K33" s="2039">
        <f t="shared" ref="K33:N33" si="7">SUM(K16:K32)</f>
        <v>0</v>
      </c>
      <c r="L33" s="2039">
        <f>SUM(L16:L32)</f>
        <v>3586621</v>
      </c>
      <c r="M33" s="2039">
        <f t="shared" si="7"/>
        <v>191</v>
      </c>
      <c r="N33" s="2039">
        <f t="shared" si="7"/>
        <v>33</v>
      </c>
      <c r="O33" s="2039">
        <f>SUM(O16:O32)</f>
        <v>320</v>
      </c>
      <c r="P33" s="2039">
        <f>SUM(P16:P32)</f>
        <v>30400000</v>
      </c>
      <c r="Q33" s="2039"/>
      <c r="R33" s="2039">
        <f>SUM(R16:R32)</f>
        <v>33986621</v>
      </c>
      <c r="S33" s="2039">
        <f>SUM(S16:S32)</f>
        <v>33986621</v>
      </c>
      <c r="U33" s="3235"/>
    </row>
    <row r="34" spans="1:21" s="910" customFormat="1" ht="24.75" customHeight="1">
      <c r="A34" s="4122" t="s">
        <v>1894</v>
      </c>
      <c r="B34" s="4123"/>
      <c r="C34" s="4123"/>
      <c r="D34" s="4123"/>
      <c r="E34" s="4123"/>
      <c r="F34" s="4123"/>
      <c r="G34" s="4123"/>
      <c r="H34" s="4123"/>
      <c r="I34" s="4123"/>
      <c r="J34" s="4123"/>
      <c r="K34" s="4123"/>
      <c r="L34" s="4123"/>
      <c r="M34" s="4123"/>
      <c r="N34" s="4123"/>
      <c r="O34" s="4123"/>
      <c r="P34" s="4123"/>
      <c r="Q34" s="4123"/>
      <c r="R34" s="4123"/>
      <c r="S34" s="4124"/>
      <c r="U34" s="3268">
        <f>S33-S32</f>
        <v>33986621</v>
      </c>
    </row>
    <row r="35" spans="1:21" ht="21.75" customHeight="1">
      <c r="O35" s="1950"/>
      <c r="P35" s="4125" t="s">
        <v>1913</v>
      </c>
      <c r="Q35" s="4125"/>
      <c r="R35" s="4125"/>
      <c r="S35" s="4125"/>
    </row>
    <row r="36" spans="1:21" s="1865" customFormat="1" ht="23.25" customHeight="1">
      <c r="C36" s="4106" t="s">
        <v>45</v>
      </c>
      <c r="D36" s="4106"/>
      <c r="E36" s="4106"/>
      <c r="F36" s="4106"/>
      <c r="I36" s="4106" t="s">
        <v>44</v>
      </c>
      <c r="J36" s="4106"/>
      <c r="K36" s="4106"/>
      <c r="L36" s="4106"/>
      <c r="O36" s="1332"/>
      <c r="R36" s="3939" t="s">
        <v>1104</v>
      </c>
      <c r="S36" s="1332"/>
      <c r="U36" s="3375"/>
    </row>
    <row r="37" spans="1:21">
      <c r="A37" s="909"/>
      <c r="C37" s="926"/>
      <c r="D37" s="926"/>
      <c r="G37" s="927"/>
      <c r="H37" s="928"/>
      <c r="I37" s="928"/>
      <c r="J37" s="912"/>
      <c r="K37" s="3255"/>
      <c r="L37" s="929"/>
      <c r="M37" s="926"/>
      <c r="N37" s="926"/>
      <c r="O37" s="926"/>
      <c r="P37" s="930"/>
      <c r="Q37" s="930"/>
      <c r="T37" s="3889">
        <f>G33+'2'!G39+'1'!G52</f>
        <v>0</v>
      </c>
      <c r="U37" s="925"/>
    </row>
    <row r="38" spans="1:21">
      <c r="A38" s="909"/>
      <c r="C38" s="909"/>
      <c r="D38" s="909"/>
      <c r="G38" s="927"/>
      <c r="K38" s="3255"/>
      <c r="L38" s="926"/>
      <c r="N38" s="923"/>
      <c r="O38" s="923"/>
      <c r="P38" s="926"/>
      <c r="Q38" s="926"/>
      <c r="T38" s="925">
        <f>I33+'2'!I39+'1'!I52</f>
        <v>9937</v>
      </c>
    </row>
    <row r="39" spans="1:21">
      <c r="A39" s="909"/>
      <c r="C39" s="909"/>
      <c r="D39" s="909"/>
      <c r="E39" s="925"/>
      <c r="F39" s="925"/>
      <c r="G39" s="1968"/>
      <c r="K39" s="3255"/>
      <c r="L39" s="4085"/>
      <c r="M39" s="4085"/>
      <c r="S39" s="3257"/>
      <c r="T39" s="925">
        <f>J33+'2'!J39+'1'!J52</f>
        <v>5465.5649999999987</v>
      </c>
    </row>
    <row r="40" spans="1:21">
      <c r="A40" s="909"/>
      <c r="C40" s="909"/>
      <c r="D40" s="909"/>
      <c r="E40" s="925"/>
      <c r="F40" s="925"/>
      <c r="G40" s="1968"/>
      <c r="K40" s="3255"/>
      <c r="L40" s="3257"/>
      <c r="M40" s="3257"/>
      <c r="S40" s="3257"/>
      <c r="U40" s="3394"/>
    </row>
    <row r="41" spans="1:21">
      <c r="A41" s="909"/>
      <c r="C41" s="909"/>
      <c r="D41" s="909"/>
      <c r="G41" s="1967"/>
      <c r="K41" s="3255"/>
      <c r="L41" s="909"/>
      <c r="M41" s="933"/>
      <c r="N41" s="4086"/>
      <c r="O41" s="4086"/>
      <c r="P41" s="4086"/>
      <c r="Q41" s="3255"/>
    </row>
    <row r="42" spans="1:21">
      <c r="A42" s="909"/>
      <c r="C42" s="909"/>
      <c r="D42" s="909"/>
      <c r="E42" s="934"/>
      <c r="F42" s="934"/>
      <c r="G42" s="1966"/>
      <c r="H42" s="1968"/>
      <c r="I42" s="1968"/>
      <c r="J42" s="4094"/>
      <c r="K42" s="4094"/>
      <c r="L42" s="4094"/>
      <c r="M42" s="4094"/>
      <c r="N42" s="4094"/>
      <c r="O42" s="4094"/>
      <c r="P42" s="4094"/>
      <c r="Q42" s="4094"/>
      <c r="R42" s="4094"/>
      <c r="S42" s="4094"/>
    </row>
    <row r="43" spans="1:21" s="935" customFormat="1" ht="17.25">
      <c r="G43" s="1965"/>
      <c r="H43" s="936"/>
      <c r="I43" s="936"/>
      <c r="J43" s="937"/>
      <c r="K43" s="938"/>
      <c r="L43" s="939"/>
      <c r="M43" s="940"/>
      <c r="N43" s="940"/>
      <c r="O43" s="940"/>
      <c r="U43" s="3613"/>
    </row>
    <row r="44" spans="1:21">
      <c r="E44" s="941"/>
      <c r="F44" s="941"/>
      <c r="R44" s="925"/>
    </row>
    <row r="45" spans="1:21">
      <c r="A45" s="942"/>
      <c r="M45" s="912"/>
      <c r="N45" s="912"/>
      <c r="O45" s="912"/>
      <c r="P45" s="912"/>
      <c r="Q45" s="912"/>
      <c r="R45" s="3257"/>
    </row>
    <row r="46" spans="1:21">
      <c r="A46" s="943"/>
      <c r="N46" s="1968"/>
      <c r="O46" s="1968"/>
      <c r="P46" s="925"/>
      <c r="Q46" s="925"/>
    </row>
    <row r="47" spans="1:21">
      <c r="A47" s="943"/>
      <c r="P47" s="941"/>
      <c r="Q47" s="941"/>
    </row>
    <row r="48" spans="1:21">
      <c r="L48" s="944"/>
    </row>
  </sheetData>
  <mergeCells count="29">
    <mergeCell ref="A1:S1"/>
    <mergeCell ref="A2:S2"/>
    <mergeCell ref="A3:S3"/>
    <mergeCell ref="A9:S9"/>
    <mergeCell ref="R11:S11"/>
    <mergeCell ref="A4:G4"/>
    <mergeCell ref="S12:S14"/>
    <mergeCell ref="A5:G5"/>
    <mergeCell ref="E10:G10"/>
    <mergeCell ref="E11:G11"/>
    <mergeCell ref="A12:A14"/>
    <mergeCell ref="B12:C14"/>
    <mergeCell ref="D12:D14"/>
    <mergeCell ref="E12:E14"/>
    <mergeCell ref="F12:F14"/>
    <mergeCell ref="R12:R14"/>
    <mergeCell ref="G13:H13"/>
    <mergeCell ref="I13:L13"/>
    <mergeCell ref="M13:Q13"/>
    <mergeCell ref="G12:Q12"/>
    <mergeCell ref="J42:M42"/>
    <mergeCell ref="N42:S42"/>
    <mergeCell ref="A33:E33"/>
    <mergeCell ref="A34:S34"/>
    <mergeCell ref="L39:M39"/>
    <mergeCell ref="N41:P41"/>
    <mergeCell ref="C36:F36"/>
    <mergeCell ref="I36:L36"/>
    <mergeCell ref="P35:S35"/>
  </mergeCells>
  <printOptions horizontalCentered="1"/>
  <pageMargins left="0.39370078740157499" right="0.39370078740157499" top="0" bottom="0" header="0" footer="0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topLeftCell="A10" zoomScale="85" zoomScaleNormal="85" workbookViewId="0">
      <selection activeCell="U26" sqref="U26"/>
    </sheetView>
  </sheetViews>
  <sheetFormatPr defaultColWidth="9.375" defaultRowHeight="16.5"/>
  <cols>
    <col min="1" max="1" width="6.75" style="156" customWidth="1"/>
    <col min="2" max="2" width="5.375" style="156" hidden="1" customWidth="1"/>
    <col min="3" max="3" width="20.875" style="1740" customWidth="1"/>
    <col min="4" max="4" width="8.375" style="156" hidden="1" customWidth="1"/>
    <col min="5" max="5" width="12.625" style="1740" hidden="1" customWidth="1"/>
    <col min="6" max="6" width="17.5" style="156" customWidth="1"/>
    <col min="7" max="7" width="14.125" style="156" customWidth="1"/>
    <col min="8" max="8" width="14.625" style="156" customWidth="1"/>
    <col min="9" max="9" width="1.125" style="156" hidden="1" customWidth="1"/>
    <col min="10" max="10" width="16.75" style="1741" customWidth="1"/>
    <col min="11" max="11" width="19" style="156" hidden="1" customWidth="1"/>
    <col min="12" max="12" width="16.125" style="156" hidden="1" customWidth="1"/>
    <col min="13" max="13" width="17.5" style="156" customWidth="1"/>
    <col min="14" max="15" width="16.125" style="156" hidden="1" customWidth="1"/>
    <col min="16" max="16" width="17.875" style="156" customWidth="1"/>
    <col min="17" max="17" width="1.125" style="156" hidden="1" customWidth="1"/>
    <col min="18" max="18" width="18.5" style="156" customWidth="1"/>
    <col min="19" max="19" width="9.75" style="156" hidden="1" customWidth="1"/>
    <col min="20" max="20" width="13.75" style="156" hidden="1" customWidth="1"/>
    <col min="21" max="21" width="18" style="156" customWidth="1"/>
    <col min="22" max="22" width="19.25" style="156" bestFit="1" customWidth="1"/>
    <col min="23" max="23" width="13.375" style="156" customWidth="1"/>
    <col min="24" max="24" width="18.25" style="156" customWidth="1"/>
    <col min="25" max="25" width="16.125" style="156" customWidth="1"/>
    <col min="26" max="26" width="16.25" style="156" bestFit="1" customWidth="1"/>
    <col min="27" max="27" width="14.625" style="156" customWidth="1"/>
    <col min="28" max="28" width="15" style="156" customWidth="1"/>
    <col min="29" max="29" width="20.25" style="156" customWidth="1"/>
    <col min="30" max="16384" width="9.375" style="156"/>
  </cols>
  <sheetData>
    <row r="1" spans="1:28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  <c r="O1" s="3945"/>
      <c r="P1" s="3945"/>
      <c r="Q1" s="3945"/>
      <c r="R1" s="3945"/>
      <c r="S1" s="3945"/>
      <c r="T1" s="3945"/>
      <c r="U1" s="3945"/>
    </row>
    <row r="2" spans="1:28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  <c r="O2" s="3945"/>
      <c r="P2" s="3945"/>
      <c r="Q2" s="3945"/>
      <c r="R2" s="3945"/>
      <c r="S2" s="3945"/>
      <c r="T2" s="3945"/>
      <c r="U2" s="3945"/>
    </row>
    <row r="3" spans="1:28">
      <c r="A3" s="4135" t="s">
        <v>1163</v>
      </c>
      <c r="B3" s="3949"/>
      <c r="C3" s="3949"/>
      <c r="D3" s="3949"/>
      <c r="E3" s="3949"/>
      <c r="F3" s="3949"/>
      <c r="G3" s="3949"/>
      <c r="H3" s="3949"/>
      <c r="I3" s="3949"/>
      <c r="J3" s="3949"/>
      <c r="K3" s="3949"/>
      <c r="L3" s="3949"/>
      <c r="M3" s="3949"/>
      <c r="N3" s="3949"/>
      <c r="O3" s="3949"/>
      <c r="P3" s="3949"/>
      <c r="Q3" s="3949"/>
      <c r="R3" s="3949"/>
      <c r="S3" s="3949"/>
      <c r="T3" s="3949"/>
      <c r="U3" s="3949"/>
    </row>
    <row r="4" spans="1:28" ht="16.5" customHeight="1">
      <c r="A4" s="3949" t="s">
        <v>574</v>
      </c>
      <c r="B4" s="3949"/>
      <c r="C4" s="3949"/>
      <c r="D4" s="3949"/>
      <c r="E4" s="3949"/>
      <c r="F4" s="3949"/>
      <c r="G4" s="3949"/>
      <c r="H4" s="1532"/>
      <c r="I4" s="1532"/>
      <c r="J4" s="1532"/>
    </row>
    <row r="5" spans="1:28" ht="17.25" customHeight="1">
      <c r="A5" s="3945" t="s">
        <v>541</v>
      </c>
      <c r="B5" s="3945"/>
      <c r="C5" s="3945"/>
      <c r="D5" s="3945"/>
      <c r="E5" s="3945"/>
      <c r="F5" s="3945"/>
      <c r="G5" s="3945"/>
      <c r="H5" s="1533"/>
      <c r="I5" s="1533"/>
      <c r="J5" s="1533"/>
    </row>
    <row r="6" spans="1:28" ht="18" customHeight="1">
      <c r="A6" s="1739"/>
      <c r="B6" s="1739"/>
      <c r="C6" s="1739"/>
      <c r="D6" s="1739"/>
      <c r="E6" s="1739"/>
      <c r="F6" s="1993"/>
      <c r="G6" s="1739"/>
      <c r="H6" s="1739"/>
      <c r="I6" s="1739"/>
      <c r="J6" s="1739"/>
      <c r="K6" s="1739"/>
      <c r="L6" s="1739"/>
      <c r="M6" s="2151"/>
      <c r="N6" s="2151"/>
      <c r="O6" s="2151"/>
      <c r="P6" s="1739"/>
      <c r="Q6" s="1739"/>
      <c r="R6" s="1739"/>
      <c r="S6" s="1739"/>
      <c r="T6" s="1739"/>
      <c r="U6" s="1739"/>
    </row>
    <row r="7" spans="1:28" ht="25.5">
      <c r="A7" s="4134" t="s">
        <v>1815</v>
      </c>
      <c r="B7" s="4134"/>
      <c r="C7" s="4134"/>
      <c r="D7" s="4134"/>
      <c r="E7" s="4134"/>
      <c r="F7" s="4134"/>
      <c r="G7" s="4134"/>
      <c r="H7" s="4134"/>
      <c r="I7" s="4134"/>
      <c r="J7" s="4134"/>
      <c r="K7" s="4134"/>
      <c r="L7" s="4134"/>
      <c r="M7" s="4134"/>
      <c r="N7" s="4134"/>
      <c r="O7" s="4134"/>
      <c r="P7" s="4134"/>
      <c r="Q7" s="4134"/>
      <c r="R7" s="4134"/>
      <c r="S7" s="4134"/>
      <c r="T7" s="4134"/>
      <c r="U7" s="4134"/>
    </row>
    <row r="8" spans="1:28" ht="19.5" customHeight="1">
      <c r="C8" s="2047" t="s">
        <v>894</v>
      </c>
      <c r="D8" s="2048"/>
      <c r="E8" s="2051"/>
      <c r="F8" s="2051"/>
      <c r="G8" s="2051">
        <v>670.65</v>
      </c>
      <c r="U8" s="2091" t="s">
        <v>1154</v>
      </c>
    </row>
    <row r="9" spans="1:28" ht="15" customHeight="1">
      <c r="A9" s="4138" t="s">
        <v>1</v>
      </c>
      <c r="B9" s="4138" t="s">
        <v>20</v>
      </c>
      <c r="C9" s="4138"/>
      <c r="D9" s="2041"/>
      <c r="E9" s="4138" t="s">
        <v>5</v>
      </c>
      <c r="F9" s="4139" t="s">
        <v>17</v>
      </c>
      <c r="G9" s="4138" t="s">
        <v>6</v>
      </c>
      <c r="H9" s="4138"/>
      <c r="I9" s="4138"/>
      <c r="J9" s="4138"/>
      <c r="K9" s="4138"/>
      <c r="L9" s="4138"/>
      <c r="M9" s="4132" t="s">
        <v>1169</v>
      </c>
      <c r="N9" s="2152"/>
      <c r="O9" s="2152"/>
      <c r="P9" s="4138" t="s">
        <v>233</v>
      </c>
      <c r="Q9" s="4138" t="s">
        <v>8</v>
      </c>
      <c r="R9" s="4139" t="s">
        <v>1155</v>
      </c>
      <c r="S9" s="4139" t="s">
        <v>11</v>
      </c>
      <c r="T9" s="4139" t="s">
        <v>12</v>
      </c>
      <c r="U9" s="4139" t="s">
        <v>16</v>
      </c>
    </row>
    <row r="10" spans="1:28" ht="58.5" customHeight="1">
      <c r="A10" s="4138"/>
      <c r="B10" s="4138"/>
      <c r="C10" s="4138"/>
      <c r="D10" s="2041" t="s">
        <v>239</v>
      </c>
      <c r="E10" s="4138"/>
      <c r="F10" s="4138"/>
      <c r="G10" s="2042" t="s">
        <v>50</v>
      </c>
      <c r="H10" s="2042" t="s">
        <v>707</v>
      </c>
      <c r="I10" s="2042" t="s">
        <v>799</v>
      </c>
      <c r="J10" s="800" t="s">
        <v>15</v>
      </c>
      <c r="K10" s="2042" t="s">
        <v>56</v>
      </c>
      <c r="L10" s="2042" t="s">
        <v>57</v>
      </c>
      <c r="M10" s="4133"/>
      <c r="N10" s="2153"/>
      <c r="O10" s="2153"/>
      <c r="P10" s="4138"/>
      <c r="Q10" s="4138"/>
      <c r="R10" s="4139"/>
      <c r="S10" s="4138"/>
      <c r="T10" s="4138"/>
      <c r="U10" s="4138"/>
      <c r="AB10" s="798">
        <f>20*100</f>
        <v>2000</v>
      </c>
    </row>
    <row r="11" spans="1:28" s="801" customFormat="1" ht="15.75" customHeight="1">
      <c r="A11" s="2446" t="s">
        <v>606</v>
      </c>
      <c r="B11" s="2041">
        <v>2</v>
      </c>
      <c r="C11" s="2446" t="s">
        <v>607</v>
      </c>
      <c r="D11" s="2041">
        <v>4</v>
      </c>
      <c r="E11" s="2041">
        <v>5</v>
      </c>
      <c r="F11" s="2446" t="s">
        <v>608</v>
      </c>
      <c r="G11" s="2446" t="s">
        <v>609</v>
      </c>
      <c r="H11" s="2446" t="s">
        <v>610</v>
      </c>
      <c r="I11" s="2041"/>
      <c r="J11" s="2446" t="s">
        <v>611</v>
      </c>
      <c r="K11" s="2041">
        <v>11</v>
      </c>
      <c r="L11" s="2041">
        <v>12</v>
      </c>
      <c r="M11" s="2446" t="s">
        <v>635</v>
      </c>
      <c r="N11" s="2152"/>
      <c r="O11" s="2152"/>
      <c r="P11" s="2446" t="s">
        <v>692</v>
      </c>
      <c r="Q11" s="2041">
        <v>14</v>
      </c>
      <c r="R11" s="2446" t="s">
        <v>636</v>
      </c>
      <c r="S11" s="2041">
        <v>17</v>
      </c>
      <c r="T11" s="2041">
        <v>18</v>
      </c>
      <c r="U11" s="2446" t="s">
        <v>637</v>
      </c>
    </row>
    <row r="12" spans="1:28" s="807" customFormat="1" ht="22.5" customHeight="1">
      <c r="A12" s="808">
        <v>1</v>
      </c>
      <c r="B12" s="811" t="s">
        <v>197</v>
      </c>
      <c r="C12" s="811" t="str">
        <f>'CHẤM CÔNG BV'!B11</f>
        <v>Phò Đan</v>
      </c>
      <c r="D12" s="2046"/>
      <c r="E12" s="808" t="s">
        <v>258</v>
      </c>
      <c r="F12" s="805"/>
      <c r="G12" s="1985">
        <f>'CHẤM CÔNG BV'!AI11</f>
        <v>30</v>
      </c>
      <c r="H12" s="1985">
        <f>J12/G12</f>
        <v>66666.666666666672</v>
      </c>
      <c r="I12" s="1082"/>
      <c r="J12" s="1986">
        <v>2000000</v>
      </c>
      <c r="K12" s="1985"/>
      <c r="L12" s="1985"/>
      <c r="M12" s="1985">
        <v>600000</v>
      </c>
      <c r="N12" s="1985"/>
      <c r="O12" s="1985"/>
      <c r="P12" s="1985">
        <f>SUM(J12:M12)</f>
        <v>2600000</v>
      </c>
      <c r="Q12" s="1985"/>
      <c r="R12" s="1985">
        <f>P12</f>
        <v>2600000</v>
      </c>
      <c r="S12" s="1985"/>
      <c r="T12" s="1985"/>
      <c r="U12" s="1985">
        <f>R12</f>
        <v>2600000</v>
      </c>
      <c r="V12" s="900"/>
      <c r="AA12" s="807">
        <f>900-600</f>
        <v>300</v>
      </c>
    </row>
    <row r="13" spans="1:28" s="807" customFormat="1" ht="22.5" customHeight="1">
      <c r="A13" s="808">
        <v>2</v>
      </c>
      <c r="B13" s="805"/>
      <c r="C13" s="811" t="str">
        <f>'CHẤM CÔNG BV'!B12</f>
        <v>Sâm Say</v>
      </c>
      <c r="D13" s="805"/>
      <c r="E13" s="808" t="s">
        <v>258</v>
      </c>
      <c r="F13" s="805"/>
      <c r="G13" s="1985">
        <f>'CHẤM CÔNG BV'!AI12</f>
        <v>30</v>
      </c>
      <c r="H13" s="1985">
        <f>J13/G13</f>
        <v>66666.666666666672</v>
      </c>
      <c r="I13" s="1082"/>
      <c r="J13" s="1986">
        <v>2000000</v>
      </c>
      <c r="K13" s="1985"/>
      <c r="L13" s="1985"/>
      <c r="M13" s="1985">
        <v>600000</v>
      </c>
      <c r="N13" s="1985"/>
      <c r="O13" s="1985"/>
      <c r="P13" s="1985">
        <f t="shared" ref="P13:P25" si="0">SUM(J13:M13)</f>
        <v>2600000</v>
      </c>
      <c r="Q13" s="1985"/>
      <c r="R13" s="1985">
        <f t="shared" ref="R13:R25" si="1">P13</f>
        <v>2600000</v>
      </c>
      <c r="S13" s="1985"/>
      <c r="T13" s="1985"/>
      <c r="U13" s="1985">
        <f>R13</f>
        <v>2600000</v>
      </c>
    </row>
    <row r="14" spans="1:28" s="807" customFormat="1" ht="22.5" customHeight="1">
      <c r="A14" s="808">
        <v>3</v>
      </c>
      <c r="B14" s="805"/>
      <c r="C14" s="811" t="str">
        <f>'CHẤM CÔNG BV'!B13</f>
        <v>Thảo Chanh</v>
      </c>
      <c r="D14" s="805"/>
      <c r="E14" s="808" t="s">
        <v>258</v>
      </c>
      <c r="F14" s="805"/>
      <c r="G14" s="1985">
        <f>'CHẤM CÔNG BV'!AI13</f>
        <v>30</v>
      </c>
      <c r="H14" s="1985">
        <f>J14/G14</f>
        <v>66666.666666666672</v>
      </c>
      <c r="I14" s="1082"/>
      <c r="J14" s="1986">
        <v>2000000</v>
      </c>
      <c r="K14" s="1985"/>
      <c r="L14" s="1985"/>
      <c r="M14" s="1985">
        <v>600000</v>
      </c>
      <c r="N14" s="1985"/>
      <c r="O14" s="1985"/>
      <c r="P14" s="1985">
        <f t="shared" si="0"/>
        <v>2600000</v>
      </c>
      <c r="Q14" s="1985"/>
      <c r="R14" s="1985">
        <f t="shared" si="1"/>
        <v>2600000</v>
      </c>
      <c r="S14" s="1985"/>
      <c r="T14" s="1985"/>
      <c r="U14" s="1985">
        <f>P14</f>
        <v>2600000</v>
      </c>
      <c r="Y14" s="806"/>
    </row>
    <row r="15" spans="1:28" s="807" customFormat="1" ht="22.5" customHeight="1">
      <c r="A15" s="808">
        <v>4</v>
      </c>
      <c r="B15" s="805"/>
      <c r="C15" s="811" t="str">
        <f>'CHẤM CÔNG BV'!B14</f>
        <v>Phò Viu</v>
      </c>
      <c r="D15" s="805"/>
      <c r="E15" s="808" t="s">
        <v>258</v>
      </c>
      <c r="F15" s="805"/>
      <c r="G15" s="1985">
        <f>'CHẤM CÔNG BV'!AI14</f>
        <v>30</v>
      </c>
      <c r="H15" s="1985">
        <f>J15/G15</f>
        <v>66666.666666666672</v>
      </c>
      <c r="I15" s="1082"/>
      <c r="J15" s="1986">
        <v>2000000</v>
      </c>
      <c r="K15" s="1985"/>
      <c r="L15" s="1985"/>
      <c r="M15" s="1985">
        <v>600000</v>
      </c>
      <c r="N15" s="1985"/>
      <c r="O15" s="1985"/>
      <c r="P15" s="1985">
        <f t="shared" si="0"/>
        <v>2600000</v>
      </c>
      <c r="Q15" s="1985"/>
      <c r="R15" s="1985">
        <f t="shared" si="1"/>
        <v>2600000</v>
      </c>
      <c r="S15" s="1985"/>
      <c r="T15" s="1985"/>
      <c r="U15" s="1985">
        <f>P15</f>
        <v>2600000</v>
      </c>
      <c r="Y15" s="806"/>
    </row>
    <row r="16" spans="1:28" s="3398" customFormat="1" ht="22.5" customHeight="1">
      <c r="A16" s="3090">
        <v>5</v>
      </c>
      <c r="B16" s="3397"/>
      <c r="C16" s="3093" t="str">
        <f>'CHẤM CÔNG BV'!B15</f>
        <v>Thảo Mi</v>
      </c>
      <c r="D16" s="3397"/>
      <c r="E16" s="3090"/>
      <c r="F16" s="3397"/>
      <c r="G16" s="3396">
        <f>'CHẤM CÔNG BV'!AI15</f>
        <v>30</v>
      </c>
      <c r="H16" s="3396">
        <f>J16/G16</f>
        <v>66666.666666666672</v>
      </c>
      <c r="I16" s="2251"/>
      <c r="J16" s="1986">
        <v>2000000</v>
      </c>
      <c r="K16" s="3396"/>
      <c r="L16" s="3396"/>
      <c r="M16" s="3396">
        <f>G16*20000</f>
        <v>600000</v>
      </c>
      <c r="N16" s="3396"/>
      <c r="O16" s="3396"/>
      <c r="P16" s="3396">
        <f t="shared" si="0"/>
        <v>2600000</v>
      </c>
      <c r="Q16" s="3396"/>
      <c r="R16" s="3396">
        <f t="shared" si="1"/>
        <v>2600000</v>
      </c>
      <c r="S16" s="3396"/>
      <c r="T16" s="3396"/>
      <c r="U16" s="3396">
        <f t="shared" ref="U16:U25" si="2">P16</f>
        <v>2600000</v>
      </c>
      <c r="Y16" s="3399"/>
    </row>
    <row r="17" spans="1:29" s="807" customFormat="1" ht="22.5" customHeight="1">
      <c r="A17" s="808">
        <v>6</v>
      </c>
      <c r="B17" s="805"/>
      <c r="C17" s="811" t="str">
        <f>'CHẤM CÔNG BV'!B16</f>
        <v>Thảo Xi</v>
      </c>
      <c r="D17" s="805"/>
      <c r="E17" s="808"/>
      <c r="F17" s="805"/>
      <c r="G17" s="1985">
        <f>'CHẤM CÔNG BV'!AI16</f>
        <v>30</v>
      </c>
      <c r="H17" s="3396">
        <f t="shared" ref="H17:H25" si="3">J17/G17</f>
        <v>66666.666666666672</v>
      </c>
      <c r="I17" s="1082"/>
      <c r="J17" s="1986">
        <v>2000000</v>
      </c>
      <c r="K17" s="3396"/>
      <c r="L17" s="3396"/>
      <c r="M17" s="3396">
        <f t="shared" ref="M17:M24" si="4">G17*20000</f>
        <v>600000</v>
      </c>
      <c r="N17" s="3396"/>
      <c r="O17" s="3396"/>
      <c r="P17" s="3396">
        <f t="shared" si="0"/>
        <v>2600000</v>
      </c>
      <c r="Q17" s="3396"/>
      <c r="R17" s="3396">
        <f t="shared" si="1"/>
        <v>2600000</v>
      </c>
      <c r="S17" s="3396"/>
      <c r="T17" s="3396"/>
      <c r="U17" s="3396">
        <f t="shared" si="2"/>
        <v>2600000</v>
      </c>
      <c r="X17" s="807">
        <v>1237.9354838709676</v>
      </c>
      <c r="Y17" s="806"/>
    </row>
    <row r="18" spans="1:29" s="807" customFormat="1" ht="22.5" customHeight="1">
      <c r="A18" s="808">
        <v>7</v>
      </c>
      <c r="B18" s="805"/>
      <c r="C18" s="811" t="str">
        <f>'CHẤM CÔNG BV'!B17</f>
        <v>Thảo Cu Đê</v>
      </c>
      <c r="D18" s="805"/>
      <c r="E18" s="808"/>
      <c r="F18" s="805"/>
      <c r="G18" s="1985">
        <f>'CHẤM CÔNG BV'!AI17</f>
        <v>30</v>
      </c>
      <c r="H18" s="3396">
        <f t="shared" si="3"/>
        <v>66666.666666666672</v>
      </c>
      <c r="I18" s="1082"/>
      <c r="J18" s="1986">
        <v>2000000</v>
      </c>
      <c r="K18" s="3396"/>
      <c r="L18" s="3396"/>
      <c r="M18" s="3396">
        <f t="shared" si="4"/>
        <v>600000</v>
      </c>
      <c r="N18" s="3396"/>
      <c r="O18" s="3396"/>
      <c r="P18" s="3396">
        <f t="shared" si="0"/>
        <v>2600000</v>
      </c>
      <c r="Q18" s="3396"/>
      <c r="R18" s="3396">
        <f t="shared" si="1"/>
        <v>2600000</v>
      </c>
      <c r="S18" s="3396"/>
      <c r="T18" s="3396"/>
      <c r="U18" s="3396">
        <f t="shared" si="2"/>
        <v>2600000</v>
      </c>
      <c r="Y18" s="806"/>
    </row>
    <row r="19" spans="1:29" s="807" customFormat="1" ht="22.5" customHeight="1">
      <c r="A19" s="808">
        <v>8</v>
      </c>
      <c r="B19" s="805"/>
      <c r="C19" s="811" t="str">
        <f>'CHẤM CÔNG BV'!B18</f>
        <v>Thảo Đin</v>
      </c>
      <c r="D19" s="805"/>
      <c r="E19" s="808"/>
      <c r="F19" s="805"/>
      <c r="G19" s="1985">
        <f>'CHẤM CÔNG BV'!AI18</f>
        <v>30</v>
      </c>
      <c r="H19" s="3396">
        <f t="shared" si="3"/>
        <v>66666.666666666672</v>
      </c>
      <c r="I19" s="1082"/>
      <c r="J19" s="1986">
        <v>2000000</v>
      </c>
      <c r="K19" s="3396"/>
      <c r="L19" s="3396"/>
      <c r="M19" s="3396">
        <f t="shared" si="4"/>
        <v>600000</v>
      </c>
      <c r="N19" s="3396"/>
      <c r="O19" s="3396"/>
      <c r="P19" s="3396">
        <f t="shared" si="0"/>
        <v>2600000</v>
      </c>
      <c r="Q19" s="3396"/>
      <c r="R19" s="3396">
        <f t="shared" si="1"/>
        <v>2600000</v>
      </c>
      <c r="S19" s="3396"/>
      <c r="T19" s="3396"/>
      <c r="U19" s="3396">
        <f t="shared" si="2"/>
        <v>2600000</v>
      </c>
      <c r="X19" s="3395">
        <f>X17*25000</f>
        <v>30948387.096774191</v>
      </c>
      <c r="Y19" s="806"/>
    </row>
    <row r="20" spans="1:29" s="807" customFormat="1" ht="22.5" customHeight="1">
      <c r="A20" s="808">
        <v>9</v>
      </c>
      <c r="B20" s="805"/>
      <c r="C20" s="811" t="str">
        <f>'CHẤM CÔNG BV'!B19</f>
        <v>Thảo Pong</v>
      </c>
      <c r="D20" s="805"/>
      <c r="E20" s="808"/>
      <c r="F20" s="805"/>
      <c r="G20" s="1985">
        <f>'CHẤM CÔNG BV'!AI19</f>
        <v>30</v>
      </c>
      <c r="H20" s="3396">
        <f t="shared" si="3"/>
        <v>66666.666666666672</v>
      </c>
      <c r="I20" s="1082"/>
      <c r="J20" s="1986">
        <v>2000000</v>
      </c>
      <c r="K20" s="3396"/>
      <c r="L20" s="3396"/>
      <c r="M20" s="3396">
        <f t="shared" si="4"/>
        <v>600000</v>
      </c>
      <c r="N20" s="3396"/>
      <c r="O20" s="3396"/>
      <c r="P20" s="3396">
        <f t="shared" si="0"/>
        <v>2600000</v>
      </c>
      <c r="Q20" s="3396"/>
      <c r="R20" s="3396">
        <f t="shared" si="1"/>
        <v>2600000</v>
      </c>
      <c r="S20" s="3396"/>
      <c r="T20" s="3396"/>
      <c r="U20" s="3396">
        <f t="shared" si="2"/>
        <v>2600000</v>
      </c>
      <c r="Y20" s="806"/>
    </row>
    <row r="21" spans="1:29" s="807" customFormat="1" ht="22.5" customHeight="1">
      <c r="A21" s="808">
        <v>10</v>
      </c>
      <c r="B21" s="805"/>
      <c r="C21" s="811" t="str">
        <f>'CHẤM CÔNG BV'!B20</f>
        <v>Thảo Mút</v>
      </c>
      <c r="D21" s="805"/>
      <c r="E21" s="808"/>
      <c r="F21" s="805"/>
      <c r="G21" s="1985">
        <f>'CHẤM CÔNG BV'!AI20</f>
        <v>30</v>
      </c>
      <c r="H21" s="3396">
        <f t="shared" si="3"/>
        <v>66666.666666666672</v>
      </c>
      <c r="I21" s="1082"/>
      <c r="J21" s="1986">
        <v>2000000</v>
      </c>
      <c r="K21" s="3396"/>
      <c r="L21" s="3396"/>
      <c r="M21" s="3396">
        <f t="shared" si="4"/>
        <v>600000</v>
      </c>
      <c r="N21" s="3396"/>
      <c r="O21" s="3396"/>
      <c r="P21" s="3396">
        <f t="shared" si="0"/>
        <v>2600000</v>
      </c>
      <c r="Q21" s="3396"/>
      <c r="R21" s="3396">
        <f t="shared" si="1"/>
        <v>2600000</v>
      </c>
      <c r="S21" s="3396"/>
      <c r="T21" s="3396"/>
      <c r="U21" s="3396">
        <f t="shared" si="2"/>
        <v>2600000</v>
      </c>
      <c r="Y21" s="806"/>
    </row>
    <row r="22" spans="1:29" s="807" customFormat="1" ht="22.5" customHeight="1">
      <c r="A22" s="808">
        <v>11</v>
      </c>
      <c r="B22" s="805"/>
      <c r="C22" s="811" t="str">
        <f>'CHẤM CÔNG BV'!B21</f>
        <v>Thảo Đăm</v>
      </c>
      <c r="D22" s="805"/>
      <c r="E22" s="808"/>
      <c r="F22" s="805"/>
      <c r="G22" s="1985">
        <f>'CHẤM CÔNG BV'!AI21</f>
        <v>30</v>
      </c>
      <c r="H22" s="3396">
        <f t="shared" si="3"/>
        <v>66666.666666666672</v>
      </c>
      <c r="I22" s="1082"/>
      <c r="J22" s="1986">
        <v>2000000</v>
      </c>
      <c r="K22" s="3396"/>
      <c r="L22" s="3396"/>
      <c r="M22" s="3396">
        <f t="shared" si="4"/>
        <v>600000</v>
      </c>
      <c r="N22" s="3396"/>
      <c r="O22" s="3396"/>
      <c r="P22" s="3396">
        <f t="shared" si="0"/>
        <v>2600000</v>
      </c>
      <c r="Q22" s="3396"/>
      <c r="R22" s="3396">
        <f t="shared" si="1"/>
        <v>2600000</v>
      </c>
      <c r="S22" s="3396"/>
      <c r="T22" s="3396"/>
      <c r="U22" s="3396">
        <f t="shared" si="2"/>
        <v>2600000</v>
      </c>
      <c r="X22" s="3395">
        <f>2600000/31*29</f>
        <v>2432258.064516129</v>
      </c>
      <c r="Y22" s="806"/>
    </row>
    <row r="23" spans="1:29" s="807" customFormat="1" ht="22.5" customHeight="1">
      <c r="A23" s="808">
        <v>12</v>
      </c>
      <c r="B23" s="805"/>
      <c r="C23" s="811" t="str">
        <f>'CHẤM CÔNG BV'!B22</f>
        <v>Phò Đăm</v>
      </c>
      <c r="D23" s="805"/>
      <c r="E23" s="808"/>
      <c r="F23" s="805"/>
      <c r="G23" s="1985">
        <f>'CHẤM CÔNG BV'!AI22</f>
        <v>30</v>
      </c>
      <c r="H23" s="3396">
        <f t="shared" si="3"/>
        <v>66666.666666666672</v>
      </c>
      <c r="I23" s="1082"/>
      <c r="J23" s="1986">
        <v>2000000</v>
      </c>
      <c r="K23" s="3396"/>
      <c r="L23" s="3396"/>
      <c r="M23" s="3396">
        <f t="shared" si="4"/>
        <v>600000</v>
      </c>
      <c r="N23" s="3396"/>
      <c r="O23" s="3396"/>
      <c r="P23" s="3396">
        <f t="shared" si="0"/>
        <v>2600000</v>
      </c>
      <c r="Q23" s="3396"/>
      <c r="R23" s="3396">
        <f t="shared" si="1"/>
        <v>2600000</v>
      </c>
      <c r="S23" s="3396"/>
      <c r="T23" s="3396"/>
      <c r="U23" s="3396">
        <f t="shared" si="2"/>
        <v>2600000</v>
      </c>
      <c r="Y23" s="806"/>
    </row>
    <row r="24" spans="1:29" s="807" customFormat="1" ht="22.5" customHeight="1">
      <c r="A24" s="808">
        <v>13</v>
      </c>
      <c r="B24" s="805"/>
      <c r="C24" s="811" t="str">
        <f>'CHẤM CÔNG BV'!B23</f>
        <v>Thảo Bay</v>
      </c>
      <c r="D24" s="805"/>
      <c r="E24" s="808"/>
      <c r="F24" s="805"/>
      <c r="G24" s="1985">
        <f>'CHẤM CÔNG BV'!AI23</f>
        <v>30</v>
      </c>
      <c r="H24" s="3396">
        <f t="shared" si="3"/>
        <v>66666.666666666672</v>
      </c>
      <c r="I24" s="1082"/>
      <c r="J24" s="1986">
        <v>2000000</v>
      </c>
      <c r="K24" s="3396"/>
      <c r="L24" s="3396"/>
      <c r="M24" s="3396">
        <f t="shared" si="4"/>
        <v>600000</v>
      </c>
      <c r="N24" s="3396"/>
      <c r="O24" s="3396"/>
      <c r="P24" s="3396">
        <f t="shared" si="0"/>
        <v>2600000</v>
      </c>
      <c r="Q24" s="3396"/>
      <c r="R24" s="3396">
        <f t="shared" si="1"/>
        <v>2600000</v>
      </c>
      <c r="S24" s="3396"/>
      <c r="T24" s="3396"/>
      <c r="U24" s="3396">
        <f t="shared" si="2"/>
        <v>2600000</v>
      </c>
      <c r="Y24" s="806"/>
    </row>
    <row r="25" spans="1:29" s="807" customFormat="1" ht="22.5" customHeight="1">
      <c r="A25" s="808">
        <v>14</v>
      </c>
      <c r="B25" s="805"/>
      <c r="C25" s="811" t="str">
        <f>'CHẤM CÔNG BV'!B24</f>
        <v>Thảo Bê</v>
      </c>
      <c r="D25" s="805"/>
      <c r="E25" s="808"/>
      <c r="F25" s="805"/>
      <c r="G25" s="1985">
        <f>'CHẤM CÔNG BV'!AI24</f>
        <v>30</v>
      </c>
      <c r="H25" s="1985">
        <f t="shared" si="3"/>
        <v>66666.666666666672</v>
      </c>
      <c r="I25" s="1082"/>
      <c r="J25" s="2251">
        <v>2000000</v>
      </c>
      <c r="K25" s="3396"/>
      <c r="L25" s="3396"/>
      <c r="M25" s="3396">
        <f>G25*20000</f>
        <v>600000</v>
      </c>
      <c r="N25" s="3396"/>
      <c r="O25" s="3396"/>
      <c r="P25" s="3396">
        <f t="shared" si="0"/>
        <v>2600000</v>
      </c>
      <c r="Q25" s="3396"/>
      <c r="R25" s="3396">
        <f t="shared" si="1"/>
        <v>2600000</v>
      </c>
      <c r="S25" s="3396"/>
      <c r="T25" s="3396"/>
      <c r="U25" s="3396">
        <f t="shared" si="2"/>
        <v>2600000</v>
      </c>
      <c r="Y25" s="806"/>
    </row>
    <row r="26" spans="1:29" s="807" customFormat="1" ht="22.5" customHeight="1">
      <c r="A26" s="4138" t="s">
        <v>187</v>
      </c>
      <c r="B26" s="4138"/>
      <c r="C26" s="4138"/>
      <c r="D26" s="4138"/>
      <c r="E26" s="4138"/>
      <c r="F26" s="805"/>
      <c r="G26" s="1982">
        <f>SUM(G12:G25)</f>
        <v>420</v>
      </c>
      <c r="H26" s="894"/>
      <c r="I26" s="1983"/>
      <c r="J26" s="1984">
        <f>SUM(J12:J25)</f>
        <v>28000000</v>
      </c>
      <c r="K26" s="1984">
        <f t="shared" ref="K26:O26" si="5">SUM(K12:K24)</f>
        <v>0</v>
      </c>
      <c r="L26" s="1984">
        <f t="shared" si="5"/>
        <v>0</v>
      </c>
      <c r="M26" s="1984">
        <f>SUM(M12:M25)</f>
        <v>8400000</v>
      </c>
      <c r="N26" s="1984">
        <f t="shared" si="5"/>
        <v>0</v>
      </c>
      <c r="O26" s="1984">
        <f t="shared" si="5"/>
        <v>0</v>
      </c>
      <c r="P26" s="1984">
        <f>SUM(P12:P25)</f>
        <v>36400000</v>
      </c>
      <c r="Q26" s="1984">
        <f t="shared" ref="Q26:U26" si="6">SUM(Q12:Q25)</f>
        <v>0</v>
      </c>
      <c r="R26" s="1984">
        <f t="shared" si="6"/>
        <v>36400000</v>
      </c>
      <c r="S26" s="1984">
        <f t="shared" si="6"/>
        <v>0</v>
      </c>
      <c r="T26" s="1984">
        <f t="shared" si="6"/>
        <v>0</v>
      </c>
      <c r="U26" s="1984">
        <f t="shared" si="6"/>
        <v>36400000</v>
      </c>
      <c r="X26" s="3460">
        <v>1440</v>
      </c>
      <c r="Y26" s="806"/>
    </row>
    <row r="27" spans="1:29" ht="27.75" customHeight="1">
      <c r="A27" s="4137" t="s">
        <v>1853</v>
      </c>
      <c r="B27" s="4137"/>
      <c r="C27" s="4137"/>
      <c r="D27" s="4137"/>
      <c r="E27" s="4137"/>
      <c r="F27" s="4137"/>
      <c r="G27" s="4137"/>
      <c r="H27" s="4137"/>
      <c r="I27" s="4137"/>
      <c r="J27" s="4137"/>
      <c r="K27" s="4137"/>
      <c r="L27" s="4137"/>
      <c r="M27" s="4137"/>
      <c r="N27" s="4137"/>
      <c r="O27" s="4137"/>
      <c r="P27" s="4137"/>
      <c r="Q27" s="4137"/>
      <c r="R27" s="4137"/>
      <c r="S27" s="4137"/>
      <c r="T27" s="4137"/>
      <c r="U27" s="4137"/>
      <c r="V27" s="684"/>
      <c r="Y27" s="798">
        <f>X26*25000</f>
        <v>36000000</v>
      </c>
      <c r="AA27" s="895">
        <v>648</v>
      </c>
      <c r="AB27" s="895">
        <v>304</v>
      </c>
      <c r="AC27" s="894">
        <f>+AA27-AB27</f>
        <v>344</v>
      </c>
    </row>
    <row r="28" spans="1:29" ht="18" customHeight="1">
      <c r="A28" s="1742"/>
      <c r="B28" s="1742"/>
      <c r="C28" s="1742"/>
      <c r="D28" s="1742"/>
      <c r="E28" s="1742"/>
      <c r="F28" s="1932"/>
      <c r="G28" s="949"/>
      <c r="H28" s="1742"/>
      <c r="I28" s="1742"/>
      <c r="J28" s="1742"/>
      <c r="K28" s="1742"/>
      <c r="Q28" s="1864"/>
      <c r="R28" s="1864" t="s">
        <v>1915</v>
      </c>
      <c r="S28" s="1864"/>
      <c r="T28" s="1864"/>
      <c r="U28" s="1864"/>
      <c r="W28" s="684"/>
      <c r="Y28" s="798"/>
      <c r="AA28" s="895">
        <v>875</v>
      </c>
      <c r="AB28" s="895">
        <v>395</v>
      </c>
      <c r="AC28" s="894">
        <f>+AA28-AB28</f>
        <v>480</v>
      </c>
    </row>
    <row r="29" spans="1:29" s="1332" customFormat="1" ht="29.25" customHeight="1">
      <c r="C29" s="3954" t="s">
        <v>613</v>
      </c>
      <c r="D29" s="3954"/>
      <c r="E29" s="3954"/>
      <c r="F29" s="3954"/>
      <c r="J29" s="1332" t="s">
        <v>257</v>
      </c>
      <c r="R29" s="1332" t="s">
        <v>1104</v>
      </c>
      <c r="Y29" s="1862"/>
      <c r="AA29" s="1863"/>
      <c r="AB29" s="1863"/>
      <c r="AC29" s="894"/>
    </row>
    <row r="31" spans="1:29">
      <c r="F31" s="791"/>
      <c r="P31" s="684"/>
      <c r="W31" s="684"/>
      <c r="AB31" s="156">
        <f>+AA29-AB29</f>
        <v>0</v>
      </c>
    </row>
    <row r="32" spans="1:29">
      <c r="P32" s="798"/>
      <c r="S32" s="684"/>
      <c r="Y32" s="684"/>
    </row>
    <row r="33" spans="3:29">
      <c r="F33" s="684"/>
      <c r="K33" s="684"/>
      <c r="L33" s="684"/>
      <c r="M33" s="684"/>
      <c r="N33" s="684"/>
      <c r="O33" s="684"/>
      <c r="P33" s="684"/>
      <c r="R33" s="684"/>
      <c r="S33" s="684"/>
      <c r="Y33" s="798"/>
      <c r="AB33" s="156">
        <f>100*20</f>
        <v>2000</v>
      </c>
    </row>
    <row r="34" spans="3:29">
      <c r="H34" s="1975"/>
      <c r="I34" s="1741"/>
      <c r="L34" s="157"/>
      <c r="M34" s="157"/>
      <c r="N34" s="157"/>
      <c r="O34" s="157"/>
      <c r="P34" s="684"/>
      <c r="Z34" s="798"/>
      <c r="AB34" s="156">
        <f>100*20</f>
        <v>2000</v>
      </c>
    </row>
    <row r="35" spans="3:29">
      <c r="F35" s="1995"/>
      <c r="H35" s="1974"/>
      <c r="I35" s="1740"/>
      <c r="L35" s="4136"/>
      <c r="M35" s="4136"/>
      <c r="N35" s="4136"/>
      <c r="O35" s="4136"/>
      <c r="P35" s="4136"/>
      <c r="Q35" s="157"/>
      <c r="S35" s="157"/>
      <c r="T35" s="3945"/>
      <c r="U35" s="3945"/>
      <c r="AB35" s="156">
        <f>40*20+200</f>
        <v>1000</v>
      </c>
    </row>
    <row r="36" spans="3:29">
      <c r="H36" s="1974"/>
      <c r="I36" s="1740"/>
      <c r="L36" s="684"/>
      <c r="M36" s="684"/>
      <c r="N36" s="684"/>
      <c r="O36" s="684"/>
    </row>
    <row r="37" spans="3:29">
      <c r="Y37" s="798"/>
    </row>
    <row r="38" spans="3:29" ht="22.5">
      <c r="J38" s="1684"/>
      <c r="K38" s="684"/>
      <c r="Y38" s="798"/>
    </row>
    <row r="39" spans="3:29">
      <c r="K39" s="791"/>
      <c r="Y39" s="814"/>
      <c r="Z39" s="684"/>
      <c r="AA39" s="156">
        <v>3</v>
      </c>
      <c r="AB39" s="156">
        <v>50</v>
      </c>
      <c r="AC39" s="156">
        <f>+AA39*AB39</f>
        <v>150</v>
      </c>
    </row>
    <row r="40" spans="3:29">
      <c r="C40" s="156"/>
      <c r="E40" s="156"/>
      <c r="J40" s="1740"/>
      <c r="L40" s="684"/>
      <c r="M40" s="684"/>
      <c r="N40" s="684"/>
      <c r="O40" s="684"/>
      <c r="Z40" s="814"/>
      <c r="AC40" s="156">
        <v>100</v>
      </c>
    </row>
    <row r="41" spans="3:29">
      <c r="C41" s="156"/>
      <c r="E41" s="156"/>
      <c r="J41" s="1740"/>
      <c r="K41" s="684"/>
      <c r="P41" s="684"/>
      <c r="Y41" s="814"/>
    </row>
    <row r="42" spans="3:29">
      <c r="C42" s="156"/>
      <c r="E42" s="156"/>
      <c r="J42" s="1740"/>
      <c r="K42" s="684"/>
      <c r="R42" s="684"/>
    </row>
    <row r="44" spans="3:29">
      <c r="C44" s="156"/>
      <c r="E44" s="156"/>
      <c r="J44" s="1740"/>
      <c r="P44" s="798"/>
    </row>
    <row r="45" spans="3:29">
      <c r="C45" s="156"/>
      <c r="E45" s="156"/>
      <c r="J45" s="1740"/>
      <c r="P45" s="684"/>
    </row>
  </sheetData>
  <mergeCells count="23">
    <mergeCell ref="C29:F29"/>
    <mergeCell ref="T35:U35"/>
    <mergeCell ref="L35:P35"/>
    <mergeCell ref="A27:U27"/>
    <mergeCell ref="A9:A10"/>
    <mergeCell ref="E9:E10"/>
    <mergeCell ref="A26:E26"/>
    <mergeCell ref="U9:U10"/>
    <mergeCell ref="G9:L9"/>
    <mergeCell ref="P9:P10"/>
    <mergeCell ref="Q9:Q10"/>
    <mergeCell ref="R9:R10"/>
    <mergeCell ref="S9:S10"/>
    <mergeCell ref="T9:T10"/>
    <mergeCell ref="B9:C10"/>
    <mergeCell ref="F9:F10"/>
    <mergeCell ref="M9:M10"/>
    <mergeCell ref="A1:U1"/>
    <mergeCell ref="A2:U2"/>
    <mergeCell ref="A7:U7"/>
    <mergeCell ref="A4:G4"/>
    <mergeCell ref="A5:G5"/>
    <mergeCell ref="A3:U3"/>
  </mergeCells>
  <pageMargins left="0.51181102362204722" right="0.51181102362204722" top="0.19685039370078741" bottom="0.19685039370078741" header="0.39370078740157483" footer="0.39370078740157483"/>
  <pageSetup paperSize="9" scale="77" orientation="landscape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3"/>
  <sheetViews>
    <sheetView view="pageLayout" topLeftCell="A7" zoomScaleNormal="100" workbookViewId="0">
      <selection activeCell="A2" sqref="A2:AJ2"/>
    </sheetView>
  </sheetViews>
  <sheetFormatPr defaultColWidth="8" defaultRowHeight="15"/>
  <cols>
    <col min="1" max="1" width="5.25" style="1623" customWidth="1"/>
    <col min="2" max="2" width="16" style="1623" customWidth="1"/>
    <col min="3" max="3" width="17.375" style="1623" customWidth="1"/>
    <col min="4" max="7" width="4.125" style="1623" customWidth="1"/>
    <col min="8" max="8" width="4.125" style="1638" customWidth="1"/>
    <col min="9" max="33" width="4.125" style="1623" customWidth="1"/>
    <col min="34" max="34" width="4.125" style="1623" hidden="1" customWidth="1"/>
    <col min="35" max="35" width="8.75" style="1623" customWidth="1"/>
    <col min="36" max="36" width="19.875" style="1623" customWidth="1"/>
    <col min="37" max="37" width="8.75" style="1623" bestFit="1" customWidth="1"/>
    <col min="38" max="38" width="13.25" style="1623" bestFit="1" customWidth="1"/>
    <col min="39" max="39" width="8.125" style="1623" bestFit="1" customWidth="1"/>
    <col min="40" max="43" width="8" style="1623"/>
    <col min="44" max="44" width="13.875" style="1623" customWidth="1"/>
    <col min="45" max="16384" width="8" style="1623"/>
  </cols>
  <sheetData>
    <row r="1" spans="1:39" ht="16.5">
      <c r="A1" s="4150" t="s">
        <v>165</v>
      </c>
      <c r="B1" s="4150"/>
      <c r="C1" s="4150"/>
      <c r="D1" s="4150"/>
      <c r="E1" s="4150"/>
      <c r="F1" s="4150"/>
      <c r="G1" s="4150"/>
      <c r="H1" s="4150"/>
      <c r="I1" s="4150"/>
      <c r="J1" s="4150"/>
      <c r="K1" s="4150"/>
      <c r="L1" s="4150"/>
      <c r="M1" s="4150"/>
      <c r="N1" s="4150"/>
      <c r="O1" s="4150"/>
      <c r="P1" s="4150"/>
      <c r="Q1" s="4150"/>
      <c r="R1" s="4150"/>
      <c r="S1" s="4150"/>
      <c r="T1" s="4150"/>
      <c r="U1" s="4150"/>
      <c r="V1" s="4150"/>
      <c r="W1" s="4150"/>
      <c r="X1" s="4150"/>
      <c r="Y1" s="4150"/>
      <c r="Z1" s="4150"/>
      <c r="AA1" s="4150"/>
      <c r="AB1" s="4150"/>
      <c r="AC1" s="4150"/>
      <c r="AD1" s="4150"/>
      <c r="AE1" s="4150"/>
      <c r="AF1" s="4150"/>
      <c r="AG1" s="4150"/>
      <c r="AH1" s="4150"/>
      <c r="AI1" s="4150"/>
      <c r="AJ1" s="4150"/>
    </row>
    <row r="2" spans="1:39" ht="16.5">
      <c r="A2" s="4150" t="s">
        <v>991</v>
      </c>
      <c r="B2" s="4150"/>
      <c r="C2" s="4150"/>
      <c r="D2" s="4150"/>
      <c r="E2" s="4150"/>
      <c r="F2" s="4150"/>
      <c r="G2" s="4150"/>
      <c r="H2" s="4150"/>
      <c r="I2" s="4150"/>
      <c r="J2" s="4150"/>
      <c r="K2" s="4150"/>
      <c r="L2" s="4150"/>
      <c r="M2" s="4150"/>
      <c r="N2" s="4150"/>
      <c r="O2" s="4150"/>
      <c r="P2" s="4150"/>
      <c r="Q2" s="4150"/>
      <c r="R2" s="4150"/>
      <c r="S2" s="4150"/>
      <c r="T2" s="4150"/>
      <c r="U2" s="4150"/>
      <c r="V2" s="4150"/>
      <c r="W2" s="4150"/>
      <c r="X2" s="4150"/>
      <c r="Y2" s="4150"/>
      <c r="Z2" s="4150"/>
      <c r="AA2" s="4150"/>
      <c r="AB2" s="4150"/>
      <c r="AC2" s="4150"/>
      <c r="AD2" s="4150"/>
      <c r="AE2" s="4150"/>
      <c r="AF2" s="4150"/>
      <c r="AG2" s="4150"/>
      <c r="AH2" s="4150"/>
      <c r="AI2" s="4150"/>
      <c r="AJ2" s="4150"/>
    </row>
    <row r="3" spans="1:39" ht="16.5">
      <c r="A3" s="4151" t="s">
        <v>992</v>
      </c>
      <c r="B3" s="4151"/>
      <c r="C3" s="4151"/>
      <c r="D3" s="4151"/>
      <c r="E3" s="4151"/>
      <c r="F3" s="4151"/>
      <c r="G3" s="4151"/>
      <c r="H3" s="4151"/>
      <c r="I3" s="4151"/>
      <c r="J3" s="4151"/>
      <c r="K3" s="4151"/>
      <c r="L3" s="4151"/>
      <c r="M3" s="4151"/>
      <c r="N3" s="4151"/>
      <c r="O3" s="4151"/>
      <c r="P3" s="4151"/>
      <c r="Q3" s="4151"/>
      <c r="R3" s="4151"/>
      <c r="S3" s="4151"/>
      <c r="T3" s="4151"/>
      <c r="U3" s="4151"/>
      <c r="V3" s="4151"/>
      <c r="W3" s="4151"/>
      <c r="X3" s="4151"/>
      <c r="Y3" s="4151"/>
      <c r="Z3" s="4151"/>
      <c r="AA3" s="4151"/>
      <c r="AB3" s="4151"/>
      <c r="AC3" s="4151"/>
      <c r="AD3" s="4151"/>
      <c r="AE3" s="4151"/>
      <c r="AF3" s="4151"/>
      <c r="AG3" s="4151"/>
      <c r="AH3" s="4151"/>
      <c r="AI3" s="4151"/>
      <c r="AJ3" s="4151"/>
    </row>
    <row r="4" spans="1:39" ht="16.5">
      <c r="A4" s="4152" t="s">
        <v>1317</v>
      </c>
      <c r="B4" s="4152"/>
      <c r="C4" s="4152"/>
      <c r="D4" s="4152"/>
      <c r="E4" s="4152"/>
      <c r="F4" s="4152"/>
      <c r="G4" s="4152"/>
      <c r="H4" s="4152"/>
      <c r="I4" s="4152"/>
      <c r="J4" s="4152"/>
      <c r="K4" s="4152"/>
      <c r="L4" s="4152"/>
      <c r="M4" s="4152"/>
      <c r="N4" s="4152"/>
      <c r="O4" s="4152"/>
      <c r="P4" s="1624"/>
      <c r="Q4" s="1624"/>
      <c r="R4" s="1624"/>
      <c r="S4" s="1624"/>
      <c r="T4" s="1624"/>
      <c r="U4" s="1624"/>
      <c r="V4" s="1624"/>
      <c r="W4" s="1624"/>
      <c r="X4" s="1624"/>
      <c r="Y4" s="1624"/>
      <c r="Z4" s="1624"/>
      <c r="AA4" s="1624"/>
      <c r="AB4" s="1624"/>
      <c r="AC4" s="1624"/>
      <c r="AD4" s="1624"/>
      <c r="AE4" s="1624"/>
      <c r="AF4" s="1624"/>
      <c r="AG4" s="1624"/>
      <c r="AH4" s="1624"/>
      <c r="AI4" s="1624"/>
      <c r="AJ4" s="1624"/>
    </row>
    <row r="5" spans="1:39" ht="16.5">
      <c r="A5" s="4153" t="s">
        <v>1006</v>
      </c>
      <c r="B5" s="4153"/>
      <c r="C5" s="4153"/>
      <c r="D5" s="4153"/>
      <c r="E5" s="4153"/>
      <c r="F5" s="4153"/>
      <c r="G5" s="4153"/>
      <c r="H5" s="4153"/>
      <c r="I5" s="4153"/>
      <c r="J5" s="4153"/>
      <c r="K5" s="4153"/>
      <c r="L5" s="1624"/>
      <c r="M5" s="1624"/>
      <c r="N5" s="1624"/>
      <c r="O5" s="1624"/>
      <c r="P5" s="1624"/>
      <c r="Q5" s="1624"/>
      <c r="R5" s="1624"/>
      <c r="S5" s="1624"/>
      <c r="T5" s="1624"/>
      <c r="U5" s="1624"/>
      <c r="V5" s="1624"/>
      <c r="W5" s="1624"/>
      <c r="X5" s="1624"/>
      <c r="Y5" s="1624"/>
      <c r="Z5" s="1624"/>
      <c r="AA5" s="1624"/>
      <c r="AB5" s="1624"/>
      <c r="AC5" s="1624"/>
      <c r="AD5" s="1624"/>
      <c r="AE5" s="1624"/>
      <c r="AF5" s="1624"/>
      <c r="AG5" s="1624"/>
      <c r="AH5" s="1624"/>
      <c r="AI5" s="1624"/>
      <c r="AJ5" s="1624"/>
    </row>
    <row r="6" spans="1:39" ht="23.25" customHeight="1">
      <c r="A6" s="1625"/>
      <c r="B6" s="1625"/>
      <c r="C6" s="1625"/>
      <c r="D6" s="1625"/>
      <c r="E6" s="1625"/>
      <c r="F6" s="1625"/>
      <c r="G6" s="1625"/>
      <c r="H6" s="1625"/>
      <c r="I6" s="1625"/>
      <c r="J6" s="1625"/>
      <c r="K6" s="1625"/>
      <c r="L6" s="1626"/>
      <c r="M6" s="1626"/>
      <c r="N6" s="1626"/>
      <c r="O6" s="1626"/>
      <c r="P6" s="1626"/>
      <c r="Q6" s="1626"/>
      <c r="R6" s="1626"/>
      <c r="S6" s="1626"/>
      <c r="T6" s="1626"/>
      <c r="U6" s="1626"/>
      <c r="V6" s="1626"/>
      <c r="W6" s="1626"/>
      <c r="X6" s="1626"/>
      <c r="Y6" s="1626"/>
      <c r="Z6" s="1626"/>
      <c r="AA6" s="1626"/>
      <c r="AB6" s="1626"/>
      <c r="AC6" s="1626"/>
      <c r="AD6" s="1626"/>
      <c r="AE6" s="1626"/>
      <c r="AF6" s="1626"/>
      <c r="AG6" s="1626"/>
      <c r="AH6" s="1626"/>
      <c r="AI6" s="1626"/>
      <c r="AJ6" s="1626"/>
    </row>
    <row r="7" spans="1:39" ht="18.75" customHeight="1">
      <c r="A7" s="4146" t="s">
        <v>1176</v>
      </c>
      <c r="B7" s="4146"/>
      <c r="C7" s="4146"/>
      <c r="D7" s="4146"/>
      <c r="E7" s="4146"/>
      <c r="F7" s="4146"/>
      <c r="G7" s="4146"/>
      <c r="H7" s="4146"/>
      <c r="I7" s="4146"/>
      <c r="J7" s="4146"/>
      <c r="K7" s="4146"/>
      <c r="L7" s="4146"/>
      <c r="M7" s="4146"/>
      <c r="N7" s="4146"/>
      <c r="O7" s="4146"/>
      <c r="P7" s="4146"/>
      <c r="Q7" s="4146"/>
      <c r="R7" s="4146"/>
      <c r="S7" s="4146"/>
      <c r="T7" s="4146"/>
      <c r="U7" s="4146"/>
      <c r="V7" s="4146"/>
      <c r="W7" s="4146"/>
      <c r="X7" s="4146"/>
      <c r="Y7" s="4146"/>
      <c r="Z7" s="4146"/>
      <c r="AA7" s="4146"/>
      <c r="AB7" s="4146"/>
      <c r="AC7" s="4146"/>
      <c r="AD7" s="4146"/>
      <c r="AE7" s="4146"/>
      <c r="AF7" s="4146"/>
      <c r="AG7" s="4146"/>
      <c r="AH7" s="4146"/>
      <c r="AI7" s="4146"/>
      <c r="AJ7" s="4146"/>
    </row>
    <row r="8" spans="1:39" ht="18.75">
      <c r="A8" s="4149" t="s">
        <v>1816</v>
      </c>
      <c r="B8" s="4149"/>
      <c r="C8" s="4149"/>
      <c r="D8" s="4149"/>
      <c r="E8" s="4149"/>
      <c r="F8" s="4149"/>
      <c r="G8" s="4149"/>
      <c r="H8" s="4149"/>
      <c r="I8" s="4149"/>
      <c r="J8" s="4149"/>
      <c r="K8" s="4149"/>
      <c r="L8" s="4149"/>
      <c r="M8" s="4149"/>
      <c r="N8" s="4149"/>
      <c r="O8" s="4149"/>
      <c r="P8" s="4149"/>
      <c r="Q8" s="4149"/>
      <c r="R8" s="4149"/>
      <c r="S8" s="4149"/>
      <c r="T8" s="4149"/>
      <c r="U8" s="4149"/>
      <c r="V8" s="4149"/>
      <c r="W8" s="4149"/>
      <c r="X8" s="4149"/>
      <c r="Y8" s="4149"/>
      <c r="Z8" s="4149"/>
      <c r="AA8" s="4149"/>
      <c r="AB8" s="4149"/>
      <c r="AC8" s="4149"/>
      <c r="AD8" s="4149"/>
      <c r="AE8" s="4149"/>
      <c r="AF8" s="4149"/>
      <c r="AG8" s="4149"/>
      <c r="AH8" s="4149"/>
      <c r="AI8" s="4149"/>
      <c r="AJ8" s="4149"/>
    </row>
    <row r="9" spans="1:39">
      <c r="A9" s="4147" t="s">
        <v>1</v>
      </c>
      <c r="B9" s="4147" t="s">
        <v>318</v>
      </c>
      <c r="C9" s="4147" t="s">
        <v>990</v>
      </c>
      <c r="D9" s="4148" t="s">
        <v>829</v>
      </c>
      <c r="E9" s="4148"/>
      <c r="F9" s="4148"/>
      <c r="G9" s="4148"/>
      <c r="H9" s="4148"/>
      <c r="I9" s="4148"/>
      <c r="J9" s="4148"/>
      <c r="K9" s="4148"/>
      <c r="L9" s="4148"/>
      <c r="M9" s="4148"/>
      <c r="N9" s="4148"/>
      <c r="O9" s="4148"/>
      <c r="P9" s="4148"/>
      <c r="Q9" s="4148"/>
      <c r="R9" s="4148"/>
      <c r="S9" s="4148"/>
      <c r="T9" s="4148"/>
      <c r="U9" s="4148"/>
      <c r="V9" s="4148"/>
      <c r="W9" s="4148"/>
      <c r="X9" s="4148"/>
      <c r="Y9" s="4148"/>
      <c r="Z9" s="4148"/>
      <c r="AA9" s="4148"/>
      <c r="AB9" s="4148"/>
      <c r="AC9" s="4148"/>
      <c r="AD9" s="4148"/>
      <c r="AE9" s="4148"/>
      <c r="AF9" s="4148"/>
      <c r="AG9" s="4148"/>
      <c r="AH9" s="2138"/>
      <c r="AI9" s="4141" t="s">
        <v>50</v>
      </c>
      <c r="AJ9" s="4141" t="s">
        <v>215</v>
      </c>
      <c r="AK9" s="1622">
        <v>27</v>
      </c>
    </row>
    <row r="10" spans="1:39" s="1624" customFormat="1" ht="22.5" customHeight="1">
      <c r="A10" s="4147"/>
      <c r="B10" s="4147"/>
      <c r="C10" s="4147"/>
      <c r="D10" s="2141">
        <v>1</v>
      </c>
      <c r="E10" s="2141">
        <v>2</v>
      </c>
      <c r="F10" s="2141">
        <v>3</v>
      </c>
      <c r="G10" s="2141">
        <v>4</v>
      </c>
      <c r="H10" s="2141">
        <v>5</v>
      </c>
      <c r="I10" s="2141">
        <v>6</v>
      </c>
      <c r="J10" s="2141">
        <v>7</v>
      </c>
      <c r="K10" s="2141">
        <v>8</v>
      </c>
      <c r="L10" s="2141">
        <v>9</v>
      </c>
      <c r="M10" s="2141">
        <v>10</v>
      </c>
      <c r="N10" s="2141">
        <v>11</v>
      </c>
      <c r="O10" s="2141">
        <v>12</v>
      </c>
      <c r="P10" s="2141">
        <v>13</v>
      </c>
      <c r="Q10" s="2141">
        <v>14</v>
      </c>
      <c r="R10" s="2141">
        <v>15</v>
      </c>
      <c r="S10" s="2141">
        <v>16</v>
      </c>
      <c r="T10" s="2141">
        <v>17</v>
      </c>
      <c r="U10" s="2141">
        <v>18</v>
      </c>
      <c r="V10" s="2141">
        <v>19</v>
      </c>
      <c r="W10" s="2141">
        <v>20</v>
      </c>
      <c r="X10" s="2141">
        <v>21</v>
      </c>
      <c r="Y10" s="2141">
        <v>22</v>
      </c>
      <c r="Z10" s="2141">
        <v>23</v>
      </c>
      <c r="AA10" s="2141">
        <v>24</v>
      </c>
      <c r="AB10" s="2141">
        <v>25</v>
      </c>
      <c r="AC10" s="2141">
        <v>26</v>
      </c>
      <c r="AD10" s="2141">
        <v>27</v>
      </c>
      <c r="AE10" s="2141">
        <v>28</v>
      </c>
      <c r="AF10" s="2141">
        <v>29</v>
      </c>
      <c r="AG10" s="2141">
        <v>30</v>
      </c>
      <c r="AH10" s="2141">
        <v>31</v>
      </c>
      <c r="AI10" s="4141"/>
      <c r="AJ10" s="4141"/>
    </row>
    <row r="11" spans="1:39" s="2148" customFormat="1" ht="30.75" customHeight="1">
      <c r="A11" s="2142">
        <v>1</v>
      </c>
      <c r="B11" s="2143" t="s">
        <v>275</v>
      </c>
      <c r="C11" s="1704" t="s">
        <v>1704</v>
      </c>
      <c r="D11" s="2142" t="s">
        <v>142</v>
      </c>
      <c r="E11" s="2142" t="s">
        <v>142</v>
      </c>
      <c r="F11" s="2142" t="s">
        <v>142</v>
      </c>
      <c r="G11" s="2142" t="s">
        <v>142</v>
      </c>
      <c r="H11" s="2142" t="s">
        <v>142</v>
      </c>
      <c r="I11" s="2142" t="s">
        <v>142</v>
      </c>
      <c r="J11" s="2142" t="s">
        <v>142</v>
      </c>
      <c r="K11" s="2142" t="s">
        <v>142</v>
      </c>
      <c r="L11" s="2142" t="s">
        <v>142</v>
      </c>
      <c r="M11" s="2142" t="s">
        <v>142</v>
      </c>
      <c r="N11" s="2142" t="s">
        <v>142</v>
      </c>
      <c r="O11" s="2142" t="s">
        <v>142</v>
      </c>
      <c r="P11" s="2142" t="s">
        <v>142</v>
      </c>
      <c r="Q11" s="2142" t="s">
        <v>142</v>
      </c>
      <c r="R11" s="2142" t="s">
        <v>142</v>
      </c>
      <c r="S11" s="2142" t="s">
        <v>142</v>
      </c>
      <c r="T11" s="2142" t="s">
        <v>142</v>
      </c>
      <c r="U11" s="2142" t="s">
        <v>142</v>
      </c>
      <c r="V11" s="2142" t="s">
        <v>142</v>
      </c>
      <c r="W11" s="2142" t="s">
        <v>142</v>
      </c>
      <c r="X11" s="2142" t="s">
        <v>142</v>
      </c>
      <c r="Y11" s="2142" t="s">
        <v>142</v>
      </c>
      <c r="Z11" s="2142" t="s">
        <v>142</v>
      </c>
      <c r="AA11" s="2142" t="s">
        <v>142</v>
      </c>
      <c r="AB11" s="2142" t="s">
        <v>142</v>
      </c>
      <c r="AC11" s="2142" t="s">
        <v>142</v>
      </c>
      <c r="AD11" s="2142" t="s">
        <v>142</v>
      </c>
      <c r="AE11" s="2142" t="s">
        <v>142</v>
      </c>
      <c r="AF11" s="2142" t="s">
        <v>142</v>
      </c>
      <c r="AG11" s="2142" t="s">
        <v>142</v>
      </c>
      <c r="AH11" s="2142"/>
      <c r="AI11" s="2144">
        <f t="shared" ref="AI11:AI24" si="0">COUNTIF(D11:AH11,"x")+ COUNTIF(D11:AH11,"p")+COUNTIF(D11:AH11,"mn")+COUNTIF(D11:AH11,"T")+COUNTIF(D11:AH11,"VN")</f>
        <v>30</v>
      </c>
      <c r="AJ11" s="2144"/>
      <c r="AK11" s="2145">
        <f>1200000/30</f>
        <v>40000</v>
      </c>
      <c r="AL11" s="2146">
        <f>AI11*AK11</f>
        <v>1200000</v>
      </c>
      <c r="AM11" s="2147">
        <f>AL11/25000</f>
        <v>48</v>
      </c>
    </row>
    <row r="12" spans="1:39" s="2148" customFormat="1" ht="30.75" customHeight="1">
      <c r="A12" s="2142">
        <v>2</v>
      </c>
      <c r="B12" s="2143" t="s">
        <v>713</v>
      </c>
      <c r="C12" s="1704" t="s">
        <v>1704</v>
      </c>
      <c r="D12" s="2142" t="s">
        <v>142</v>
      </c>
      <c r="E12" s="2142" t="s">
        <v>142</v>
      </c>
      <c r="F12" s="2142" t="s">
        <v>142</v>
      </c>
      <c r="G12" s="2142" t="s">
        <v>142</v>
      </c>
      <c r="H12" s="2142" t="s">
        <v>142</v>
      </c>
      <c r="I12" s="2142" t="s">
        <v>142</v>
      </c>
      <c r="J12" s="2142" t="s">
        <v>142</v>
      </c>
      <c r="K12" s="2142" t="s">
        <v>142</v>
      </c>
      <c r="L12" s="2142" t="s">
        <v>142</v>
      </c>
      <c r="M12" s="2142" t="s">
        <v>142</v>
      </c>
      <c r="N12" s="2142" t="s">
        <v>142</v>
      </c>
      <c r="O12" s="2142" t="s">
        <v>142</v>
      </c>
      <c r="P12" s="2142" t="s">
        <v>142</v>
      </c>
      <c r="Q12" s="2142" t="s">
        <v>142</v>
      </c>
      <c r="R12" s="2142" t="s">
        <v>142</v>
      </c>
      <c r="S12" s="2142" t="s">
        <v>142</v>
      </c>
      <c r="T12" s="2142" t="s">
        <v>142</v>
      </c>
      <c r="U12" s="2142" t="s">
        <v>142</v>
      </c>
      <c r="V12" s="2142" t="s">
        <v>142</v>
      </c>
      <c r="W12" s="2142" t="s">
        <v>142</v>
      </c>
      <c r="X12" s="2142" t="s">
        <v>142</v>
      </c>
      <c r="Y12" s="2142" t="s">
        <v>142</v>
      </c>
      <c r="Z12" s="2142" t="s">
        <v>142</v>
      </c>
      <c r="AA12" s="2142" t="s">
        <v>142</v>
      </c>
      <c r="AB12" s="2142" t="s">
        <v>142</v>
      </c>
      <c r="AC12" s="2142" t="s">
        <v>142</v>
      </c>
      <c r="AD12" s="2142" t="s">
        <v>142</v>
      </c>
      <c r="AE12" s="2142" t="s">
        <v>142</v>
      </c>
      <c r="AF12" s="2142" t="s">
        <v>142</v>
      </c>
      <c r="AG12" s="2142" t="s">
        <v>142</v>
      </c>
      <c r="AH12" s="2142"/>
      <c r="AI12" s="2144">
        <f t="shared" si="0"/>
        <v>30</v>
      </c>
      <c r="AJ12" s="2144"/>
      <c r="AK12" s="2145"/>
      <c r="AL12" s="2146"/>
      <c r="AM12" s="2147"/>
    </row>
    <row r="13" spans="1:39" s="2148" customFormat="1" ht="30.75" customHeight="1">
      <c r="A13" s="2142">
        <v>3</v>
      </c>
      <c r="B13" s="2143" t="s">
        <v>274</v>
      </c>
      <c r="C13" s="1704" t="s">
        <v>1704</v>
      </c>
      <c r="D13" s="2142" t="s">
        <v>142</v>
      </c>
      <c r="E13" s="2142" t="s">
        <v>142</v>
      </c>
      <c r="F13" s="2142" t="s">
        <v>142</v>
      </c>
      <c r="G13" s="2142" t="s">
        <v>142</v>
      </c>
      <c r="H13" s="2142" t="s">
        <v>142</v>
      </c>
      <c r="I13" s="2142" t="s">
        <v>142</v>
      </c>
      <c r="J13" s="2142" t="s">
        <v>142</v>
      </c>
      <c r="K13" s="2142" t="s">
        <v>142</v>
      </c>
      <c r="L13" s="2142" t="s">
        <v>142</v>
      </c>
      <c r="M13" s="2142" t="s">
        <v>142</v>
      </c>
      <c r="N13" s="2142" t="s">
        <v>142</v>
      </c>
      <c r="O13" s="2142" t="s">
        <v>142</v>
      </c>
      <c r="P13" s="2142" t="s">
        <v>142</v>
      </c>
      <c r="Q13" s="2142" t="s">
        <v>142</v>
      </c>
      <c r="R13" s="2142" t="s">
        <v>142</v>
      </c>
      <c r="S13" s="2142" t="s">
        <v>142</v>
      </c>
      <c r="T13" s="2142" t="s">
        <v>142</v>
      </c>
      <c r="U13" s="2142" t="s">
        <v>142</v>
      </c>
      <c r="V13" s="2142" t="s">
        <v>142</v>
      </c>
      <c r="W13" s="2142" t="s">
        <v>142</v>
      </c>
      <c r="X13" s="2142" t="s">
        <v>142</v>
      </c>
      <c r="Y13" s="2142" t="s">
        <v>142</v>
      </c>
      <c r="Z13" s="2142" t="s">
        <v>142</v>
      </c>
      <c r="AA13" s="2142" t="s">
        <v>142</v>
      </c>
      <c r="AB13" s="2142" t="s">
        <v>142</v>
      </c>
      <c r="AC13" s="2142" t="s">
        <v>142</v>
      </c>
      <c r="AD13" s="2142" t="s">
        <v>142</v>
      </c>
      <c r="AE13" s="2142" t="s">
        <v>142</v>
      </c>
      <c r="AF13" s="2142" t="s">
        <v>142</v>
      </c>
      <c r="AG13" s="2142" t="s">
        <v>142</v>
      </c>
      <c r="AH13" s="2142"/>
      <c r="AI13" s="2144">
        <f t="shared" si="0"/>
        <v>30</v>
      </c>
      <c r="AJ13" s="2144"/>
      <c r="AK13" s="2145">
        <f>1200000/30</f>
        <v>40000</v>
      </c>
      <c r="AL13" s="2146">
        <f>AI13*AK13</f>
        <v>1200000</v>
      </c>
      <c r="AM13" s="2147">
        <f>AL13/25000</f>
        <v>48</v>
      </c>
    </row>
    <row r="14" spans="1:39" s="2148" customFormat="1" ht="30.75" customHeight="1">
      <c r="A14" s="2142">
        <v>4</v>
      </c>
      <c r="B14" s="2143" t="s">
        <v>276</v>
      </c>
      <c r="C14" s="1704" t="s">
        <v>1704</v>
      </c>
      <c r="D14" s="2142" t="s">
        <v>142</v>
      </c>
      <c r="E14" s="2142" t="s">
        <v>142</v>
      </c>
      <c r="F14" s="2142" t="s">
        <v>142</v>
      </c>
      <c r="G14" s="2142" t="s">
        <v>142</v>
      </c>
      <c r="H14" s="2142" t="s">
        <v>142</v>
      </c>
      <c r="I14" s="2142" t="s">
        <v>142</v>
      </c>
      <c r="J14" s="2142" t="s">
        <v>142</v>
      </c>
      <c r="K14" s="2142" t="s">
        <v>142</v>
      </c>
      <c r="L14" s="2142" t="s">
        <v>142</v>
      </c>
      <c r="M14" s="2142" t="s">
        <v>142</v>
      </c>
      <c r="N14" s="2142" t="s">
        <v>142</v>
      </c>
      <c r="O14" s="2142" t="s">
        <v>142</v>
      </c>
      <c r="P14" s="2142" t="s">
        <v>142</v>
      </c>
      <c r="Q14" s="2142" t="s">
        <v>142</v>
      </c>
      <c r="R14" s="2142" t="s">
        <v>142</v>
      </c>
      <c r="S14" s="2142" t="s">
        <v>142</v>
      </c>
      <c r="T14" s="2142" t="s">
        <v>142</v>
      </c>
      <c r="U14" s="2142" t="s">
        <v>142</v>
      </c>
      <c r="V14" s="2142" t="s">
        <v>142</v>
      </c>
      <c r="W14" s="2142" t="s">
        <v>142</v>
      </c>
      <c r="X14" s="2142" t="s">
        <v>142</v>
      </c>
      <c r="Y14" s="2142" t="s">
        <v>142</v>
      </c>
      <c r="Z14" s="2142" t="s">
        <v>142</v>
      </c>
      <c r="AA14" s="2142" t="s">
        <v>142</v>
      </c>
      <c r="AB14" s="2142" t="s">
        <v>142</v>
      </c>
      <c r="AC14" s="2142" t="s">
        <v>142</v>
      </c>
      <c r="AD14" s="2142" t="s">
        <v>142</v>
      </c>
      <c r="AE14" s="2142" t="s">
        <v>142</v>
      </c>
      <c r="AF14" s="2142" t="s">
        <v>142</v>
      </c>
      <c r="AG14" s="2142" t="s">
        <v>142</v>
      </c>
      <c r="AH14" s="2142"/>
      <c r="AI14" s="2144">
        <f t="shared" si="0"/>
        <v>30</v>
      </c>
      <c r="AJ14" s="2144"/>
      <c r="AK14" s="2145">
        <f>1200000/30</f>
        <v>40000</v>
      </c>
      <c r="AL14" s="2146">
        <f>AI14*AK14</f>
        <v>1200000</v>
      </c>
      <c r="AM14" s="2147">
        <f>AL14/25000</f>
        <v>48</v>
      </c>
    </row>
    <row r="15" spans="1:39" s="2148" customFormat="1" ht="30.75" customHeight="1">
      <c r="A15" s="2142">
        <v>5</v>
      </c>
      <c r="B15" s="2143" t="s">
        <v>925</v>
      </c>
      <c r="C15" s="1704" t="s">
        <v>1703</v>
      </c>
      <c r="D15" s="2142" t="s">
        <v>142</v>
      </c>
      <c r="E15" s="2142" t="s">
        <v>142</v>
      </c>
      <c r="F15" s="2142" t="s">
        <v>142</v>
      </c>
      <c r="G15" s="2142" t="s">
        <v>142</v>
      </c>
      <c r="H15" s="2142" t="s">
        <v>142</v>
      </c>
      <c r="I15" s="2142" t="s">
        <v>142</v>
      </c>
      <c r="J15" s="2142" t="s">
        <v>142</v>
      </c>
      <c r="K15" s="2142" t="s">
        <v>142</v>
      </c>
      <c r="L15" s="2142" t="s">
        <v>142</v>
      </c>
      <c r="M15" s="2142" t="s">
        <v>142</v>
      </c>
      <c r="N15" s="2142" t="s">
        <v>142</v>
      </c>
      <c r="O15" s="2142" t="s">
        <v>142</v>
      </c>
      <c r="P15" s="2142" t="s">
        <v>142</v>
      </c>
      <c r="Q15" s="2142" t="s">
        <v>142</v>
      </c>
      <c r="R15" s="2142" t="s">
        <v>142</v>
      </c>
      <c r="S15" s="2142" t="s">
        <v>142</v>
      </c>
      <c r="T15" s="2142" t="s">
        <v>142</v>
      </c>
      <c r="U15" s="2142" t="s">
        <v>142</v>
      </c>
      <c r="V15" s="2142" t="s">
        <v>142</v>
      </c>
      <c r="W15" s="2142" t="s">
        <v>142</v>
      </c>
      <c r="X15" s="2142" t="s">
        <v>142</v>
      </c>
      <c r="Y15" s="2142" t="s">
        <v>142</v>
      </c>
      <c r="Z15" s="2142" t="s">
        <v>142</v>
      </c>
      <c r="AA15" s="2142" t="s">
        <v>142</v>
      </c>
      <c r="AB15" s="2142" t="s">
        <v>142</v>
      </c>
      <c r="AC15" s="2142" t="s">
        <v>142</v>
      </c>
      <c r="AD15" s="2142" t="s">
        <v>142</v>
      </c>
      <c r="AE15" s="2142" t="s">
        <v>142</v>
      </c>
      <c r="AF15" s="2142" t="s">
        <v>142</v>
      </c>
      <c r="AG15" s="2142" t="s">
        <v>142</v>
      </c>
      <c r="AH15" s="2142"/>
      <c r="AI15" s="2144">
        <f t="shared" si="0"/>
        <v>30</v>
      </c>
      <c r="AJ15" s="2144"/>
      <c r="AK15" s="2145"/>
      <c r="AL15" s="2146"/>
      <c r="AM15" s="2147"/>
    </row>
    <row r="16" spans="1:39" s="2148" customFormat="1" ht="30.75" customHeight="1">
      <c r="A16" s="2142">
        <v>6</v>
      </c>
      <c r="B16" s="2143" t="s">
        <v>1697</v>
      </c>
      <c r="C16" s="1704" t="s">
        <v>1703</v>
      </c>
      <c r="D16" s="2142" t="s">
        <v>142</v>
      </c>
      <c r="E16" s="2142" t="s">
        <v>142</v>
      </c>
      <c r="F16" s="2142" t="s">
        <v>142</v>
      </c>
      <c r="G16" s="2142" t="s">
        <v>142</v>
      </c>
      <c r="H16" s="2142" t="s">
        <v>142</v>
      </c>
      <c r="I16" s="2142" t="s">
        <v>142</v>
      </c>
      <c r="J16" s="2142" t="s">
        <v>142</v>
      </c>
      <c r="K16" s="2142" t="s">
        <v>142</v>
      </c>
      <c r="L16" s="2142" t="s">
        <v>142</v>
      </c>
      <c r="M16" s="2142" t="s">
        <v>142</v>
      </c>
      <c r="N16" s="2142" t="s">
        <v>142</v>
      </c>
      <c r="O16" s="2142" t="s">
        <v>142</v>
      </c>
      <c r="P16" s="2142" t="s">
        <v>142</v>
      </c>
      <c r="Q16" s="2142" t="s">
        <v>142</v>
      </c>
      <c r="R16" s="2142" t="s">
        <v>142</v>
      </c>
      <c r="S16" s="2142" t="s">
        <v>142</v>
      </c>
      <c r="T16" s="2142" t="s">
        <v>142</v>
      </c>
      <c r="U16" s="2142" t="s">
        <v>142</v>
      </c>
      <c r="V16" s="2142" t="s">
        <v>142</v>
      </c>
      <c r="W16" s="2142" t="s">
        <v>142</v>
      </c>
      <c r="X16" s="2142" t="s">
        <v>142</v>
      </c>
      <c r="Y16" s="2142" t="s">
        <v>142</v>
      </c>
      <c r="Z16" s="2142" t="s">
        <v>142</v>
      </c>
      <c r="AA16" s="2142" t="s">
        <v>142</v>
      </c>
      <c r="AB16" s="2142" t="s">
        <v>142</v>
      </c>
      <c r="AC16" s="2142" t="s">
        <v>142</v>
      </c>
      <c r="AD16" s="2142" t="s">
        <v>142</v>
      </c>
      <c r="AE16" s="2142" t="s">
        <v>142</v>
      </c>
      <c r="AF16" s="2142" t="s">
        <v>142</v>
      </c>
      <c r="AG16" s="2142" t="s">
        <v>142</v>
      </c>
      <c r="AH16" s="2142"/>
      <c r="AI16" s="2144">
        <f t="shared" si="0"/>
        <v>30</v>
      </c>
      <c r="AJ16" s="2144"/>
      <c r="AK16" s="2145"/>
      <c r="AL16" s="2146"/>
      <c r="AM16" s="2147"/>
    </row>
    <row r="17" spans="1:39" s="2148" customFormat="1" ht="30.75" customHeight="1">
      <c r="A17" s="2142">
        <v>7</v>
      </c>
      <c r="B17" s="2143" t="s">
        <v>1698</v>
      </c>
      <c r="C17" s="1704" t="s">
        <v>1703</v>
      </c>
      <c r="D17" s="2142" t="s">
        <v>142</v>
      </c>
      <c r="E17" s="2142" t="s">
        <v>142</v>
      </c>
      <c r="F17" s="2142" t="s">
        <v>142</v>
      </c>
      <c r="G17" s="2142" t="s">
        <v>142</v>
      </c>
      <c r="H17" s="2142" t="s">
        <v>142</v>
      </c>
      <c r="I17" s="2142" t="s">
        <v>142</v>
      </c>
      <c r="J17" s="2142" t="s">
        <v>142</v>
      </c>
      <c r="K17" s="2142" t="s">
        <v>142</v>
      </c>
      <c r="L17" s="2142" t="s">
        <v>142</v>
      </c>
      <c r="M17" s="2142" t="s">
        <v>142</v>
      </c>
      <c r="N17" s="2142" t="s">
        <v>142</v>
      </c>
      <c r="O17" s="2142" t="s">
        <v>142</v>
      </c>
      <c r="P17" s="2142" t="s">
        <v>142</v>
      </c>
      <c r="Q17" s="2142" t="s">
        <v>142</v>
      </c>
      <c r="R17" s="2142" t="s">
        <v>142</v>
      </c>
      <c r="S17" s="2142" t="s">
        <v>142</v>
      </c>
      <c r="T17" s="2142" t="s">
        <v>142</v>
      </c>
      <c r="U17" s="2142" t="s">
        <v>142</v>
      </c>
      <c r="V17" s="2142" t="s">
        <v>142</v>
      </c>
      <c r="W17" s="2142" t="s">
        <v>142</v>
      </c>
      <c r="X17" s="2142" t="s">
        <v>142</v>
      </c>
      <c r="Y17" s="2142" t="s">
        <v>142</v>
      </c>
      <c r="Z17" s="2142" t="s">
        <v>142</v>
      </c>
      <c r="AA17" s="2142" t="s">
        <v>142</v>
      </c>
      <c r="AB17" s="2142" t="s">
        <v>142</v>
      </c>
      <c r="AC17" s="2142" t="s">
        <v>142</v>
      </c>
      <c r="AD17" s="2142" t="s">
        <v>142</v>
      </c>
      <c r="AE17" s="2142" t="s">
        <v>142</v>
      </c>
      <c r="AF17" s="2142" t="s">
        <v>142</v>
      </c>
      <c r="AG17" s="2142" t="s">
        <v>142</v>
      </c>
      <c r="AH17" s="2142"/>
      <c r="AI17" s="2144">
        <f t="shared" si="0"/>
        <v>30</v>
      </c>
      <c r="AJ17" s="2144"/>
      <c r="AK17" s="2145"/>
      <c r="AL17" s="2146"/>
      <c r="AM17" s="2147"/>
    </row>
    <row r="18" spans="1:39" s="2148" customFormat="1" ht="30.75" customHeight="1">
      <c r="A18" s="2142">
        <v>8</v>
      </c>
      <c r="B18" s="2143" t="s">
        <v>1699</v>
      </c>
      <c r="C18" s="1704" t="s">
        <v>1703</v>
      </c>
      <c r="D18" s="2142" t="s">
        <v>142</v>
      </c>
      <c r="E18" s="2142" t="s">
        <v>142</v>
      </c>
      <c r="F18" s="2142" t="s">
        <v>142</v>
      </c>
      <c r="G18" s="2142" t="s">
        <v>142</v>
      </c>
      <c r="H18" s="2142" t="s">
        <v>142</v>
      </c>
      <c r="I18" s="2142" t="s">
        <v>142</v>
      </c>
      <c r="J18" s="2142" t="s">
        <v>142</v>
      </c>
      <c r="K18" s="2142" t="s">
        <v>142</v>
      </c>
      <c r="L18" s="2142" t="s">
        <v>142</v>
      </c>
      <c r="M18" s="2142" t="s">
        <v>142</v>
      </c>
      <c r="N18" s="2142" t="s">
        <v>142</v>
      </c>
      <c r="O18" s="2142" t="s">
        <v>142</v>
      </c>
      <c r="P18" s="2142" t="s">
        <v>142</v>
      </c>
      <c r="Q18" s="2142" t="s">
        <v>142</v>
      </c>
      <c r="R18" s="2142" t="s">
        <v>142</v>
      </c>
      <c r="S18" s="2142" t="s">
        <v>142</v>
      </c>
      <c r="T18" s="2142" t="s">
        <v>142</v>
      </c>
      <c r="U18" s="2142" t="s">
        <v>142</v>
      </c>
      <c r="V18" s="2142" t="s">
        <v>142</v>
      </c>
      <c r="W18" s="2142" t="s">
        <v>142</v>
      </c>
      <c r="X18" s="2142" t="s">
        <v>142</v>
      </c>
      <c r="Y18" s="2142" t="s">
        <v>142</v>
      </c>
      <c r="Z18" s="2142" t="s">
        <v>142</v>
      </c>
      <c r="AA18" s="2142" t="s">
        <v>142</v>
      </c>
      <c r="AB18" s="2142" t="s">
        <v>142</v>
      </c>
      <c r="AC18" s="2142" t="s">
        <v>142</v>
      </c>
      <c r="AD18" s="2142" t="s">
        <v>142</v>
      </c>
      <c r="AE18" s="2142" t="s">
        <v>142</v>
      </c>
      <c r="AF18" s="2142" t="s">
        <v>142</v>
      </c>
      <c r="AG18" s="2142" t="s">
        <v>142</v>
      </c>
      <c r="AH18" s="2142"/>
      <c r="AI18" s="2144">
        <f t="shared" si="0"/>
        <v>30</v>
      </c>
      <c r="AJ18" s="2144"/>
      <c r="AK18" s="2145"/>
      <c r="AL18" s="2146"/>
      <c r="AM18" s="2147"/>
    </row>
    <row r="19" spans="1:39" s="2148" customFormat="1" ht="30.75" customHeight="1">
      <c r="A19" s="2142">
        <v>9</v>
      </c>
      <c r="B19" s="2143" t="s">
        <v>1700</v>
      </c>
      <c r="C19" s="1704" t="s">
        <v>1703</v>
      </c>
      <c r="D19" s="2142" t="s">
        <v>142</v>
      </c>
      <c r="E19" s="2142" t="s">
        <v>142</v>
      </c>
      <c r="F19" s="2142" t="s">
        <v>142</v>
      </c>
      <c r="G19" s="2142" t="s">
        <v>142</v>
      </c>
      <c r="H19" s="2142" t="s">
        <v>142</v>
      </c>
      <c r="I19" s="2142" t="s">
        <v>142</v>
      </c>
      <c r="J19" s="2142" t="s">
        <v>142</v>
      </c>
      <c r="K19" s="2142" t="s">
        <v>142</v>
      </c>
      <c r="L19" s="2142" t="s">
        <v>142</v>
      </c>
      <c r="M19" s="2142" t="s">
        <v>142</v>
      </c>
      <c r="N19" s="2142" t="s">
        <v>142</v>
      </c>
      <c r="O19" s="2142" t="s">
        <v>142</v>
      </c>
      <c r="P19" s="2142" t="s">
        <v>142</v>
      </c>
      <c r="Q19" s="2142" t="s">
        <v>142</v>
      </c>
      <c r="R19" s="2142" t="s">
        <v>142</v>
      </c>
      <c r="S19" s="2142" t="s">
        <v>142</v>
      </c>
      <c r="T19" s="2142" t="s">
        <v>142</v>
      </c>
      <c r="U19" s="2142" t="s">
        <v>142</v>
      </c>
      <c r="V19" s="2142" t="s">
        <v>142</v>
      </c>
      <c r="W19" s="2142" t="s">
        <v>142</v>
      </c>
      <c r="X19" s="2142" t="s">
        <v>142</v>
      </c>
      <c r="Y19" s="2142" t="s">
        <v>142</v>
      </c>
      <c r="Z19" s="2142" t="s">
        <v>142</v>
      </c>
      <c r="AA19" s="2142" t="s">
        <v>142</v>
      </c>
      <c r="AB19" s="2142" t="s">
        <v>142</v>
      </c>
      <c r="AC19" s="2142" t="s">
        <v>142</v>
      </c>
      <c r="AD19" s="2142" t="s">
        <v>142</v>
      </c>
      <c r="AE19" s="2142" t="s">
        <v>142</v>
      </c>
      <c r="AF19" s="2142" t="s">
        <v>142</v>
      </c>
      <c r="AG19" s="2142" t="s">
        <v>142</v>
      </c>
      <c r="AH19" s="2142"/>
      <c r="AI19" s="2144">
        <f t="shared" si="0"/>
        <v>30</v>
      </c>
      <c r="AJ19" s="2144"/>
      <c r="AK19" s="2145"/>
      <c r="AL19" s="2146"/>
      <c r="AM19" s="2147"/>
    </row>
    <row r="20" spans="1:39" s="2148" customFormat="1" ht="30.75" customHeight="1">
      <c r="A20" s="2142">
        <v>10</v>
      </c>
      <c r="B20" s="2143" t="s">
        <v>1453</v>
      </c>
      <c r="C20" s="1704" t="s">
        <v>1703</v>
      </c>
      <c r="D20" s="2142" t="s">
        <v>142</v>
      </c>
      <c r="E20" s="2142" t="s">
        <v>142</v>
      </c>
      <c r="F20" s="2142" t="s">
        <v>142</v>
      </c>
      <c r="G20" s="2142" t="s">
        <v>142</v>
      </c>
      <c r="H20" s="2142" t="s">
        <v>142</v>
      </c>
      <c r="I20" s="2142" t="s">
        <v>142</v>
      </c>
      <c r="J20" s="2142" t="s">
        <v>142</v>
      </c>
      <c r="K20" s="2142" t="s">
        <v>142</v>
      </c>
      <c r="L20" s="2142" t="s">
        <v>142</v>
      </c>
      <c r="M20" s="2142" t="s">
        <v>142</v>
      </c>
      <c r="N20" s="2142" t="s">
        <v>142</v>
      </c>
      <c r="O20" s="2142" t="s">
        <v>142</v>
      </c>
      <c r="P20" s="2142" t="s">
        <v>142</v>
      </c>
      <c r="Q20" s="2142" t="s">
        <v>142</v>
      </c>
      <c r="R20" s="2142" t="s">
        <v>142</v>
      </c>
      <c r="S20" s="2142" t="s">
        <v>142</v>
      </c>
      <c r="T20" s="2142" t="s">
        <v>142</v>
      </c>
      <c r="U20" s="2142" t="s">
        <v>142</v>
      </c>
      <c r="V20" s="2142" t="s">
        <v>142</v>
      </c>
      <c r="W20" s="2142" t="s">
        <v>142</v>
      </c>
      <c r="X20" s="2142" t="s">
        <v>142</v>
      </c>
      <c r="Y20" s="2142" t="s">
        <v>142</v>
      </c>
      <c r="Z20" s="2142" t="s">
        <v>142</v>
      </c>
      <c r="AA20" s="2142" t="s">
        <v>142</v>
      </c>
      <c r="AB20" s="2142" t="s">
        <v>142</v>
      </c>
      <c r="AC20" s="2142" t="s">
        <v>142</v>
      </c>
      <c r="AD20" s="2142" t="s">
        <v>142</v>
      </c>
      <c r="AE20" s="2142" t="s">
        <v>142</v>
      </c>
      <c r="AF20" s="2142" t="s">
        <v>142</v>
      </c>
      <c r="AG20" s="2142" t="s">
        <v>142</v>
      </c>
      <c r="AH20" s="2142"/>
      <c r="AI20" s="2144">
        <f t="shared" si="0"/>
        <v>30</v>
      </c>
      <c r="AJ20" s="2144"/>
      <c r="AK20" s="2145"/>
      <c r="AL20" s="2146"/>
      <c r="AM20" s="2147"/>
    </row>
    <row r="21" spans="1:39" s="2148" customFormat="1" ht="30.75" customHeight="1">
      <c r="A21" s="2142">
        <v>11</v>
      </c>
      <c r="B21" s="2143" t="s">
        <v>926</v>
      </c>
      <c r="C21" s="1704" t="s">
        <v>1703</v>
      </c>
      <c r="D21" s="2142" t="s">
        <v>142</v>
      </c>
      <c r="E21" s="2142" t="s">
        <v>142</v>
      </c>
      <c r="F21" s="2142" t="s">
        <v>142</v>
      </c>
      <c r="G21" s="2142" t="s">
        <v>142</v>
      </c>
      <c r="H21" s="2142" t="s">
        <v>142</v>
      </c>
      <c r="I21" s="2142" t="s">
        <v>142</v>
      </c>
      <c r="J21" s="2142" t="s">
        <v>142</v>
      </c>
      <c r="K21" s="2142" t="s">
        <v>142</v>
      </c>
      <c r="L21" s="2142" t="s">
        <v>142</v>
      </c>
      <c r="M21" s="2142" t="s">
        <v>142</v>
      </c>
      <c r="N21" s="2142" t="s">
        <v>142</v>
      </c>
      <c r="O21" s="2142" t="s">
        <v>142</v>
      </c>
      <c r="P21" s="2142" t="s">
        <v>142</v>
      </c>
      <c r="Q21" s="2142" t="s">
        <v>142</v>
      </c>
      <c r="R21" s="2142" t="s">
        <v>142</v>
      </c>
      <c r="S21" s="2142" t="s">
        <v>142</v>
      </c>
      <c r="T21" s="2142" t="s">
        <v>142</v>
      </c>
      <c r="U21" s="2142" t="s">
        <v>142</v>
      </c>
      <c r="V21" s="2142" t="s">
        <v>142</v>
      </c>
      <c r="W21" s="2142" t="s">
        <v>142</v>
      </c>
      <c r="X21" s="2142" t="s">
        <v>142</v>
      </c>
      <c r="Y21" s="2142" t="s">
        <v>142</v>
      </c>
      <c r="Z21" s="2142" t="s">
        <v>142</v>
      </c>
      <c r="AA21" s="2142" t="s">
        <v>142</v>
      </c>
      <c r="AB21" s="2142" t="s">
        <v>142</v>
      </c>
      <c r="AC21" s="2142" t="s">
        <v>142</v>
      </c>
      <c r="AD21" s="2142" t="s">
        <v>142</v>
      </c>
      <c r="AE21" s="2142" t="s">
        <v>142</v>
      </c>
      <c r="AF21" s="2142" t="s">
        <v>142</v>
      </c>
      <c r="AG21" s="2142" t="s">
        <v>142</v>
      </c>
      <c r="AH21" s="2142"/>
      <c r="AI21" s="2144">
        <f t="shared" si="0"/>
        <v>30</v>
      </c>
      <c r="AJ21" s="2144"/>
      <c r="AK21" s="2145"/>
      <c r="AL21" s="2146"/>
      <c r="AM21" s="2147"/>
    </row>
    <row r="22" spans="1:39" s="2148" customFormat="1" ht="30.75" customHeight="1">
      <c r="A22" s="2142">
        <v>12</v>
      </c>
      <c r="B22" s="2143" t="s">
        <v>747</v>
      </c>
      <c r="C22" s="1704" t="s">
        <v>1703</v>
      </c>
      <c r="D22" s="2142" t="s">
        <v>142</v>
      </c>
      <c r="E22" s="2142" t="s">
        <v>142</v>
      </c>
      <c r="F22" s="2142" t="s">
        <v>142</v>
      </c>
      <c r="G22" s="2142" t="s">
        <v>142</v>
      </c>
      <c r="H22" s="2142" t="s">
        <v>142</v>
      </c>
      <c r="I22" s="2142" t="s">
        <v>142</v>
      </c>
      <c r="J22" s="2142" t="s">
        <v>142</v>
      </c>
      <c r="K22" s="2142" t="s">
        <v>142</v>
      </c>
      <c r="L22" s="2142" t="s">
        <v>142</v>
      </c>
      <c r="M22" s="2142" t="s">
        <v>142</v>
      </c>
      <c r="N22" s="2142" t="s">
        <v>142</v>
      </c>
      <c r="O22" s="2142" t="s">
        <v>142</v>
      </c>
      <c r="P22" s="2142" t="s">
        <v>142</v>
      </c>
      <c r="Q22" s="2142" t="s">
        <v>142</v>
      </c>
      <c r="R22" s="2142" t="s">
        <v>142</v>
      </c>
      <c r="S22" s="2142" t="s">
        <v>142</v>
      </c>
      <c r="T22" s="2142" t="s">
        <v>142</v>
      </c>
      <c r="U22" s="2142" t="s">
        <v>142</v>
      </c>
      <c r="V22" s="2142" t="s">
        <v>142</v>
      </c>
      <c r="W22" s="2142" t="s">
        <v>142</v>
      </c>
      <c r="X22" s="2142" t="s">
        <v>142</v>
      </c>
      <c r="Y22" s="2142" t="s">
        <v>142</v>
      </c>
      <c r="Z22" s="2142" t="s">
        <v>142</v>
      </c>
      <c r="AA22" s="2142" t="s">
        <v>142</v>
      </c>
      <c r="AB22" s="2142" t="s">
        <v>142</v>
      </c>
      <c r="AC22" s="2142" t="s">
        <v>142</v>
      </c>
      <c r="AD22" s="2142" t="s">
        <v>142</v>
      </c>
      <c r="AE22" s="2142" t="s">
        <v>142</v>
      </c>
      <c r="AF22" s="2142" t="s">
        <v>142</v>
      </c>
      <c r="AG22" s="2142" t="s">
        <v>142</v>
      </c>
      <c r="AH22" s="2142"/>
      <c r="AI22" s="2144">
        <f t="shared" si="0"/>
        <v>30</v>
      </c>
      <c r="AJ22" s="2144"/>
      <c r="AK22" s="2145"/>
      <c r="AL22" s="2146"/>
      <c r="AM22" s="2147"/>
    </row>
    <row r="23" spans="1:39" s="2148" customFormat="1" ht="30.75" customHeight="1">
      <c r="A23" s="2142">
        <v>13</v>
      </c>
      <c r="B23" s="2143" t="s">
        <v>1701</v>
      </c>
      <c r="C23" s="1704" t="s">
        <v>1703</v>
      </c>
      <c r="D23" s="2142" t="s">
        <v>142</v>
      </c>
      <c r="E23" s="2142" t="s">
        <v>142</v>
      </c>
      <c r="F23" s="2142" t="s">
        <v>142</v>
      </c>
      <c r="G23" s="2142" t="s">
        <v>142</v>
      </c>
      <c r="H23" s="2142" t="s">
        <v>142</v>
      </c>
      <c r="I23" s="2142" t="s">
        <v>142</v>
      </c>
      <c r="J23" s="2142" t="s">
        <v>142</v>
      </c>
      <c r="K23" s="2142" t="s">
        <v>142</v>
      </c>
      <c r="L23" s="2142" t="s">
        <v>142</v>
      </c>
      <c r="M23" s="2142" t="s">
        <v>142</v>
      </c>
      <c r="N23" s="2142" t="s">
        <v>142</v>
      </c>
      <c r="O23" s="2142" t="s">
        <v>142</v>
      </c>
      <c r="P23" s="2142" t="s">
        <v>142</v>
      </c>
      <c r="Q23" s="2142" t="s">
        <v>142</v>
      </c>
      <c r="R23" s="2142" t="s">
        <v>142</v>
      </c>
      <c r="S23" s="2142" t="s">
        <v>142</v>
      </c>
      <c r="T23" s="2142" t="s">
        <v>142</v>
      </c>
      <c r="U23" s="2142" t="s">
        <v>142</v>
      </c>
      <c r="V23" s="2142" t="s">
        <v>142</v>
      </c>
      <c r="W23" s="2142" t="s">
        <v>142</v>
      </c>
      <c r="X23" s="2142" t="s">
        <v>142</v>
      </c>
      <c r="Y23" s="2142" t="s">
        <v>142</v>
      </c>
      <c r="Z23" s="2142" t="s">
        <v>142</v>
      </c>
      <c r="AA23" s="2142" t="s">
        <v>142</v>
      </c>
      <c r="AB23" s="2142" t="s">
        <v>142</v>
      </c>
      <c r="AC23" s="2142" t="s">
        <v>142</v>
      </c>
      <c r="AD23" s="2142" t="s">
        <v>142</v>
      </c>
      <c r="AE23" s="2142" t="s">
        <v>142</v>
      </c>
      <c r="AF23" s="2142" t="s">
        <v>142</v>
      </c>
      <c r="AG23" s="2142" t="s">
        <v>142</v>
      </c>
      <c r="AH23" s="2142"/>
      <c r="AI23" s="2144">
        <f t="shared" si="0"/>
        <v>30</v>
      </c>
      <c r="AJ23" s="2144"/>
      <c r="AK23" s="2145"/>
      <c r="AL23" s="2146"/>
      <c r="AM23" s="2147"/>
    </row>
    <row r="24" spans="1:39" s="2148" customFormat="1" ht="30.75" customHeight="1">
      <c r="A24" s="3459">
        <v>14</v>
      </c>
      <c r="B24" s="2143" t="s">
        <v>1730</v>
      </c>
      <c r="C24" s="1704" t="s">
        <v>1703</v>
      </c>
      <c r="D24" s="2142" t="s">
        <v>142</v>
      </c>
      <c r="E24" s="2142" t="s">
        <v>142</v>
      </c>
      <c r="F24" s="2142" t="s">
        <v>142</v>
      </c>
      <c r="G24" s="2142" t="s">
        <v>142</v>
      </c>
      <c r="H24" s="2142" t="s">
        <v>142</v>
      </c>
      <c r="I24" s="2142" t="s">
        <v>142</v>
      </c>
      <c r="J24" s="2142" t="s">
        <v>142</v>
      </c>
      <c r="K24" s="2142" t="s">
        <v>142</v>
      </c>
      <c r="L24" s="2142" t="s">
        <v>142</v>
      </c>
      <c r="M24" s="2142" t="s">
        <v>142</v>
      </c>
      <c r="N24" s="2142" t="s">
        <v>142</v>
      </c>
      <c r="O24" s="2142" t="s">
        <v>142</v>
      </c>
      <c r="P24" s="2142" t="s">
        <v>142</v>
      </c>
      <c r="Q24" s="2142" t="s">
        <v>142</v>
      </c>
      <c r="R24" s="2142" t="s">
        <v>142</v>
      </c>
      <c r="S24" s="2142" t="s">
        <v>142</v>
      </c>
      <c r="T24" s="2142" t="s">
        <v>142</v>
      </c>
      <c r="U24" s="2142" t="s">
        <v>142</v>
      </c>
      <c r="V24" s="2142" t="s">
        <v>142</v>
      </c>
      <c r="W24" s="2142" t="s">
        <v>142</v>
      </c>
      <c r="X24" s="2142" t="s">
        <v>142</v>
      </c>
      <c r="Y24" s="2142" t="s">
        <v>142</v>
      </c>
      <c r="Z24" s="2142" t="s">
        <v>142</v>
      </c>
      <c r="AA24" s="2142" t="s">
        <v>142</v>
      </c>
      <c r="AB24" s="2142" t="s">
        <v>142</v>
      </c>
      <c r="AC24" s="2142" t="s">
        <v>142</v>
      </c>
      <c r="AD24" s="2142" t="s">
        <v>142</v>
      </c>
      <c r="AE24" s="2142" t="s">
        <v>142</v>
      </c>
      <c r="AF24" s="2142" t="s">
        <v>142</v>
      </c>
      <c r="AG24" s="2142" t="s">
        <v>142</v>
      </c>
      <c r="AH24" s="2142"/>
      <c r="AI24" s="2144">
        <f t="shared" si="0"/>
        <v>30</v>
      </c>
      <c r="AJ24" s="2144"/>
      <c r="AK24" s="2145"/>
      <c r="AL24" s="2146"/>
      <c r="AM24" s="2147"/>
    </row>
    <row r="25" spans="1:39" s="2148" customFormat="1" ht="27.75" customHeight="1">
      <c r="A25" s="4142" t="s">
        <v>187</v>
      </c>
      <c r="B25" s="4143"/>
      <c r="C25" s="4144"/>
      <c r="D25" s="2149">
        <f>COUNTIF(D11:D24,"x")</f>
        <v>14</v>
      </c>
      <c r="E25" s="2149">
        <f t="shared" ref="E25:AG25" si="1">COUNTIF(E11:E24,"x")</f>
        <v>14</v>
      </c>
      <c r="F25" s="2149">
        <f t="shared" si="1"/>
        <v>14</v>
      </c>
      <c r="G25" s="2149">
        <f t="shared" si="1"/>
        <v>14</v>
      </c>
      <c r="H25" s="2149">
        <f t="shared" si="1"/>
        <v>14</v>
      </c>
      <c r="I25" s="2149">
        <f t="shared" si="1"/>
        <v>14</v>
      </c>
      <c r="J25" s="2149">
        <f t="shared" si="1"/>
        <v>14</v>
      </c>
      <c r="K25" s="2149">
        <f t="shared" si="1"/>
        <v>14</v>
      </c>
      <c r="L25" s="2149">
        <f t="shared" si="1"/>
        <v>14</v>
      </c>
      <c r="M25" s="2149">
        <f t="shared" si="1"/>
        <v>14</v>
      </c>
      <c r="N25" s="2149">
        <f t="shared" si="1"/>
        <v>14</v>
      </c>
      <c r="O25" s="2149">
        <f t="shared" si="1"/>
        <v>14</v>
      </c>
      <c r="P25" s="2149">
        <f t="shared" si="1"/>
        <v>14</v>
      </c>
      <c r="Q25" s="2149">
        <f t="shared" si="1"/>
        <v>14</v>
      </c>
      <c r="R25" s="2149">
        <f t="shared" si="1"/>
        <v>14</v>
      </c>
      <c r="S25" s="2149">
        <f t="shared" si="1"/>
        <v>14</v>
      </c>
      <c r="T25" s="2149">
        <f t="shared" si="1"/>
        <v>14</v>
      </c>
      <c r="U25" s="2149">
        <f t="shared" si="1"/>
        <v>14</v>
      </c>
      <c r="V25" s="2149">
        <f t="shared" si="1"/>
        <v>14</v>
      </c>
      <c r="W25" s="2149">
        <f t="shared" si="1"/>
        <v>14</v>
      </c>
      <c r="X25" s="2149">
        <f t="shared" si="1"/>
        <v>14</v>
      </c>
      <c r="Y25" s="2149">
        <f t="shared" si="1"/>
        <v>14</v>
      </c>
      <c r="Z25" s="2149">
        <f t="shared" si="1"/>
        <v>14</v>
      </c>
      <c r="AA25" s="2149">
        <f t="shared" si="1"/>
        <v>14</v>
      </c>
      <c r="AB25" s="2149">
        <f t="shared" si="1"/>
        <v>14</v>
      </c>
      <c r="AC25" s="2149">
        <f t="shared" si="1"/>
        <v>14</v>
      </c>
      <c r="AD25" s="2149">
        <f t="shared" si="1"/>
        <v>14</v>
      </c>
      <c r="AE25" s="2149">
        <f t="shared" si="1"/>
        <v>14</v>
      </c>
      <c r="AF25" s="2149">
        <f t="shared" si="1"/>
        <v>14</v>
      </c>
      <c r="AG25" s="2149">
        <f t="shared" si="1"/>
        <v>14</v>
      </c>
      <c r="AH25" s="2149"/>
      <c r="AI25" s="2150">
        <f>SUM(AI11:AI24)</f>
        <v>420</v>
      </c>
      <c r="AJ25" s="2150"/>
    </row>
    <row r="26" spans="1:39">
      <c r="B26" s="1627"/>
      <c r="C26" s="1627"/>
      <c r="D26" s="1627"/>
      <c r="E26" s="1627"/>
      <c r="F26" s="1627"/>
      <c r="G26" s="1627"/>
      <c r="H26" s="1627"/>
      <c r="I26" s="1627"/>
      <c r="J26" s="1627"/>
      <c r="K26" s="1627"/>
      <c r="L26" s="1627"/>
      <c r="M26" s="1627"/>
      <c r="N26" s="1627"/>
      <c r="O26" s="1627"/>
      <c r="P26" s="1627"/>
      <c r="Q26" s="1627"/>
      <c r="R26" s="1627"/>
      <c r="S26" s="1627"/>
      <c r="U26" s="1951"/>
      <c r="V26" s="1951"/>
      <c r="W26" s="1951"/>
      <c r="AA26" s="4145" t="s">
        <v>1803</v>
      </c>
      <c r="AB26" s="4145"/>
      <c r="AC26" s="4145"/>
      <c r="AD26" s="4145"/>
      <c r="AE26" s="4145"/>
      <c r="AF26" s="4145"/>
      <c r="AG26" s="4145"/>
      <c r="AH26" s="4145"/>
      <c r="AI26" s="4145"/>
    </row>
    <row r="27" spans="1:39" s="2140" customFormat="1" ht="24" customHeight="1">
      <c r="A27" s="4037" t="s">
        <v>44</v>
      </c>
      <c r="B27" s="4037"/>
      <c r="C27" s="4037"/>
      <c r="D27" s="4037"/>
      <c r="E27" s="4037"/>
      <c r="F27" s="4037"/>
      <c r="G27" s="4037"/>
      <c r="H27" s="4037"/>
      <c r="I27" s="4037"/>
      <c r="J27" s="4037"/>
      <c r="K27" s="4037"/>
      <c r="L27" s="4037"/>
      <c r="M27" s="4037"/>
      <c r="N27" s="4037"/>
      <c r="O27" s="4037"/>
      <c r="P27" s="4037"/>
      <c r="Q27" s="4037"/>
      <c r="R27" s="4037"/>
      <c r="S27" s="4037"/>
      <c r="T27" s="4037"/>
      <c r="U27" s="4037"/>
      <c r="V27" s="4037"/>
      <c r="AB27" s="2210" t="s">
        <v>1104</v>
      </c>
      <c r="AC27" s="2210"/>
      <c r="AE27" s="2210"/>
      <c r="AG27" s="2210"/>
      <c r="AH27" s="2210"/>
      <c r="AI27" s="2210"/>
      <c r="AJ27" s="2210"/>
    </row>
    <row r="28" spans="1:39" ht="15.75">
      <c r="A28" s="1626"/>
      <c r="B28" s="1629"/>
      <c r="C28" s="1630"/>
      <c r="D28" s="1626"/>
      <c r="E28" s="1626"/>
      <c r="F28" s="1626"/>
      <c r="G28" s="1626"/>
      <c r="H28" s="1626"/>
      <c r="I28" s="1631"/>
      <c r="J28" s="1631"/>
      <c r="K28" s="1631"/>
      <c r="L28" s="1632"/>
      <c r="M28" s="1632"/>
      <c r="N28" s="1632"/>
      <c r="O28" s="1632"/>
      <c r="P28" s="1632"/>
      <c r="Q28" s="1632"/>
      <c r="R28" s="1632"/>
      <c r="S28" s="1632"/>
      <c r="T28" s="1632"/>
      <c r="U28" s="1632"/>
      <c r="V28" s="1632"/>
      <c r="W28" s="1632"/>
      <c r="X28" s="1632"/>
      <c r="Y28" s="1632"/>
      <c r="Z28" s="1632"/>
      <c r="AA28" s="1632"/>
      <c r="AB28" s="1632"/>
      <c r="AC28" s="1632"/>
      <c r="AD28" s="1632"/>
      <c r="AE28" s="1632"/>
      <c r="AF28" s="1632"/>
      <c r="AG28" s="1632"/>
      <c r="AH28" s="1632"/>
      <c r="AI28" s="1632"/>
      <c r="AJ28" s="1632"/>
    </row>
    <row r="29" spans="1:39" ht="15.75">
      <c r="A29" s="1626"/>
      <c r="B29" s="1633"/>
      <c r="C29" s="1630"/>
      <c r="D29" s="1626"/>
      <c r="E29" s="1626"/>
      <c r="F29" s="1626"/>
      <c r="G29" s="1626"/>
      <c r="H29" s="1626"/>
      <c r="I29" s="1626"/>
      <c r="J29" s="1626"/>
      <c r="K29" s="1626"/>
      <c r="L29" s="1626"/>
      <c r="M29" s="1626"/>
      <c r="N29" s="1632"/>
      <c r="O29" s="1632"/>
      <c r="P29" s="1632"/>
      <c r="Q29" s="1631"/>
      <c r="R29" s="1631"/>
      <c r="S29" s="1631"/>
      <c r="T29" s="1631"/>
      <c r="U29" s="1631"/>
      <c r="V29" s="1631"/>
      <c r="W29" s="1632"/>
      <c r="X29" s="1632"/>
      <c r="Y29" s="1632"/>
      <c r="Z29" s="1632"/>
      <c r="AA29" s="1632"/>
      <c r="AB29" s="1632"/>
      <c r="AC29" s="1632"/>
      <c r="AD29" s="1632"/>
      <c r="AE29" s="1632"/>
      <c r="AF29" s="1632"/>
      <c r="AG29" s="1632"/>
      <c r="AH29" s="1632"/>
      <c r="AI29" s="1631"/>
      <c r="AJ29" s="1631"/>
    </row>
    <row r="30" spans="1:39" ht="15.75">
      <c r="A30" s="1626"/>
      <c r="B30" s="1633"/>
      <c r="C30" s="1630"/>
      <c r="D30" s="1626"/>
      <c r="E30" s="1626"/>
      <c r="F30" s="1626"/>
      <c r="G30" s="1626"/>
      <c r="H30" s="1626"/>
      <c r="I30" s="1631"/>
      <c r="J30" s="1631"/>
      <c r="K30" s="1634"/>
      <c r="L30" s="1626"/>
      <c r="M30" s="1626"/>
      <c r="N30" s="1632"/>
      <c r="O30" s="1632"/>
      <c r="P30" s="1632"/>
      <c r="Q30" s="1632"/>
      <c r="R30" s="1632"/>
      <c r="S30" s="1632"/>
      <c r="T30" s="1632"/>
      <c r="U30" s="1632"/>
      <c r="V30" s="1632"/>
      <c r="W30" s="1632"/>
      <c r="X30" s="1632"/>
      <c r="Y30" s="1632"/>
      <c r="Z30" s="1632"/>
      <c r="AA30" s="1632"/>
      <c r="AB30" s="1632"/>
      <c r="AC30" s="1632"/>
      <c r="AD30" s="1632"/>
      <c r="AE30" s="1632"/>
      <c r="AF30" s="1632"/>
      <c r="AG30" s="1632"/>
      <c r="AH30" s="1632"/>
      <c r="AI30" s="1632"/>
      <c r="AJ30" s="1632"/>
    </row>
    <row r="31" spans="1:39" ht="15.75">
      <c r="A31" s="1626"/>
      <c r="B31" s="1633"/>
      <c r="C31" s="1630"/>
      <c r="D31" s="1626"/>
      <c r="E31" s="1626"/>
      <c r="F31" s="1626"/>
      <c r="G31" s="1626"/>
      <c r="H31" s="1626"/>
      <c r="I31" s="1626"/>
      <c r="J31" s="1626"/>
      <c r="K31" s="1634"/>
      <c r="L31" s="1626"/>
      <c r="M31" s="1626"/>
      <c r="N31" s="1632"/>
      <c r="O31" s="1632"/>
      <c r="P31" s="1632"/>
      <c r="Q31" s="1631"/>
      <c r="R31" s="1631"/>
      <c r="S31" s="1631"/>
      <c r="T31" s="1631"/>
      <c r="U31" s="1631"/>
      <c r="V31" s="1631"/>
      <c r="W31" s="1631"/>
      <c r="X31" s="1631"/>
      <c r="Y31" s="1631"/>
      <c r="Z31" s="1631"/>
      <c r="AA31" s="1631"/>
      <c r="AB31" s="1631"/>
      <c r="AC31" s="1631"/>
      <c r="AD31" s="1631"/>
      <c r="AE31" s="1631"/>
      <c r="AF31" s="1631"/>
      <c r="AG31" s="1631"/>
      <c r="AH31" s="1631"/>
      <c r="AI31" s="1631"/>
      <c r="AJ31" s="1631"/>
    </row>
    <row r="32" spans="1:39" ht="15.75">
      <c r="A32" s="1626"/>
      <c r="B32" s="1633"/>
      <c r="C32" s="1635"/>
      <c r="D32" s="1626"/>
      <c r="E32" s="1626"/>
      <c r="F32" s="1626"/>
      <c r="G32" s="1626"/>
      <c r="H32" s="1626"/>
      <c r="I32" s="1626"/>
      <c r="J32" s="1626"/>
      <c r="K32" s="1634"/>
      <c r="L32" s="1626"/>
      <c r="M32" s="1626"/>
      <c r="N32" s="1632"/>
      <c r="O32" s="1632"/>
      <c r="P32" s="1632"/>
      <c r="Q32" s="1631"/>
      <c r="R32" s="1631"/>
      <c r="S32" s="1631"/>
      <c r="T32" s="1631"/>
      <c r="U32" s="1631"/>
      <c r="V32" s="1631"/>
      <c r="W32" s="1631"/>
      <c r="X32" s="1631"/>
      <c r="Y32" s="1631"/>
      <c r="Z32" s="1631"/>
      <c r="AA32" s="1631"/>
      <c r="AB32" s="1631"/>
      <c r="AC32" s="1631"/>
      <c r="AD32" s="1631"/>
      <c r="AE32" s="1631"/>
      <c r="AF32" s="1631"/>
      <c r="AG32" s="1631"/>
      <c r="AH32" s="1631"/>
      <c r="AI32" s="1631"/>
      <c r="AJ32" s="1631"/>
    </row>
    <row r="33" spans="1:36" ht="15.75">
      <c r="A33" s="1626"/>
      <c r="B33" s="1633"/>
      <c r="C33" s="1626"/>
      <c r="D33" s="1626"/>
      <c r="E33" s="1626"/>
      <c r="F33" s="1626"/>
      <c r="G33" s="1626"/>
      <c r="H33" s="1626"/>
      <c r="I33" s="1626"/>
      <c r="J33" s="1626"/>
      <c r="L33" s="1626"/>
      <c r="M33" s="4140"/>
      <c r="N33" s="4140"/>
      <c r="O33" s="4140"/>
      <c r="P33" s="4140"/>
      <c r="Q33" s="4140"/>
      <c r="R33" s="4140"/>
      <c r="S33" s="4140"/>
      <c r="T33" s="4140"/>
      <c r="U33" s="4140"/>
      <c r="V33" s="4140"/>
      <c r="W33" s="1632"/>
      <c r="X33" s="4140"/>
      <c r="Y33" s="4140"/>
      <c r="Z33" s="4140"/>
      <c r="AA33" s="4140"/>
      <c r="AB33" s="4140"/>
      <c r="AC33" s="4140"/>
      <c r="AD33" s="4140"/>
      <c r="AE33" s="4140"/>
      <c r="AF33" s="4140"/>
      <c r="AG33" s="4140"/>
      <c r="AH33" s="4140"/>
      <c r="AI33" s="4140"/>
      <c r="AJ33" s="2139"/>
    </row>
    <row r="34" spans="1:36">
      <c r="A34" s="1626"/>
      <c r="C34" s="1636"/>
      <c r="D34" s="1636"/>
      <c r="E34" s="1636"/>
      <c r="F34" s="1636"/>
      <c r="G34" s="1636"/>
      <c r="H34" s="1636"/>
      <c r="I34" s="1636"/>
      <c r="J34" s="1636"/>
      <c r="K34" s="1636"/>
      <c r="L34" s="1626"/>
      <c r="M34" s="1626"/>
      <c r="N34" s="1626"/>
      <c r="O34" s="1626"/>
      <c r="P34" s="1626"/>
      <c r="Q34" s="1626"/>
      <c r="R34" s="1626"/>
      <c r="S34" s="1626"/>
      <c r="T34" s="1626"/>
      <c r="U34" s="1626"/>
      <c r="V34" s="1626"/>
      <c r="W34" s="1626"/>
      <c r="X34" s="1626"/>
      <c r="Y34" s="1626"/>
      <c r="Z34" s="1626"/>
      <c r="AA34" s="1626"/>
      <c r="AB34" s="1626"/>
      <c r="AC34" s="1626"/>
      <c r="AD34" s="1626"/>
      <c r="AE34" s="1626"/>
      <c r="AF34" s="1626"/>
      <c r="AG34" s="1626"/>
      <c r="AH34" s="1626"/>
      <c r="AI34" s="1626"/>
      <c r="AJ34" s="1626"/>
    </row>
    <row r="35" spans="1:36">
      <c r="A35" s="1626"/>
      <c r="D35" s="1635"/>
      <c r="E35" s="1635"/>
      <c r="F35" s="1635"/>
      <c r="G35" s="1635"/>
      <c r="H35" s="1635"/>
      <c r="I35" s="1626"/>
      <c r="J35" s="1626"/>
      <c r="K35" s="1626"/>
      <c r="L35" s="1626"/>
      <c r="M35" s="1626"/>
      <c r="N35" s="1626"/>
      <c r="O35" s="1626"/>
      <c r="P35" s="1626"/>
      <c r="Q35" s="1626"/>
      <c r="R35" s="1626"/>
      <c r="S35" s="1626"/>
      <c r="T35" s="1626"/>
      <c r="U35" s="1626"/>
      <c r="V35" s="1626"/>
      <c r="W35" s="1626"/>
      <c r="X35" s="1626"/>
      <c r="Y35" s="1626"/>
      <c r="Z35" s="1626"/>
      <c r="AA35" s="1626"/>
      <c r="AB35" s="1626"/>
      <c r="AC35" s="1626"/>
      <c r="AD35" s="1626"/>
      <c r="AE35" s="1626"/>
      <c r="AF35" s="1626"/>
      <c r="AG35" s="1626"/>
      <c r="AH35" s="1626"/>
      <c r="AI35" s="1626"/>
      <c r="AJ35" s="1626"/>
    </row>
    <row r="36" spans="1:36" ht="16.5">
      <c r="A36" s="1628" t="s">
        <v>993</v>
      </c>
      <c r="B36" s="1626"/>
      <c r="C36" s="1637"/>
      <c r="D36" s="1637"/>
      <c r="E36" s="1626"/>
      <c r="F36" s="1626"/>
      <c r="G36" s="1626"/>
      <c r="H36" s="1626"/>
      <c r="I36" s="1624"/>
      <c r="J36" s="1624"/>
      <c r="K36" s="1626"/>
    </row>
    <row r="37" spans="1:36" ht="15.75">
      <c r="A37" s="1626"/>
      <c r="B37" s="1629" t="s">
        <v>994</v>
      </c>
      <c r="C37" s="1630" t="s">
        <v>995</v>
      </c>
      <c r="D37" s="1626"/>
      <c r="E37" s="1626"/>
      <c r="F37" s="1626"/>
      <c r="G37" s="1626"/>
      <c r="H37" s="1626"/>
      <c r="I37" s="1631"/>
      <c r="J37" s="1631"/>
      <c r="K37" s="1631"/>
    </row>
    <row r="38" spans="1:36">
      <c r="A38" s="1626"/>
      <c r="B38" s="1633" t="s">
        <v>920</v>
      </c>
      <c r="C38" s="1630" t="s">
        <v>996</v>
      </c>
      <c r="D38" s="1626"/>
      <c r="E38" s="1626"/>
      <c r="F38" s="1626"/>
      <c r="G38" s="1626"/>
      <c r="H38" s="1626"/>
      <c r="I38" s="1626"/>
      <c r="J38" s="1626"/>
      <c r="K38" s="1626"/>
    </row>
    <row r="39" spans="1:36" ht="15.75">
      <c r="A39" s="1626"/>
      <c r="B39" s="1633" t="s">
        <v>980</v>
      </c>
      <c r="C39" s="1630" t="s">
        <v>997</v>
      </c>
      <c r="D39" s="1626"/>
      <c r="E39" s="1626"/>
      <c r="F39" s="1626"/>
      <c r="G39" s="1626"/>
      <c r="H39" s="1626"/>
      <c r="I39" s="1631"/>
      <c r="J39" s="1631"/>
      <c r="K39" s="1634"/>
    </row>
    <row r="40" spans="1:36" ht="15.75">
      <c r="A40" s="1626"/>
      <c r="B40" s="1633" t="s">
        <v>998</v>
      </c>
      <c r="C40" s="1630" t="s">
        <v>999</v>
      </c>
      <c r="D40" s="1626"/>
      <c r="E40" s="1626"/>
      <c r="F40" s="1626"/>
      <c r="G40" s="1626"/>
      <c r="H40" s="1626"/>
      <c r="I40" s="1626"/>
      <c r="J40" s="1626"/>
      <c r="K40" s="1634"/>
    </row>
    <row r="41" spans="1:36" ht="15.75">
      <c r="A41" s="1626"/>
      <c r="B41" s="1633" t="s">
        <v>1000</v>
      </c>
      <c r="C41" s="1635" t="s">
        <v>1001</v>
      </c>
      <c r="D41" s="1626"/>
      <c r="E41" s="1626"/>
      <c r="F41" s="1626"/>
      <c r="G41" s="1626"/>
      <c r="H41" s="1626"/>
      <c r="I41" s="1626"/>
      <c r="J41" s="1626"/>
      <c r="K41" s="1634"/>
    </row>
    <row r="42" spans="1:36">
      <c r="A42" s="1626"/>
      <c r="B42" s="1633" t="s">
        <v>1002</v>
      </c>
      <c r="C42" s="1626" t="s">
        <v>1003</v>
      </c>
      <c r="D42" s="1626"/>
      <c r="E42" s="1626"/>
      <c r="F42" s="1626"/>
      <c r="G42" s="1626"/>
      <c r="H42" s="1626"/>
      <c r="I42" s="1626"/>
      <c r="J42" s="1626"/>
    </row>
    <row r="43" spans="1:36">
      <c r="A43" s="1626"/>
      <c r="B43" s="1623" t="s">
        <v>1004</v>
      </c>
      <c r="C43" s="1636" t="s">
        <v>1005</v>
      </c>
      <c r="D43" s="1636"/>
      <c r="E43" s="1636"/>
      <c r="F43" s="1636"/>
      <c r="G43" s="1636"/>
      <c r="H43" s="1636"/>
      <c r="I43" s="1636"/>
      <c r="J43" s="1636"/>
      <c r="K43" s="1636"/>
    </row>
  </sheetData>
  <mergeCells count="19">
    <mergeCell ref="A1:AJ1"/>
    <mergeCell ref="A2:AJ2"/>
    <mergeCell ref="A3:AJ3"/>
    <mergeCell ref="A4:O4"/>
    <mergeCell ref="A5:K5"/>
    <mergeCell ref="A7:AJ7"/>
    <mergeCell ref="A9:A10"/>
    <mergeCell ref="B9:B10"/>
    <mergeCell ref="C9:C10"/>
    <mergeCell ref="D9:AG9"/>
    <mergeCell ref="AI9:AI10"/>
    <mergeCell ref="A8:AJ8"/>
    <mergeCell ref="A27:L27"/>
    <mergeCell ref="M27:V27"/>
    <mergeCell ref="M33:V33"/>
    <mergeCell ref="X33:AI33"/>
    <mergeCell ref="AJ9:AJ10"/>
    <mergeCell ref="A25:C25"/>
    <mergeCell ref="AA26:AI26"/>
  </mergeCells>
  <pageMargins left="0.59055118110236204" right="0.59055118110236204" top="0.15748031496063" bottom="0" header="0.39370078740157499" footer="0.39370078740157499"/>
  <pageSetup paperSize="9" scale="72" orientation="landscape" r:id="rId1"/>
  <rowBreaks count="1" manualBreakCount="1">
    <brk id="35" max="16383" man="1"/>
  </rowBreaks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4"/>
  <sheetViews>
    <sheetView workbookViewId="0">
      <selection activeCell="E19" sqref="E19"/>
    </sheetView>
  </sheetViews>
  <sheetFormatPr defaultColWidth="9.25" defaultRowHeight="15"/>
  <cols>
    <col min="1" max="1" width="9.375" style="36" customWidth="1"/>
    <col min="2" max="2" width="12.25" style="36" customWidth="1"/>
    <col min="3" max="4" width="16.125" style="36" customWidth="1"/>
    <col min="5" max="6" width="19.375" style="36" customWidth="1"/>
    <col min="7" max="7" width="19.375" style="950" customWidth="1"/>
    <col min="8" max="8" width="11.125" style="36" customWidth="1"/>
    <col min="9" max="9" width="27.375" style="36" customWidth="1"/>
    <col min="10" max="249" width="9.25" style="36"/>
    <col min="250" max="250" width="3.625" style="36" bestFit="1" customWidth="1"/>
    <col min="251" max="251" width="12.25" style="36" customWidth="1"/>
    <col min="252" max="252" width="15.875" style="36" customWidth="1"/>
    <col min="253" max="253" width="16.125" style="36" customWidth="1"/>
    <col min="254" max="254" width="8.75" style="36" customWidth="1"/>
    <col min="255" max="255" width="8.375" style="36" bestFit="1" customWidth="1"/>
    <col min="256" max="256" width="7.125" style="36" customWidth="1"/>
    <col min="257" max="257" width="10.375" style="36" customWidth="1"/>
    <col min="258" max="258" width="14.125" style="36" customWidth="1"/>
    <col min="259" max="259" width="10.875" style="36" customWidth="1"/>
    <col min="260" max="260" width="11.125" style="36" customWidth="1"/>
    <col min="261" max="261" width="10.625" style="36" bestFit="1" customWidth="1"/>
    <col min="262" max="262" width="10.25" style="36" customWidth="1"/>
    <col min="263" max="263" width="11" style="36" customWidth="1"/>
    <col min="264" max="264" width="13.25" style="36" customWidth="1"/>
    <col min="265" max="265" width="27.375" style="36" customWidth="1"/>
    <col min="266" max="505" width="9.25" style="36"/>
    <col min="506" max="506" width="3.625" style="36" bestFit="1" customWidth="1"/>
    <col min="507" max="507" width="12.25" style="36" customWidth="1"/>
    <col min="508" max="508" width="15.875" style="36" customWidth="1"/>
    <col min="509" max="509" width="16.125" style="36" customWidth="1"/>
    <col min="510" max="510" width="8.75" style="36" customWidth="1"/>
    <col min="511" max="511" width="8.375" style="36" bestFit="1" customWidth="1"/>
    <col min="512" max="512" width="7.125" style="36" customWidth="1"/>
    <col min="513" max="513" width="10.375" style="36" customWidth="1"/>
    <col min="514" max="514" width="14.125" style="36" customWidth="1"/>
    <col min="515" max="515" width="10.875" style="36" customWidth="1"/>
    <col min="516" max="516" width="11.125" style="36" customWidth="1"/>
    <col min="517" max="517" width="10.625" style="36" bestFit="1" customWidth="1"/>
    <col min="518" max="518" width="10.25" style="36" customWidth="1"/>
    <col min="519" max="519" width="11" style="36" customWidth="1"/>
    <col min="520" max="520" width="13.25" style="36" customWidth="1"/>
    <col min="521" max="521" width="27.375" style="36" customWidth="1"/>
    <col min="522" max="761" width="9.25" style="36"/>
    <col min="762" max="762" width="3.625" style="36" bestFit="1" customWidth="1"/>
    <col min="763" max="763" width="12.25" style="36" customWidth="1"/>
    <col min="764" max="764" width="15.875" style="36" customWidth="1"/>
    <col min="765" max="765" width="16.125" style="36" customWidth="1"/>
    <col min="766" max="766" width="8.75" style="36" customWidth="1"/>
    <col min="767" max="767" width="8.375" style="36" bestFit="1" customWidth="1"/>
    <col min="768" max="768" width="7.125" style="36" customWidth="1"/>
    <col min="769" max="769" width="10.375" style="36" customWidth="1"/>
    <col min="770" max="770" width="14.125" style="36" customWidth="1"/>
    <col min="771" max="771" width="10.875" style="36" customWidth="1"/>
    <col min="772" max="772" width="11.125" style="36" customWidth="1"/>
    <col min="773" max="773" width="10.625" style="36" bestFit="1" customWidth="1"/>
    <col min="774" max="774" width="10.25" style="36" customWidth="1"/>
    <col min="775" max="775" width="11" style="36" customWidth="1"/>
    <col min="776" max="776" width="13.25" style="36" customWidth="1"/>
    <col min="777" max="777" width="27.375" style="36" customWidth="1"/>
    <col min="778" max="1017" width="9.25" style="36"/>
    <col min="1018" max="1018" width="3.625" style="36" bestFit="1" customWidth="1"/>
    <col min="1019" max="1019" width="12.25" style="36" customWidth="1"/>
    <col min="1020" max="1020" width="15.875" style="36" customWidth="1"/>
    <col min="1021" max="1021" width="16.125" style="36" customWidth="1"/>
    <col min="1022" max="1022" width="8.75" style="36" customWidth="1"/>
    <col min="1023" max="1023" width="8.375" style="36" bestFit="1" customWidth="1"/>
    <col min="1024" max="1024" width="7.125" style="36" customWidth="1"/>
    <col min="1025" max="1025" width="10.375" style="36" customWidth="1"/>
    <col min="1026" max="1026" width="14.125" style="36" customWidth="1"/>
    <col min="1027" max="1027" width="10.875" style="36" customWidth="1"/>
    <col min="1028" max="1028" width="11.125" style="36" customWidth="1"/>
    <col min="1029" max="1029" width="10.625" style="36" bestFit="1" customWidth="1"/>
    <col min="1030" max="1030" width="10.25" style="36" customWidth="1"/>
    <col min="1031" max="1031" width="11" style="36" customWidth="1"/>
    <col min="1032" max="1032" width="13.25" style="36" customWidth="1"/>
    <col min="1033" max="1033" width="27.375" style="36" customWidth="1"/>
    <col min="1034" max="1273" width="9.25" style="36"/>
    <col min="1274" max="1274" width="3.625" style="36" bestFit="1" customWidth="1"/>
    <col min="1275" max="1275" width="12.25" style="36" customWidth="1"/>
    <col min="1276" max="1276" width="15.875" style="36" customWidth="1"/>
    <col min="1277" max="1277" width="16.125" style="36" customWidth="1"/>
    <col min="1278" max="1278" width="8.75" style="36" customWidth="1"/>
    <col min="1279" max="1279" width="8.375" style="36" bestFit="1" customWidth="1"/>
    <col min="1280" max="1280" width="7.125" style="36" customWidth="1"/>
    <col min="1281" max="1281" width="10.375" style="36" customWidth="1"/>
    <col min="1282" max="1282" width="14.125" style="36" customWidth="1"/>
    <col min="1283" max="1283" width="10.875" style="36" customWidth="1"/>
    <col min="1284" max="1284" width="11.125" style="36" customWidth="1"/>
    <col min="1285" max="1285" width="10.625" style="36" bestFit="1" customWidth="1"/>
    <col min="1286" max="1286" width="10.25" style="36" customWidth="1"/>
    <col min="1287" max="1287" width="11" style="36" customWidth="1"/>
    <col min="1288" max="1288" width="13.25" style="36" customWidth="1"/>
    <col min="1289" max="1289" width="27.375" style="36" customWidth="1"/>
    <col min="1290" max="1529" width="9.25" style="36"/>
    <col min="1530" max="1530" width="3.625" style="36" bestFit="1" customWidth="1"/>
    <col min="1531" max="1531" width="12.25" style="36" customWidth="1"/>
    <col min="1532" max="1532" width="15.875" style="36" customWidth="1"/>
    <col min="1533" max="1533" width="16.125" style="36" customWidth="1"/>
    <col min="1534" max="1534" width="8.75" style="36" customWidth="1"/>
    <col min="1535" max="1535" width="8.375" style="36" bestFit="1" customWidth="1"/>
    <col min="1536" max="1536" width="7.125" style="36" customWidth="1"/>
    <col min="1537" max="1537" width="10.375" style="36" customWidth="1"/>
    <col min="1538" max="1538" width="14.125" style="36" customWidth="1"/>
    <col min="1539" max="1539" width="10.875" style="36" customWidth="1"/>
    <col min="1540" max="1540" width="11.125" style="36" customWidth="1"/>
    <col min="1541" max="1541" width="10.625" style="36" bestFit="1" customWidth="1"/>
    <col min="1542" max="1542" width="10.25" style="36" customWidth="1"/>
    <col min="1543" max="1543" width="11" style="36" customWidth="1"/>
    <col min="1544" max="1544" width="13.25" style="36" customWidth="1"/>
    <col min="1545" max="1545" width="27.375" style="36" customWidth="1"/>
    <col min="1546" max="1785" width="9.25" style="36"/>
    <col min="1786" max="1786" width="3.625" style="36" bestFit="1" customWidth="1"/>
    <col min="1787" max="1787" width="12.25" style="36" customWidth="1"/>
    <col min="1788" max="1788" width="15.875" style="36" customWidth="1"/>
    <col min="1789" max="1789" width="16.125" style="36" customWidth="1"/>
    <col min="1790" max="1790" width="8.75" style="36" customWidth="1"/>
    <col min="1791" max="1791" width="8.375" style="36" bestFit="1" customWidth="1"/>
    <col min="1792" max="1792" width="7.125" style="36" customWidth="1"/>
    <col min="1793" max="1793" width="10.375" style="36" customWidth="1"/>
    <col min="1794" max="1794" width="14.125" style="36" customWidth="1"/>
    <col min="1795" max="1795" width="10.875" style="36" customWidth="1"/>
    <col min="1796" max="1796" width="11.125" style="36" customWidth="1"/>
    <col min="1797" max="1797" width="10.625" style="36" bestFit="1" customWidth="1"/>
    <col min="1798" max="1798" width="10.25" style="36" customWidth="1"/>
    <col min="1799" max="1799" width="11" style="36" customWidth="1"/>
    <col min="1800" max="1800" width="13.25" style="36" customWidth="1"/>
    <col min="1801" max="1801" width="27.375" style="36" customWidth="1"/>
    <col min="1802" max="2041" width="9.25" style="36"/>
    <col min="2042" max="2042" width="3.625" style="36" bestFit="1" customWidth="1"/>
    <col min="2043" max="2043" width="12.25" style="36" customWidth="1"/>
    <col min="2044" max="2044" width="15.875" style="36" customWidth="1"/>
    <col min="2045" max="2045" width="16.125" style="36" customWidth="1"/>
    <col min="2046" max="2046" width="8.75" style="36" customWidth="1"/>
    <col min="2047" max="2047" width="8.375" style="36" bestFit="1" customWidth="1"/>
    <col min="2048" max="2048" width="7.125" style="36" customWidth="1"/>
    <col min="2049" max="2049" width="10.375" style="36" customWidth="1"/>
    <col min="2050" max="2050" width="14.125" style="36" customWidth="1"/>
    <col min="2051" max="2051" width="10.875" style="36" customWidth="1"/>
    <col min="2052" max="2052" width="11.125" style="36" customWidth="1"/>
    <col min="2053" max="2053" width="10.625" style="36" bestFit="1" customWidth="1"/>
    <col min="2054" max="2054" width="10.25" style="36" customWidth="1"/>
    <col min="2055" max="2055" width="11" style="36" customWidth="1"/>
    <col min="2056" max="2056" width="13.25" style="36" customWidth="1"/>
    <col min="2057" max="2057" width="27.375" style="36" customWidth="1"/>
    <col min="2058" max="2297" width="9.25" style="36"/>
    <col min="2298" max="2298" width="3.625" style="36" bestFit="1" customWidth="1"/>
    <col min="2299" max="2299" width="12.25" style="36" customWidth="1"/>
    <col min="2300" max="2300" width="15.875" style="36" customWidth="1"/>
    <col min="2301" max="2301" width="16.125" style="36" customWidth="1"/>
    <col min="2302" max="2302" width="8.75" style="36" customWidth="1"/>
    <col min="2303" max="2303" width="8.375" style="36" bestFit="1" customWidth="1"/>
    <col min="2304" max="2304" width="7.125" style="36" customWidth="1"/>
    <col min="2305" max="2305" width="10.375" style="36" customWidth="1"/>
    <col min="2306" max="2306" width="14.125" style="36" customWidth="1"/>
    <col min="2307" max="2307" width="10.875" style="36" customWidth="1"/>
    <col min="2308" max="2308" width="11.125" style="36" customWidth="1"/>
    <col min="2309" max="2309" width="10.625" style="36" bestFit="1" customWidth="1"/>
    <col min="2310" max="2310" width="10.25" style="36" customWidth="1"/>
    <col min="2311" max="2311" width="11" style="36" customWidth="1"/>
    <col min="2312" max="2312" width="13.25" style="36" customWidth="1"/>
    <col min="2313" max="2313" width="27.375" style="36" customWidth="1"/>
    <col min="2314" max="2553" width="9.25" style="36"/>
    <col min="2554" max="2554" width="3.625" style="36" bestFit="1" customWidth="1"/>
    <col min="2555" max="2555" width="12.25" style="36" customWidth="1"/>
    <col min="2556" max="2556" width="15.875" style="36" customWidth="1"/>
    <col min="2557" max="2557" width="16.125" style="36" customWidth="1"/>
    <col min="2558" max="2558" width="8.75" style="36" customWidth="1"/>
    <col min="2559" max="2559" width="8.375" style="36" bestFit="1" customWidth="1"/>
    <col min="2560" max="2560" width="7.125" style="36" customWidth="1"/>
    <col min="2561" max="2561" width="10.375" style="36" customWidth="1"/>
    <col min="2562" max="2562" width="14.125" style="36" customWidth="1"/>
    <col min="2563" max="2563" width="10.875" style="36" customWidth="1"/>
    <col min="2564" max="2564" width="11.125" style="36" customWidth="1"/>
    <col min="2565" max="2565" width="10.625" style="36" bestFit="1" customWidth="1"/>
    <col min="2566" max="2566" width="10.25" style="36" customWidth="1"/>
    <col min="2567" max="2567" width="11" style="36" customWidth="1"/>
    <col min="2568" max="2568" width="13.25" style="36" customWidth="1"/>
    <col min="2569" max="2569" width="27.375" style="36" customWidth="1"/>
    <col min="2570" max="2809" width="9.25" style="36"/>
    <col min="2810" max="2810" width="3.625" style="36" bestFit="1" customWidth="1"/>
    <col min="2811" max="2811" width="12.25" style="36" customWidth="1"/>
    <col min="2812" max="2812" width="15.875" style="36" customWidth="1"/>
    <col min="2813" max="2813" width="16.125" style="36" customWidth="1"/>
    <col min="2814" max="2814" width="8.75" style="36" customWidth="1"/>
    <col min="2815" max="2815" width="8.375" style="36" bestFit="1" customWidth="1"/>
    <col min="2816" max="2816" width="7.125" style="36" customWidth="1"/>
    <col min="2817" max="2817" width="10.375" style="36" customWidth="1"/>
    <col min="2818" max="2818" width="14.125" style="36" customWidth="1"/>
    <col min="2819" max="2819" width="10.875" style="36" customWidth="1"/>
    <col min="2820" max="2820" width="11.125" style="36" customWidth="1"/>
    <col min="2821" max="2821" width="10.625" style="36" bestFit="1" customWidth="1"/>
    <col min="2822" max="2822" width="10.25" style="36" customWidth="1"/>
    <col min="2823" max="2823" width="11" style="36" customWidth="1"/>
    <col min="2824" max="2824" width="13.25" style="36" customWidth="1"/>
    <col min="2825" max="2825" width="27.375" style="36" customWidth="1"/>
    <col min="2826" max="3065" width="9.25" style="36"/>
    <col min="3066" max="3066" width="3.625" style="36" bestFit="1" customWidth="1"/>
    <col min="3067" max="3067" width="12.25" style="36" customWidth="1"/>
    <col min="3068" max="3068" width="15.875" style="36" customWidth="1"/>
    <col min="3069" max="3069" width="16.125" style="36" customWidth="1"/>
    <col min="3070" max="3070" width="8.75" style="36" customWidth="1"/>
    <col min="3071" max="3071" width="8.375" style="36" bestFit="1" customWidth="1"/>
    <col min="3072" max="3072" width="7.125" style="36" customWidth="1"/>
    <col min="3073" max="3073" width="10.375" style="36" customWidth="1"/>
    <col min="3074" max="3074" width="14.125" style="36" customWidth="1"/>
    <col min="3075" max="3075" width="10.875" style="36" customWidth="1"/>
    <col min="3076" max="3076" width="11.125" style="36" customWidth="1"/>
    <col min="3077" max="3077" width="10.625" style="36" bestFit="1" customWidth="1"/>
    <col min="3078" max="3078" width="10.25" style="36" customWidth="1"/>
    <col min="3079" max="3079" width="11" style="36" customWidth="1"/>
    <col min="3080" max="3080" width="13.25" style="36" customWidth="1"/>
    <col min="3081" max="3081" width="27.375" style="36" customWidth="1"/>
    <col min="3082" max="3321" width="9.25" style="36"/>
    <col min="3322" max="3322" width="3.625" style="36" bestFit="1" customWidth="1"/>
    <col min="3323" max="3323" width="12.25" style="36" customWidth="1"/>
    <col min="3324" max="3324" width="15.875" style="36" customWidth="1"/>
    <col min="3325" max="3325" width="16.125" style="36" customWidth="1"/>
    <col min="3326" max="3326" width="8.75" style="36" customWidth="1"/>
    <col min="3327" max="3327" width="8.375" style="36" bestFit="1" customWidth="1"/>
    <col min="3328" max="3328" width="7.125" style="36" customWidth="1"/>
    <col min="3329" max="3329" width="10.375" style="36" customWidth="1"/>
    <col min="3330" max="3330" width="14.125" style="36" customWidth="1"/>
    <col min="3331" max="3331" width="10.875" style="36" customWidth="1"/>
    <col min="3332" max="3332" width="11.125" style="36" customWidth="1"/>
    <col min="3333" max="3333" width="10.625" style="36" bestFit="1" customWidth="1"/>
    <col min="3334" max="3334" width="10.25" style="36" customWidth="1"/>
    <col min="3335" max="3335" width="11" style="36" customWidth="1"/>
    <col min="3336" max="3336" width="13.25" style="36" customWidth="1"/>
    <col min="3337" max="3337" width="27.375" style="36" customWidth="1"/>
    <col min="3338" max="3577" width="9.25" style="36"/>
    <col min="3578" max="3578" width="3.625" style="36" bestFit="1" customWidth="1"/>
    <col min="3579" max="3579" width="12.25" style="36" customWidth="1"/>
    <col min="3580" max="3580" width="15.875" style="36" customWidth="1"/>
    <col min="3581" max="3581" width="16.125" style="36" customWidth="1"/>
    <col min="3582" max="3582" width="8.75" style="36" customWidth="1"/>
    <col min="3583" max="3583" width="8.375" style="36" bestFit="1" customWidth="1"/>
    <col min="3584" max="3584" width="7.125" style="36" customWidth="1"/>
    <col min="3585" max="3585" width="10.375" style="36" customWidth="1"/>
    <col min="3586" max="3586" width="14.125" style="36" customWidth="1"/>
    <col min="3587" max="3587" width="10.875" style="36" customWidth="1"/>
    <col min="3588" max="3588" width="11.125" style="36" customWidth="1"/>
    <col min="3589" max="3589" width="10.625" style="36" bestFit="1" customWidth="1"/>
    <col min="3590" max="3590" width="10.25" style="36" customWidth="1"/>
    <col min="3591" max="3591" width="11" style="36" customWidth="1"/>
    <col min="3592" max="3592" width="13.25" style="36" customWidth="1"/>
    <col min="3593" max="3593" width="27.375" style="36" customWidth="1"/>
    <col min="3594" max="3833" width="9.25" style="36"/>
    <col min="3834" max="3834" width="3.625" style="36" bestFit="1" customWidth="1"/>
    <col min="3835" max="3835" width="12.25" style="36" customWidth="1"/>
    <col min="3836" max="3836" width="15.875" style="36" customWidth="1"/>
    <col min="3837" max="3837" width="16.125" style="36" customWidth="1"/>
    <col min="3838" max="3838" width="8.75" style="36" customWidth="1"/>
    <col min="3839" max="3839" width="8.375" style="36" bestFit="1" customWidth="1"/>
    <col min="3840" max="3840" width="7.125" style="36" customWidth="1"/>
    <col min="3841" max="3841" width="10.375" style="36" customWidth="1"/>
    <col min="3842" max="3842" width="14.125" style="36" customWidth="1"/>
    <col min="3843" max="3843" width="10.875" style="36" customWidth="1"/>
    <col min="3844" max="3844" width="11.125" style="36" customWidth="1"/>
    <col min="3845" max="3845" width="10.625" style="36" bestFit="1" customWidth="1"/>
    <col min="3846" max="3846" width="10.25" style="36" customWidth="1"/>
    <col min="3847" max="3847" width="11" style="36" customWidth="1"/>
    <col min="3848" max="3848" width="13.25" style="36" customWidth="1"/>
    <col min="3849" max="3849" width="27.375" style="36" customWidth="1"/>
    <col min="3850" max="4089" width="9.25" style="36"/>
    <col min="4090" max="4090" width="3.625" style="36" bestFit="1" customWidth="1"/>
    <col min="4091" max="4091" width="12.25" style="36" customWidth="1"/>
    <col min="4092" max="4092" width="15.875" style="36" customWidth="1"/>
    <col min="4093" max="4093" width="16.125" style="36" customWidth="1"/>
    <col min="4094" max="4094" width="8.75" style="36" customWidth="1"/>
    <col min="4095" max="4095" width="8.375" style="36" bestFit="1" customWidth="1"/>
    <col min="4096" max="4096" width="7.125" style="36" customWidth="1"/>
    <col min="4097" max="4097" width="10.375" style="36" customWidth="1"/>
    <col min="4098" max="4098" width="14.125" style="36" customWidth="1"/>
    <col min="4099" max="4099" width="10.875" style="36" customWidth="1"/>
    <col min="4100" max="4100" width="11.125" style="36" customWidth="1"/>
    <col min="4101" max="4101" width="10.625" style="36" bestFit="1" customWidth="1"/>
    <col min="4102" max="4102" width="10.25" style="36" customWidth="1"/>
    <col min="4103" max="4103" width="11" style="36" customWidth="1"/>
    <col min="4104" max="4104" width="13.25" style="36" customWidth="1"/>
    <col min="4105" max="4105" width="27.375" style="36" customWidth="1"/>
    <col min="4106" max="4345" width="9.25" style="36"/>
    <col min="4346" max="4346" width="3.625" style="36" bestFit="1" customWidth="1"/>
    <col min="4347" max="4347" width="12.25" style="36" customWidth="1"/>
    <col min="4348" max="4348" width="15.875" style="36" customWidth="1"/>
    <col min="4349" max="4349" width="16.125" style="36" customWidth="1"/>
    <col min="4350" max="4350" width="8.75" style="36" customWidth="1"/>
    <col min="4351" max="4351" width="8.375" style="36" bestFit="1" customWidth="1"/>
    <col min="4352" max="4352" width="7.125" style="36" customWidth="1"/>
    <col min="4353" max="4353" width="10.375" style="36" customWidth="1"/>
    <col min="4354" max="4354" width="14.125" style="36" customWidth="1"/>
    <col min="4355" max="4355" width="10.875" style="36" customWidth="1"/>
    <col min="4356" max="4356" width="11.125" style="36" customWidth="1"/>
    <col min="4357" max="4357" width="10.625" style="36" bestFit="1" customWidth="1"/>
    <col min="4358" max="4358" width="10.25" style="36" customWidth="1"/>
    <col min="4359" max="4359" width="11" style="36" customWidth="1"/>
    <col min="4360" max="4360" width="13.25" style="36" customWidth="1"/>
    <col min="4361" max="4361" width="27.375" style="36" customWidth="1"/>
    <col min="4362" max="4601" width="9.25" style="36"/>
    <col min="4602" max="4602" width="3.625" style="36" bestFit="1" customWidth="1"/>
    <col min="4603" max="4603" width="12.25" style="36" customWidth="1"/>
    <col min="4604" max="4604" width="15.875" style="36" customWidth="1"/>
    <col min="4605" max="4605" width="16.125" style="36" customWidth="1"/>
    <col min="4606" max="4606" width="8.75" style="36" customWidth="1"/>
    <col min="4607" max="4607" width="8.375" style="36" bestFit="1" customWidth="1"/>
    <col min="4608" max="4608" width="7.125" style="36" customWidth="1"/>
    <col min="4609" max="4609" width="10.375" style="36" customWidth="1"/>
    <col min="4610" max="4610" width="14.125" style="36" customWidth="1"/>
    <col min="4611" max="4611" width="10.875" style="36" customWidth="1"/>
    <col min="4612" max="4612" width="11.125" style="36" customWidth="1"/>
    <col min="4613" max="4613" width="10.625" style="36" bestFit="1" customWidth="1"/>
    <col min="4614" max="4614" width="10.25" style="36" customWidth="1"/>
    <col min="4615" max="4615" width="11" style="36" customWidth="1"/>
    <col min="4616" max="4616" width="13.25" style="36" customWidth="1"/>
    <col min="4617" max="4617" width="27.375" style="36" customWidth="1"/>
    <col min="4618" max="4857" width="9.25" style="36"/>
    <col min="4858" max="4858" width="3.625" style="36" bestFit="1" customWidth="1"/>
    <col min="4859" max="4859" width="12.25" style="36" customWidth="1"/>
    <col min="4860" max="4860" width="15.875" style="36" customWidth="1"/>
    <col min="4861" max="4861" width="16.125" style="36" customWidth="1"/>
    <col min="4862" max="4862" width="8.75" style="36" customWidth="1"/>
    <col min="4863" max="4863" width="8.375" style="36" bestFit="1" customWidth="1"/>
    <col min="4864" max="4864" width="7.125" style="36" customWidth="1"/>
    <col min="4865" max="4865" width="10.375" style="36" customWidth="1"/>
    <col min="4866" max="4866" width="14.125" style="36" customWidth="1"/>
    <col min="4867" max="4867" width="10.875" style="36" customWidth="1"/>
    <col min="4868" max="4868" width="11.125" style="36" customWidth="1"/>
    <col min="4869" max="4869" width="10.625" style="36" bestFit="1" customWidth="1"/>
    <col min="4870" max="4870" width="10.25" style="36" customWidth="1"/>
    <col min="4871" max="4871" width="11" style="36" customWidth="1"/>
    <col min="4872" max="4872" width="13.25" style="36" customWidth="1"/>
    <col min="4873" max="4873" width="27.375" style="36" customWidth="1"/>
    <col min="4874" max="5113" width="9.25" style="36"/>
    <col min="5114" max="5114" width="3.625" style="36" bestFit="1" customWidth="1"/>
    <col min="5115" max="5115" width="12.25" style="36" customWidth="1"/>
    <col min="5116" max="5116" width="15.875" style="36" customWidth="1"/>
    <col min="5117" max="5117" width="16.125" style="36" customWidth="1"/>
    <col min="5118" max="5118" width="8.75" style="36" customWidth="1"/>
    <col min="5119" max="5119" width="8.375" style="36" bestFit="1" customWidth="1"/>
    <col min="5120" max="5120" width="7.125" style="36" customWidth="1"/>
    <col min="5121" max="5121" width="10.375" style="36" customWidth="1"/>
    <col min="5122" max="5122" width="14.125" style="36" customWidth="1"/>
    <col min="5123" max="5123" width="10.875" style="36" customWidth="1"/>
    <col min="5124" max="5124" width="11.125" style="36" customWidth="1"/>
    <col min="5125" max="5125" width="10.625" style="36" bestFit="1" customWidth="1"/>
    <col min="5126" max="5126" width="10.25" style="36" customWidth="1"/>
    <col min="5127" max="5127" width="11" style="36" customWidth="1"/>
    <col min="5128" max="5128" width="13.25" style="36" customWidth="1"/>
    <col min="5129" max="5129" width="27.375" style="36" customWidth="1"/>
    <col min="5130" max="5369" width="9.25" style="36"/>
    <col min="5370" max="5370" width="3.625" style="36" bestFit="1" customWidth="1"/>
    <col min="5371" max="5371" width="12.25" style="36" customWidth="1"/>
    <col min="5372" max="5372" width="15.875" style="36" customWidth="1"/>
    <col min="5373" max="5373" width="16.125" style="36" customWidth="1"/>
    <col min="5374" max="5374" width="8.75" style="36" customWidth="1"/>
    <col min="5375" max="5375" width="8.375" style="36" bestFit="1" customWidth="1"/>
    <col min="5376" max="5376" width="7.125" style="36" customWidth="1"/>
    <col min="5377" max="5377" width="10.375" style="36" customWidth="1"/>
    <col min="5378" max="5378" width="14.125" style="36" customWidth="1"/>
    <col min="5379" max="5379" width="10.875" style="36" customWidth="1"/>
    <col min="5380" max="5380" width="11.125" style="36" customWidth="1"/>
    <col min="5381" max="5381" width="10.625" style="36" bestFit="1" customWidth="1"/>
    <col min="5382" max="5382" width="10.25" style="36" customWidth="1"/>
    <col min="5383" max="5383" width="11" style="36" customWidth="1"/>
    <col min="5384" max="5384" width="13.25" style="36" customWidth="1"/>
    <col min="5385" max="5385" width="27.375" style="36" customWidth="1"/>
    <col min="5386" max="5625" width="9.25" style="36"/>
    <col min="5626" max="5626" width="3.625" style="36" bestFit="1" customWidth="1"/>
    <col min="5627" max="5627" width="12.25" style="36" customWidth="1"/>
    <col min="5628" max="5628" width="15.875" style="36" customWidth="1"/>
    <col min="5629" max="5629" width="16.125" style="36" customWidth="1"/>
    <col min="5630" max="5630" width="8.75" style="36" customWidth="1"/>
    <col min="5631" max="5631" width="8.375" style="36" bestFit="1" customWidth="1"/>
    <col min="5632" max="5632" width="7.125" style="36" customWidth="1"/>
    <col min="5633" max="5633" width="10.375" style="36" customWidth="1"/>
    <col min="5634" max="5634" width="14.125" style="36" customWidth="1"/>
    <col min="5635" max="5635" width="10.875" style="36" customWidth="1"/>
    <col min="5636" max="5636" width="11.125" style="36" customWidth="1"/>
    <col min="5637" max="5637" width="10.625" style="36" bestFit="1" customWidth="1"/>
    <col min="5638" max="5638" width="10.25" style="36" customWidth="1"/>
    <col min="5639" max="5639" width="11" style="36" customWidth="1"/>
    <col min="5640" max="5640" width="13.25" style="36" customWidth="1"/>
    <col min="5641" max="5641" width="27.375" style="36" customWidth="1"/>
    <col min="5642" max="5881" width="9.25" style="36"/>
    <col min="5882" max="5882" width="3.625" style="36" bestFit="1" customWidth="1"/>
    <col min="5883" max="5883" width="12.25" style="36" customWidth="1"/>
    <col min="5884" max="5884" width="15.875" style="36" customWidth="1"/>
    <col min="5885" max="5885" width="16.125" style="36" customWidth="1"/>
    <col min="5886" max="5886" width="8.75" style="36" customWidth="1"/>
    <col min="5887" max="5887" width="8.375" style="36" bestFit="1" customWidth="1"/>
    <col min="5888" max="5888" width="7.125" style="36" customWidth="1"/>
    <col min="5889" max="5889" width="10.375" style="36" customWidth="1"/>
    <col min="5890" max="5890" width="14.125" style="36" customWidth="1"/>
    <col min="5891" max="5891" width="10.875" style="36" customWidth="1"/>
    <col min="5892" max="5892" width="11.125" style="36" customWidth="1"/>
    <col min="5893" max="5893" width="10.625" style="36" bestFit="1" customWidth="1"/>
    <col min="5894" max="5894" width="10.25" style="36" customWidth="1"/>
    <col min="5895" max="5895" width="11" style="36" customWidth="1"/>
    <col min="5896" max="5896" width="13.25" style="36" customWidth="1"/>
    <col min="5897" max="5897" width="27.375" style="36" customWidth="1"/>
    <col min="5898" max="6137" width="9.25" style="36"/>
    <col min="6138" max="6138" width="3.625" style="36" bestFit="1" customWidth="1"/>
    <col min="6139" max="6139" width="12.25" style="36" customWidth="1"/>
    <col min="6140" max="6140" width="15.875" style="36" customWidth="1"/>
    <col min="6141" max="6141" width="16.125" style="36" customWidth="1"/>
    <col min="6142" max="6142" width="8.75" style="36" customWidth="1"/>
    <col min="6143" max="6143" width="8.375" style="36" bestFit="1" customWidth="1"/>
    <col min="6144" max="6144" width="7.125" style="36" customWidth="1"/>
    <col min="6145" max="6145" width="10.375" style="36" customWidth="1"/>
    <col min="6146" max="6146" width="14.125" style="36" customWidth="1"/>
    <col min="6147" max="6147" width="10.875" style="36" customWidth="1"/>
    <col min="6148" max="6148" width="11.125" style="36" customWidth="1"/>
    <col min="6149" max="6149" width="10.625" style="36" bestFit="1" customWidth="1"/>
    <col min="6150" max="6150" width="10.25" style="36" customWidth="1"/>
    <col min="6151" max="6151" width="11" style="36" customWidth="1"/>
    <col min="6152" max="6152" width="13.25" style="36" customWidth="1"/>
    <col min="6153" max="6153" width="27.375" style="36" customWidth="1"/>
    <col min="6154" max="6393" width="9.25" style="36"/>
    <col min="6394" max="6394" width="3.625" style="36" bestFit="1" customWidth="1"/>
    <col min="6395" max="6395" width="12.25" style="36" customWidth="1"/>
    <col min="6396" max="6396" width="15.875" style="36" customWidth="1"/>
    <col min="6397" max="6397" width="16.125" style="36" customWidth="1"/>
    <col min="6398" max="6398" width="8.75" style="36" customWidth="1"/>
    <col min="6399" max="6399" width="8.375" style="36" bestFit="1" customWidth="1"/>
    <col min="6400" max="6400" width="7.125" style="36" customWidth="1"/>
    <col min="6401" max="6401" width="10.375" style="36" customWidth="1"/>
    <col min="6402" max="6402" width="14.125" style="36" customWidth="1"/>
    <col min="6403" max="6403" width="10.875" style="36" customWidth="1"/>
    <col min="6404" max="6404" width="11.125" style="36" customWidth="1"/>
    <col min="6405" max="6405" width="10.625" style="36" bestFit="1" customWidth="1"/>
    <col min="6406" max="6406" width="10.25" style="36" customWidth="1"/>
    <col min="6407" max="6407" width="11" style="36" customWidth="1"/>
    <col min="6408" max="6408" width="13.25" style="36" customWidth="1"/>
    <col min="6409" max="6409" width="27.375" style="36" customWidth="1"/>
    <col min="6410" max="6649" width="9.25" style="36"/>
    <col min="6650" max="6650" width="3.625" style="36" bestFit="1" customWidth="1"/>
    <col min="6651" max="6651" width="12.25" style="36" customWidth="1"/>
    <col min="6652" max="6652" width="15.875" style="36" customWidth="1"/>
    <col min="6653" max="6653" width="16.125" style="36" customWidth="1"/>
    <col min="6654" max="6654" width="8.75" style="36" customWidth="1"/>
    <col min="6655" max="6655" width="8.375" style="36" bestFit="1" customWidth="1"/>
    <col min="6656" max="6656" width="7.125" style="36" customWidth="1"/>
    <col min="6657" max="6657" width="10.375" style="36" customWidth="1"/>
    <col min="6658" max="6658" width="14.125" style="36" customWidth="1"/>
    <col min="6659" max="6659" width="10.875" style="36" customWidth="1"/>
    <col min="6660" max="6660" width="11.125" style="36" customWidth="1"/>
    <col min="6661" max="6661" width="10.625" style="36" bestFit="1" customWidth="1"/>
    <col min="6662" max="6662" width="10.25" style="36" customWidth="1"/>
    <col min="6663" max="6663" width="11" style="36" customWidth="1"/>
    <col min="6664" max="6664" width="13.25" style="36" customWidth="1"/>
    <col min="6665" max="6665" width="27.375" style="36" customWidth="1"/>
    <col min="6666" max="6905" width="9.25" style="36"/>
    <col min="6906" max="6906" width="3.625" style="36" bestFit="1" customWidth="1"/>
    <col min="6907" max="6907" width="12.25" style="36" customWidth="1"/>
    <col min="6908" max="6908" width="15.875" style="36" customWidth="1"/>
    <col min="6909" max="6909" width="16.125" style="36" customWidth="1"/>
    <col min="6910" max="6910" width="8.75" style="36" customWidth="1"/>
    <col min="6911" max="6911" width="8.375" style="36" bestFit="1" customWidth="1"/>
    <col min="6912" max="6912" width="7.125" style="36" customWidth="1"/>
    <col min="6913" max="6913" width="10.375" style="36" customWidth="1"/>
    <col min="6914" max="6914" width="14.125" style="36" customWidth="1"/>
    <col min="6915" max="6915" width="10.875" style="36" customWidth="1"/>
    <col min="6916" max="6916" width="11.125" style="36" customWidth="1"/>
    <col min="6917" max="6917" width="10.625" style="36" bestFit="1" customWidth="1"/>
    <col min="6918" max="6918" width="10.25" style="36" customWidth="1"/>
    <col min="6919" max="6919" width="11" style="36" customWidth="1"/>
    <col min="6920" max="6920" width="13.25" style="36" customWidth="1"/>
    <col min="6921" max="6921" width="27.375" style="36" customWidth="1"/>
    <col min="6922" max="7161" width="9.25" style="36"/>
    <col min="7162" max="7162" width="3.625" style="36" bestFit="1" customWidth="1"/>
    <col min="7163" max="7163" width="12.25" style="36" customWidth="1"/>
    <col min="7164" max="7164" width="15.875" style="36" customWidth="1"/>
    <col min="7165" max="7165" width="16.125" style="36" customWidth="1"/>
    <col min="7166" max="7166" width="8.75" style="36" customWidth="1"/>
    <col min="7167" max="7167" width="8.375" style="36" bestFit="1" customWidth="1"/>
    <col min="7168" max="7168" width="7.125" style="36" customWidth="1"/>
    <col min="7169" max="7169" width="10.375" style="36" customWidth="1"/>
    <col min="7170" max="7170" width="14.125" style="36" customWidth="1"/>
    <col min="7171" max="7171" width="10.875" style="36" customWidth="1"/>
    <col min="7172" max="7172" width="11.125" style="36" customWidth="1"/>
    <col min="7173" max="7173" width="10.625" style="36" bestFit="1" customWidth="1"/>
    <col min="7174" max="7174" width="10.25" style="36" customWidth="1"/>
    <col min="7175" max="7175" width="11" style="36" customWidth="1"/>
    <col min="7176" max="7176" width="13.25" style="36" customWidth="1"/>
    <col min="7177" max="7177" width="27.375" style="36" customWidth="1"/>
    <col min="7178" max="7417" width="9.25" style="36"/>
    <col min="7418" max="7418" width="3.625" style="36" bestFit="1" customWidth="1"/>
    <col min="7419" max="7419" width="12.25" style="36" customWidth="1"/>
    <col min="7420" max="7420" width="15.875" style="36" customWidth="1"/>
    <col min="7421" max="7421" width="16.125" style="36" customWidth="1"/>
    <col min="7422" max="7422" width="8.75" style="36" customWidth="1"/>
    <col min="7423" max="7423" width="8.375" style="36" bestFit="1" customWidth="1"/>
    <col min="7424" max="7424" width="7.125" style="36" customWidth="1"/>
    <col min="7425" max="7425" width="10.375" style="36" customWidth="1"/>
    <col min="7426" max="7426" width="14.125" style="36" customWidth="1"/>
    <col min="7427" max="7427" width="10.875" style="36" customWidth="1"/>
    <col min="7428" max="7428" width="11.125" style="36" customWidth="1"/>
    <col min="7429" max="7429" width="10.625" style="36" bestFit="1" customWidth="1"/>
    <col min="7430" max="7430" width="10.25" style="36" customWidth="1"/>
    <col min="7431" max="7431" width="11" style="36" customWidth="1"/>
    <col min="7432" max="7432" width="13.25" style="36" customWidth="1"/>
    <col min="7433" max="7433" width="27.375" style="36" customWidth="1"/>
    <col min="7434" max="7673" width="9.25" style="36"/>
    <col min="7674" max="7674" width="3.625" style="36" bestFit="1" customWidth="1"/>
    <col min="7675" max="7675" width="12.25" style="36" customWidth="1"/>
    <col min="7676" max="7676" width="15.875" style="36" customWidth="1"/>
    <col min="7677" max="7677" width="16.125" style="36" customWidth="1"/>
    <col min="7678" max="7678" width="8.75" style="36" customWidth="1"/>
    <col min="7679" max="7679" width="8.375" style="36" bestFit="1" customWidth="1"/>
    <col min="7680" max="7680" width="7.125" style="36" customWidth="1"/>
    <col min="7681" max="7681" width="10.375" style="36" customWidth="1"/>
    <col min="7682" max="7682" width="14.125" style="36" customWidth="1"/>
    <col min="7683" max="7683" width="10.875" style="36" customWidth="1"/>
    <col min="7684" max="7684" width="11.125" style="36" customWidth="1"/>
    <col min="7685" max="7685" width="10.625" style="36" bestFit="1" customWidth="1"/>
    <col min="7686" max="7686" width="10.25" style="36" customWidth="1"/>
    <col min="7687" max="7687" width="11" style="36" customWidth="1"/>
    <col min="7688" max="7688" width="13.25" style="36" customWidth="1"/>
    <col min="7689" max="7689" width="27.375" style="36" customWidth="1"/>
    <col min="7690" max="7929" width="9.25" style="36"/>
    <col min="7930" max="7930" width="3.625" style="36" bestFit="1" customWidth="1"/>
    <col min="7931" max="7931" width="12.25" style="36" customWidth="1"/>
    <col min="7932" max="7932" width="15.875" style="36" customWidth="1"/>
    <col min="7933" max="7933" width="16.125" style="36" customWidth="1"/>
    <col min="7934" max="7934" width="8.75" style="36" customWidth="1"/>
    <col min="7935" max="7935" width="8.375" style="36" bestFit="1" customWidth="1"/>
    <col min="7936" max="7936" width="7.125" style="36" customWidth="1"/>
    <col min="7937" max="7937" width="10.375" style="36" customWidth="1"/>
    <col min="7938" max="7938" width="14.125" style="36" customWidth="1"/>
    <col min="7939" max="7939" width="10.875" style="36" customWidth="1"/>
    <col min="7940" max="7940" width="11.125" style="36" customWidth="1"/>
    <col min="7941" max="7941" width="10.625" style="36" bestFit="1" customWidth="1"/>
    <col min="7942" max="7942" width="10.25" style="36" customWidth="1"/>
    <col min="7943" max="7943" width="11" style="36" customWidth="1"/>
    <col min="7944" max="7944" width="13.25" style="36" customWidth="1"/>
    <col min="7945" max="7945" width="27.375" style="36" customWidth="1"/>
    <col min="7946" max="8185" width="9.25" style="36"/>
    <col min="8186" max="8186" width="3.625" style="36" bestFit="1" customWidth="1"/>
    <col min="8187" max="8187" width="12.25" style="36" customWidth="1"/>
    <col min="8188" max="8188" width="15.875" style="36" customWidth="1"/>
    <col min="8189" max="8189" width="16.125" style="36" customWidth="1"/>
    <col min="8190" max="8190" width="8.75" style="36" customWidth="1"/>
    <col min="8191" max="8191" width="8.375" style="36" bestFit="1" customWidth="1"/>
    <col min="8192" max="8192" width="7.125" style="36" customWidth="1"/>
    <col min="8193" max="8193" width="10.375" style="36" customWidth="1"/>
    <col min="8194" max="8194" width="14.125" style="36" customWidth="1"/>
    <col min="8195" max="8195" width="10.875" style="36" customWidth="1"/>
    <col min="8196" max="8196" width="11.125" style="36" customWidth="1"/>
    <col min="8197" max="8197" width="10.625" style="36" bestFit="1" customWidth="1"/>
    <col min="8198" max="8198" width="10.25" style="36" customWidth="1"/>
    <col min="8199" max="8199" width="11" style="36" customWidth="1"/>
    <col min="8200" max="8200" width="13.25" style="36" customWidth="1"/>
    <col min="8201" max="8201" width="27.375" style="36" customWidth="1"/>
    <col min="8202" max="8441" width="9.25" style="36"/>
    <col min="8442" max="8442" width="3.625" style="36" bestFit="1" customWidth="1"/>
    <col min="8443" max="8443" width="12.25" style="36" customWidth="1"/>
    <col min="8444" max="8444" width="15.875" style="36" customWidth="1"/>
    <col min="8445" max="8445" width="16.125" style="36" customWidth="1"/>
    <col min="8446" max="8446" width="8.75" style="36" customWidth="1"/>
    <col min="8447" max="8447" width="8.375" style="36" bestFit="1" customWidth="1"/>
    <col min="8448" max="8448" width="7.125" style="36" customWidth="1"/>
    <col min="8449" max="8449" width="10.375" style="36" customWidth="1"/>
    <col min="8450" max="8450" width="14.125" style="36" customWidth="1"/>
    <col min="8451" max="8451" width="10.875" style="36" customWidth="1"/>
    <col min="8452" max="8452" width="11.125" style="36" customWidth="1"/>
    <col min="8453" max="8453" width="10.625" style="36" bestFit="1" customWidth="1"/>
    <col min="8454" max="8454" width="10.25" style="36" customWidth="1"/>
    <col min="8455" max="8455" width="11" style="36" customWidth="1"/>
    <col min="8456" max="8456" width="13.25" style="36" customWidth="1"/>
    <col min="8457" max="8457" width="27.375" style="36" customWidth="1"/>
    <col min="8458" max="8697" width="9.25" style="36"/>
    <col min="8698" max="8698" width="3.625" style="36" bestFit="1" customWidth="1"/>
    <col min="8699" max="8699" width="12.25" style="36" customWidth="1"/>
    <col min="8700" max="8700" width="15.875" style="36" customWidth="1"/>
    <col min="8701" max="8701" width="16.125" style="36" customWidth="1"/>
    <col min="8702" max="8702" width="8.75" style="36" customWidth="1"/>
    <col min="8703" max="8703" width="8.375" style="36" bestFit="1" customWidth="1"/>
    <col min="8704" max="8704" width="7.125" style="36" customWidth="1"/>
    <col min="8705" max="8705" width="10.375" style="36" customWidth="1"/>
    <col min="8706" max="8706" width="14.125" style="36" customWidth="1"/>
    <col min="8707" max="8707" width="10.875" style="36" customWidth="1"/>
    <col min="8708" max="8708" width="11.125" style="36" customWidth="1"/>
    <col min="8709" max="8709" width="10.625" style="36" bestFit="1" customWidth="1"/>
    <col min="8710" max="8710" width="10.25" style="36" customWidth="1"/>
    <col min="8711" max="8711" width="11" style="36" customWidth="1"/>
    <col min="8712" max="8712" width="13.25" style="36" customWidth="1"/>
    <col min="8713" max="8713" width="27.375" style="36" customWidth="1"/>
    <col min="8714" max="8953" width="9.25" style="36"/>
    <col min="8954" max="8954" width="3.625" style="36" bestFit="1" customWidth="1"/>
    <col min="8955" max="8955" width="12.25" style="36" customWidth="1"/>
    <col min="8956" max="8956" width="15.875" style="36" customWidth="1"/>
    <col min="8957" max="8957" width="16.125" style="36" customWidth="1"/>
    <col min="8958" max="8958" width="8.75" style="36" customWidth="1"/>
    <col min="8959" max="8959" width="8.375" style="36" bestFit="1" customWidth="1"/>
    <col min="8960" max="8960" width="7.125" style="36" customWidth="1"/>
    <col min="8961" max="8961" width="10.375" style="36" customWidth="1"/>
    <col min="8962" max="8962" width="14.125" style="36" customWidth="1"/>
    <col min="8963" max="8963" width="10.875" style="36" customWidth="1"/>
    <col min="8964" max="8964" width="11.125" style="36" customWidth="1"/>
    <col min="8965" max="8965" width="10.625" style="36" bestFit="1" customWidth="1"/>
    <col min="8966" max="8966" width="10.25" style="36" customWidth="1"/>
    <col min="8967" max="8967" width="11" style="36" customWidth="1"/>
    <col min="8968" max="8968" width="13.25" style="36" customWidth="1"/>
    <col min="8969" max="8969" width="27.375" style="36" customWidth="1"/>
    <col min="8970" max="9209" width="9.25" style="36"/>
    <col min="9210" max="9210" width="3.625" style="36" bestFit="1" customWidth="1"/>
    <col min="9211" max="9211" width="12.25" style="36" customWidth="1"/>
    <col min="9212" max="9212" width="15.875" style="36" customWidth="1"/>
    <col min="9213" max="9213" width="16.125" style="36" customWidth="1"/>
    <col min="9214" max="9214" width="8.75" style="36" customWidth="1"/>
    <col min="9215" max="9215" width="8.375" style="36" bestFit="1" customWidth="1"/>
    <col min="9216" max="9216" width="7.125" style="36" customWidth="1"/>
    <col min="9217" max="9217" width="10.375" style="36" customWidth="1"/>
    <col min="9218" max="9218" width="14.125" style="36" customWidth="1"/>
    <col min="9219" max="9219" width="10.875" style="36" customWidth="1"/>
    <col min="9220" max="9220" width="11.125" style="36" customWidth="1"/>
    <col min="9221" max="9221" width="10.625" style="36" bestFit="1" customWidth="1"/>
    <col min="9222" max="9222" width="10.25" style="36" customWidth="1"/>
    <col min="9223" max="9223" width="11" style="36" customWidth="1"/>
    <col min="9224" max="9224" width="13.25" style="36" customWidth="1"/>
    <col min="9225" max="9225" width="27.375" style="36" customWidth="1"/>
    <col min="9226" max="9465" width="9.25" style="36"/>
    <col min="9466" max="9466" width="3.625" style="36" bestFit="1" customWidth="1"/>
    <col min="9467" max="9467" width="12.25" style="36" customWidth="1"/>
    <col min="9468" max="9468" width="15.875" style="36" customWidth="1"/>
    <col min="9469" max="9469" width="16.125" style="36" customWidth="1"/>
    <col min="9470" max="9470" width="8.75" style="36" customWidth="1"/>
    <col min="9471" max="9471" width="8.375" style="36" bestFit="1" customWidth="1"/>
    <col min="9472" max="9472" width="7.125" style="36" customWidth="1"/>
    <col min="9473" max="9473" width="10.375" style="36" customWidth="1"/>
    <col min="9474" max="9474" width="14.125" style="36" customWidth="1"/>
    <col min="9475" max="9475" width="10.875" style="36" customWidth="1"/>
    <col min="9476" max="9476" width="11.125" style="36" customWidth="1"/>
    <col min="9477" max="9477" width="10.625" style="36" bestFit="1" customWidth="1"/>
    <col min="9478" max="9478" width="10.25" style="36" customWidth="1"/>
    <col min="9479" max="9479" width="11" style="36" customWidth="1"/>
    <col min="9480" max="9480" width="13.25" style="36" customWidth="1"/>
    <col min="9481" max="9481" width="27.375" style="36" customWidth="1"/>
    <col min="9482" max="9721" width="9.25" style="36"/>
    <col min="9722" max="9722" width="3.625" style="36" bestFit="1" customWidth="1"/>
    <col min="9723" max="9723" width="12.25" style="36" customWidth="1"/>
    <col min="9724" max="9724" width="15.875" style="36" customWidth="1"/>
    <col min="9725" max="9725" width="16.125" style="36" customWidth="1"/>
    <col min="9726" max="9726" width="8.75" style="36" customWidth="1"/>
    <col min="9727" max="9727" width="8.375" style="36" bestFit="1" customWidth="1"/>
    <col min="9728" max="9728" width="7.125" style="36" customWidth="1"/>
    <col min="9729" max="9729" width="10.375" style="36" customWidth="1"/>
    <col min="9730" max="9730" width="14.125" style="36" customWidth="1"/>
    <col min="9731" max="9731" width="10.875" style="36" customWidth="1"/>
    <col min="9732" max="9732" width="11.125" style="36" customWidth="1"/>
    <col min="9733" max="9733" width="10.625" style="36" bestFit="1" customWidth="1"/>
    <col min="9734" max="9734" width="10.25" style="36" customWidth="1"/>
    <col min="9735" max="9735" width="11" style="36" customWidth="1"/>
    <col min="9736" max="9736" width="13.25" style="36" customWidth="1"/>
    <col min="9737" max="9737" width="27.375" style="36" customWidth="1"/>
    <col min="9738" max="9977" width="9.25" style="36"/>
    <col min="9978" max="9978" width="3.625" style="36" bestFit="1" customWidth="1"/>
    <col min="9979" max="9979" width="12.25" style="36" customWidth="1"/>
    <col min="9980" max="9980" width="15.875" style="36" customWidth="1"/>
    <col min="9981" max="9981" width="16.125" style="36" customWidth="1"/>
    <col min="9982" max="9982" width="8.75" style="36" customWidth="1"/>
    <col min="9983" max="9983" width="8.375" style="36" bestFit="1" customWidth="1"/>
    <col min="9984" max="9984" width="7.125" style="36" customWidth="1"/>
    <col min="9985" max="9985" width="10.375" style="36" customWidth="1"/>
    <col min="9986" max="9986" width="14.125" style="36" customWidth="1"/>
    <col min="9987" max="9987" width="10.875" style="36" customWidth="1"/>
    <col min="9988" max="9988" width="11.125" style="36" customWidth="1"/>
    <col min="9989" max="9989" width="10.625" style="36" bestFit="1" customWidth="1"/>
    <col min="9990" max="9990" width="10.25" style="36" customWidth="1"/>
    <col min="9991" max="9991" width="11" style="36" customWidth="1"/>
    <col min="9992" max="9992" width="13.25" style="36" customWidth="1"/>
    <col min="9993" max="9993" width="27.375" style="36" customWidth="1"/>
    <col min="9994" max="10233" width="9.25" style="36"/>
    <col min="10234" max="10234" width="3.625" style="36" bestFit="1" customWidth="1"/>
    <col min="10235" max="10235" width="12.25" style="36" customWidth="1"/>
    <col min="10236" max="10236" width="15.875" style="36" customWidth="1"/>
    <col min="10237" max="10237" width="16.125" style="36" customWidth="1"/>
    <col min="10238" max="10238" width="8.75" style="36" customWidth="1"/>
    <col min="10239" max="10239" width="8.375" style="36" bestFit="1" customWidth="1"/>
    <col min="10240" max="10240" width="7.125" style="36" customWidth="1"/>
    <col min="10241" max="10241" width="10.375" style="36" customWidth="1"/>
    <col min="10242" max="10242" width="14.125" style="36" customWidth="1"/>
    <col min="10243" max="10243" width="10.875" style="36" customWidth="1"/>
    <col min="10244" max="10244" width="11.125" style="36" customWidth="1"/>
    <col min="10245" max="10245" width="10.625" style="36" bestFit="1" customWidth="1"/>
    <col min="10246" max="10246" width="10.25" style="36" customWidth="1"/>
    <col min="10247" max="10247" width="11" style="36" customWidth="1"/>
    <col min="10248" max="10248" width="13.25" style="36" customWidth="1"/>
    <col min="10249" max="10249" width="27.375" style="36" customWidth="1"/>
    <col min="10250" max="10489" width="9.25" style="36"/>
    <col min="10490" max="10490" width="3.625" style="36" bestFit="1" customWidth="1"/>
    <col min="10491" max="10491" width="12.25" style="36" customWidth="1"/>
    <col min="10492" max="10492" width="15.875" style="36" customWidth="1"/>
    <col min="10493" max="10493" width="16.125" style="36" customWidth="1"/>
    <col min="10494" max="10494" width="8.75" style="36" customWidth="1"/>
    <col min="10495" max="10495" width="8.375" style="36" bestFit="1" customWidth="1"/>
    <col min="10496" max="10496" width="7.125" style="36" customWidth="1"/>
    <col min="10497" max="10497" width="10.375" style="36" customWidth="1"/>
    <col min="10498" max="10498" width="14.125" style="36" customWidth="1"/>
    <col min="10499" max="10499" width="10.875" style="36" customWidth="1"/>
    <col min="10500" max="10500" width="11.125" style="36" customWidth="1"/>
    <col min="10501" max="10501" width="10.625" style="36" bestFit="1" customWidth="1"/>
    <col min="10502" max="10502" width="10.25" style="36" customWidth="1"/>
    <col min="10503" max="10503" width="11" style="36" customWidth="1"/>
    <col min="10504" max="10504" width="13.25" style="36" customWidth="1"/>
    <col min="10505" max="10505" width="27.375" style="36" customWidth="1"/>
    <col min="10506" max="10745" width="9.25" style="36"/>
    <col min="10746" max="10746" width="3.625" style="36" bestFit="1" customWidth="1"/>
    <col min="10747" max="10747" width="12.25" style="36" customWidth="1"/>
    <col min="10748" max="10748" width="15.875" style="36" customWidth="1"/>
    <col min="10749" max="10749" width="16.125" style="36" customWidth="1"/>
    <col min="10750" max="10750" width="8.75" style="36" customWidth="1"/>
    <col min="10751" max="10751" width="8.375" style="36" bestFit="1" customWidth="1"/>
    <col min="10752" max="10752" width="7.125" style="36" customWidth="1"/>
    <col min="10753" max="10753" width="10.375" style="36" customWidth="1"/>
    <col min="10754" max="10754" width="14.125" style="36" customWidth="1"/>
    <col min="10755" max="10755" width="10.875" style="36" customWidth="1"/>
    <col min="10756" max="10756" width="11.125" style="36" customWidth="1"/>
    <col min="10757" max="10757" width="10.625" style="36" bestFit="1" customWidth="1"/>
    <col min="10758" max="10758" width="10.25" style="36" customWidth="1"/>
    <col min="10759" max="10759" width="11" style="36" customWidth="1"/>
    <col min="10760" max="10760" width="13.25" style="36" customWidth="1"/>
    <col min="10761" max="10761" width="27.375" style="36" customWidth="1"/>
    <col min="10762" max="11001" width="9.25" style="36"/>
    <col min="11002" max="11002" width="3.625" style="36" bestFit="1" customWidth="1"/>
    <col min="11003" max="11003" width="12.25" style="36" customWidth="1"/>
    <col min="11004" max="11004" width="15.875" style="36" customWidth="1"/>
    <col min="11005" max="11005" width="16.125" style="36" customWidth="1"/>
    <col min="11006" max="11006" width="8.75" style="36" customWidth="1"/>
    <col min="11007" max="11007" width="8.375" style="36" bestFit="1" customWidth="1"/>
    <col min="11008" max="11008" width="7.125" style="36" customWidth="1"/>
    <col min="11009" max="11009" width="10.375" style="36" customWidth="1"/>
    <col min="11010" max="11010" width="14.125" style="36" customWidth="1"/>
    <col min="11011" max="11011" width="10.875" style="36" customWidth="1"/>
    <col min="11012" max="11012" width="11.125" style="36" customWidth="1"/>
    <col min="11013" max="11013" width="10.625" style="36" bestFit="1" customWidth="1"/>
    <col min="11014" max="11014" width="10.25" style="36" customWidth="1"/>
    <col min="11015" max="11015" width="11" style="36" customWidth="1"/>
    <col min="11016" max="11016" width="13.25" style="36" customWidth="1"/>
    <col min="11017" max="11017" width="27.375" style="36" customWidth="1"/>
    <col min="11018" max="11257" width="9.25" style="36"/>
    <col min="11258" max="11258" width="3.625" style="36" bestFit="1" customWidth="1"/>
    <col min="11259" max="11259" width="12.25" style="36" customWidth="1"/>
    <col min="11260" max="11260" width="15.875" style="36" customWidth="1"/>
    <col min="11261" max="11261" width="16.125" style="36" customWidth="1"/>
    <col min="11262" max="11262" width="8.75" style="36" customWidth="1"/>
    <col min="11263" max="11263" width="8.375" style="36" bestFit="1" customWidth="1"/>
    <col min="11264" max="11264" width="7.125" style="36" customWidth="1"/>
    <col min="11265" max="11265" width="10.375" style="36" customWidth="1"/>
    <col min="11266" max="11266" width="14.125" style="36" customWidth="1"/>
    <col min="11267" max="11267" width="10.875" style="36" customWidth="1"/>
    <col min="11268" max="11268" width="11.125" style="36" customWidth="1"/>
    <col min="11269" max="11269" width="10.625" style="36" bestFit="1" customWidth="1"/>
    <col min="11270" max="11270" width="10.25" style="36" customWidth="1"/>
    <col min="11271" max="11271" width="11" style="36" customWidth="1"/>
    <col min="11272" max="11272" width="13.25" style="36" customWidth="1"/>
    <col min="11273" max="11273" width="27.375" style="36" customWidth="1"/>
    <col min="11274" max="11513" width="9.25" style="36"/>
    <col min="11514" max="11514" width="3.625" style="36" bestFit="1" customWidth="1"/>
    <col min="11515" max="11515" width="12.25" style="36" customWidth="1"/>
    <col min="11516" max="11516" width="15.875" style="36" customWidth="1"/>
    <col min="11517" max="11517" width="16.125" style="36" customWidth="1"/>
    <col min="11518" max="11518" width="8.75" style="36" customWidth="1"/>
    <col min="11519" max="11519" width="8.375" style="36" bestFit="1" customWidth="1"/>
    <col min="11520" max="11520" width="7.125" style="36" customWidth="1"/>
    <col min="11521" max="11521" width="10.375" style="36" customWidth="1"/>
    <col min="11522" max="11522" width="14.125" style="36" customWidth="1"/>
    <col min="11523" max="11523" width="10.875" style="36" customWidth="1"/>
    <col min="11524" max="11524" width="11.125" style="36" customWidth="1"/>
    <col min="11525" max="11525" width="10.625" style="36" bestFit="1" customWidth="1"/>
    <col min="11526" max="11526" width="10.25" style="36" customWidth="1"/>
    <col min="11527" max="11527" width="11" style="36" customWidth="1"/>
    <col min="11528" max="11528" width="13.25" style="36" customWidth="1"/>
    <col min="11529" max="11529" width="27.375" style="36" customWidth="1"/>
    <col min="11530" max="11769" width="9.25" style="36"/>
    <col min="11770" max="11770" width="3.625" style="36" bestFit="1" customWidth="1"/>
    <col min="11771" max="11771" width="12.25" style="36" customWidth="1"/>
    <col min="11772" max="11772" width="15.875" style="36" customWidth="1"/>
    <col min="11773" max="11773" width="16.125" style="36" customWidth="1"/>
    <col min="11774" max="11774" width="8.75" style="36" customWidth="1"/>
    <col min="11775" max="11775" width="8.375" style="36" bestFit="1" customWidth="1"/>
    <col min="11776" max="11776" width="7.125" style="36" customWidth="1"/>
    <col min="11777" max="11777" width="10.375" style="36" customWidth="1"/>
    <col min="11778" max="11778" width="14.125" style="36" customWidth="1"/>
    <col min="11779" max="11779" width="10.875" style="36" customWidth="1"/>
    <col min="11780" max="11780" width="11.125" style="36" customWidth="1"/>
    <col min="11781" max="11781" width="10.625" style="36" bestFit="1" customWidth="1"/>
    <col min="11782" max="11782" width="10.25" style="36" customWidth="1"/>
    <col min="11783" max="11783" width="11" style="36" customWidth="1"/>
    <col min="11784" max="11784" width="13.25" style="36" customWidth="1"/>
    <col min="11785" max="11785" width="27.375" style="36" customWidth="1"/>
    <col min="11786" max="12025" width="9.25" style="36"/>
    <col min="12026" max="12026" width="3.625" style="36" bestFit="1" customWidth="1"/>
    <col min="12027" max="12027" width="12.25" style="36" customWidth="1"/>
    <col min="12028" max="12028" width="15.875" style="36" customWidth="1"/>
    <col min="12029" max="12029" width="16.125" style="36" customWidth="1"/>
    <col min="12030" max="12030" width="8.75" style="36" customWidth="1"/>
    <col min="12031" max="12031" width="8.375" style="36" bestFit="1" customWidth="1"/>
    <col min="12032" max="12032" width="7.125" style="36" customWidth="1"/>
    <col min="12033" max="12033" width="10.375" style="36" customWidth="1"/>
    <col min="12034" max="12034" width="14.125" style="36" customWidth="1"/>
    <col min="12035" max="12035" width="10.875" style="36" customWidth="1"/>
    <col min="12036" max="12036" width="11.125" style="36" customWidth="1"/>
    <col min="12037" max="12037" width="10.625" style="36" bestFit="1" customWidth="1"/>
    <col min="12038" max="12038" width="10.25" style="36" customWidth="1"/>
    <col min="12039" max="12039" width="11" style="36" customWidth="1"/>
    <col min="12040" max="12040" width="13.25" style="36" customWidth="1"/>
    <col min="12041" max="12041" width="27.375" style="36" customWidth="1"/>
    <col min="12042" max="12281" width="9.25" style="36"/>
    <col min="12282" max="12282" width="3.625" style="36" bestFit="1" customWidth="1"/>
    <col min="12283" max="12283" width="12.25" style="36" customWidth="1"/>
    <col min="12284" max="12284" width="15.875" style="36" customWidth="1"/>
    <col min="12285" max="12285" width="16.125" style="36" customWidth="1"/>
    <col min="12286" max="12286" width="8.75" style="36" customWidth="1"/>
    <col min="12287" max="12287" width="8.375" style="36" bestFit="1" customWidth="1"/>
    <col min="12288" max="12288" width="7.125" style="36" customWidth="1"/>
    <col min="12289" max="12289" width="10.375" style="36" customWidth="1"/>
    <col min="12290" max="12290" width="14.125" style="36" customWidth="1"/>
    <col min="12291" max="12291" width="10.875" style="36" customWidth="1"/>
    <col min="12292" max="12292" width="11.125" style="36" customWidth="1"/>
    <col min="12293" max="12293" width="10.625" style="36" bestFit="1" customWidth="1"/>
    <col min="12294" max="12294" width="10.25" style="36" customWidth="1"/>
    <col min="12295" max="12295" width="11" style="36" customWidth="1"/>
    <col min="12296" max="12296" width="13.25" style="36" customWidth="1"/>
    <col min="12297" max="12297" width="27.375" style="36" customWidth="1"/>
    <col min="12298" max="12537" width="9.25" style="36"/>
    <col min="12538" max="12538" width="3.625" style="36" bestFit="1" customWidth="1"/>
    <col min="12539" max="12539" width="12.25" style="36" customWidth="1"/>
    <col min="12540" max="12540" width="15.875" style="36" customWidth="1"/>
    <col min="12541" max="12541" width="16.125" style="36" customWidth="1"/>
    <col min="12542" max="12542" width="8.75" style="36" customWidth="1"/>
    <col min="12543" max="12543" width="8.375" style="36" bestFit="1" customWidth="1"/>
    <col min="12544" max="12544" width="7.125" style="36" customWidth="1"/>
    <col min="12545" max="12545" width="10.375" style="36" customWidth="1"/>
    <col min="12546" max="12546" width="14.125" style="36" customWidth="1"/>
    <col min="12547" max="12547" width="10.875" style="36" customWidth="1"/>
    <col min="12548" max="12548" width="11.125" style="36" customWidth="1"/>
    <col min="12549" max="12549" width="10.625" style="36" bestFit="1" customWidth="1"/>
    <col min="12550" max="12550" width="10.25" style="36" customWidth="1"/>
    <col min="12551" max="12551" width="11" style="36" customWidth="1"/>
    <col min="12552" max="12552" width="13.25" style="36" customWidth="1"/>
    <col min="12553" max="12553" width="27.375" style="36" customWidth="1"/>
    <col min="12554" max="12793" width="9.25" style="36"/>
    <col min="12794" max="12794" width="3.625" style="36" bestFit="1" customWidth="1"/>
    <col min="12795" max="12795" width="12.25" style="36" customWidth="1"/>
    <col min="12796" max="12796" width="15.875" style="36" customWidth="1"/>
    <col min="12797" max="12797" width="16.125" style="36" customWidth="1"/>
    <col min="12798" max="12798" width="8.75" style="36" customWidth="1"/>
    <col min="12799" max="12799" width="8.375" style="36" bestFit="1" customWidth="1"/>
    <col min="12800" max="12800" width="7.125" style="36" customWidth="1"/>
    <col min="12801" max="12801" width="10.375" style="36" customWidth="1"/>
    <col min="12802" max="12802" width="14.125" style="36" customWidth="1"/>
    <col min="12803" max="12803" width="10.875" style="36" customWidth="1"/>
    <col min="12804" max="12804" width="11.125" style="36" customWidth="1"/>
    <col min="12805" max="12805" width="10.625" style="36" bestFit="1" customWidth="1"/>
    <col min="12806" max="12806" width="10.25" style="36" customWidth="1"/>
    <col min="12807" max="12807" width="11" style="36" customWidth="1"/>
    <col min="12808" max="12808" width="13.25" style="36" customWidth="1"/>
    <col min="12809" max="12809" width="27.375" style="36" customWidth="1"/>
    <col min="12810" max="13049" width="9.25" style="36"/>
    <col min="13050" max="13050" width="3.625" style="36" bestFit="1" customWidth="1"/>
    <col min="13051" max="13051" width="12.25" style="36" customWidth="1"/>
    <col min="13052" max="13052" width="15.875" style="36" customWidth="1"/>
    <col min="13053" max="13053" width="16.125" style="36" customWidth="1"/>
    <col min="13054" max="13054" width="8.75" style="36" customWidth="1"/>
    <col min="13055" max="13055" width="8.375" style="36" bestFit="1" customWidth="1"/>
    <col min="13056" max="13056" width="7.125" style="36" customWidth="1"/>
    <col min="13057" max="13057" width="10.375" style="36" customWidth="1"/>
    <col min="13058" max="13058" width="14.125" style="36" customWidth="1"/>
    <col min="13059" max="13059" width="10.875" style="36" customWidth="1"/>
    <col min="13060" max="13060" width="11.125" style="36" customWidth="1"/>
    <col min="13061" max="13061" width="10.625" style="36" bestFit="1" customWidth="1"/>
    <col min="13062" max="13062" width="10.25" style="36" customWidth="1"/>
    <col min="13063" max="13063" width="11" style="36" customWidth="1"/>
    <col min="13064" max="13064" width="13.25" style="36" customWidth="1"/>
    <col min="13065" max="13065" width="27.375" style="36" customWidth="1"/>
    <col min="13066" max="13305" width="9.25" style="36"/>
    <col min="13306" max="13306" width="3.625" style="36" bestFit="1" customWidth="1"/>
    <col min="13307" max="13307" width="12.25" style="36" customWidth="1"/>
    <col min="13308" max="13308" width="15.875" style="36" customWidth="1"/>
    <col min="13309" max="13309" width="16.125" style="36" customWidth="1"/>
    <col min="13310" max="13310" width="8.75" style="36" customWidth="1"/>
    <col min="13311" max="13311" width="8.375" style="36" bestFit="1" customWidth="1"/>
    <col min="13312" max="13312" width="7.125" style="36" customWidth="1"/>
    <col min="13313" max="13313" width="10.375" style="36" customWidth="1"/>
    <col min="13314" max="13314" width="14.125" style="36" customWidth="1"/>
    <col min="13315" max="13315" width="10.875" style="36" customWidth="1"/>
    <col min="13316" max="13316" width="11.125" style="36" customWidth="1"/>
    <col min="13317" max="13317" width="10.625" style="36" bestFit="1" customWidth="1"/>
    <col min="13318" max="13318" width="10.25" style="36" customWidth="1"/>
    <col min="13319" max="13319" width="11" style="36" customWidth="1"/>
    <col min="13320" max="13320" width="13.25" style="36" customWidth="1"/>
    <col min="13321" max="13321" width="27.375" style="36" customWidth="1"/>
    <col min="13322" max="13561" width="9.25" style="36"/>
    <col min="13562" max="13562" width="3.625" style="36" bestFit="1" customWidth="1"/>
    <col min="13563" max="13563" width="12.25" style="36" customWidth="1"/>
    <col min="13564" max="13564" width="15.875" style="36" customWidth="1"/>
    <col min="13565" max="13565" width="16.125" style="36" customWidth="1"/>
    <col min="13566" max="13566" width="8.75" style="36" customWidth="1"/>
    <col min="13567" max="13567" width="8.375" style="36" bestFit="1" customWidth="1"/>
    <col min="13568" max="13568" width="7.125" style="36" customWidth="1"/>
    <col min="13569" max="13569" width="10.375" style="36" customWidth="1"/>
    <col min="13570" max="13570" width="14.125" style="36" customWidth="1"/>
    <col min="13571" max="13571" width="10.875" style="36" customWidth="1"/>
    <col min="13572" max="13572" width="11.125" style="36" customWidth="1"/>
    <col min="13573" max="13573" width="10.625" style="36" bestFit="1" customWidth="1"/>
    <col min="13574" max="13574" width="10.25" style="36" customWidth="1"/>
    <col min="13575" max="13575" width="11" style="36" customWidth="1"/>
    <col min="13576" max="13576" width="13.25" style="36" customWidth="1"/>
    <col min="13577" max="13577" width="27.375" style="36" customWidth="1"/>
    <col min="13578" max="13817" width="9.25" style="36"/>
    <col min="13818" max="13818" width="3.625" style="36" bestFit="1" customWidth="1"/>
    <col min="13819" max="13819" width="12.25" style="36" customWidth="1"/>
    <col min="13820" max="13820" width="15.875" style="36" customWidth="1"/>
    <col min="13821" max="13821" width="16.125" style="36" customWidth="1"/>
    <col min="13822" max="13822" width="8.75" style="36" customWidth="1"/>
    <col min="13823" max="13823" width="8.375" style="36" bestFit="1" customWidth="1"/>
    <col min="13824" max="13824" width="7.125" style="36" customWidth="1"/>
    <col min="13825" max="13825" width="10.375" style="36" customWidth="1"/>
    <col min="13826" max="13826" width="14.125" style="36" customWidth="1"/>
    <col min="13827" max="13827" width="10.875" style="36" customWidth="1"/>
    <col min="13828" max="13828" width="11.125" style="36" customWidth="1"/>
    <col min="13829" max="13829" width="10.625" style="36" bestFit="1" customWidth="1"/>
    <col min="13830" max="13830" width="10.25" style="36" customWidth="1"/>
    <col min="13831" max="13831" width="11" style="36" customWidth="1"/>
    <col min="13832" max="13832" width="13.25" style="36" customWidth="1"/>
    <col min="13833" max="13833" width="27.375" style="36" customWidth="1"/>
    <col min="13834" max="14073" width="9.25" style="36"/>
    <col min="14074" max="14074" width="3.625" style="36" bestFit="1" customWidth="1"/>
    <col min="14075" max="14075" width="12.25" style="36" customWidth="1"/>
    <col min="14076" max="14076" width="15.875" style="36" customWidth="1"/>
    <col min="14077" max="14077" width="16.125" style="36" customWidth="1"/>
    <col min="14078" max="14078" width="8.75" style="36" customWidth="1"/>
    <col min="14079" max="14079" width="8.375" style="36" bestFit="1" customWidth="1"/>
    <col min="14080" max="14080" width="7.125" style="36" customWidth="1"/>
    <col min="14081" max="14081" width="10.375" style="36" customWidth="1"/>
    <col min="14082" max="14082" width="14.125" style="36" customWidth="1"/>
    <col min="14083" max="14083" width="10.875" style="36" customWidth="1"/>
    <col min="14084" max="14084" width="11.125" style="36" customWidth="1"/>
    <col min="14085" max="14085" width="10.625" style="36" bestFit="1" customWidth="1"/>
    <col min="14086" max="14086" width="10.25" style="36" customWidth="1"/>
    <col min="14087" max="14087" width="11" style="36" customWidth="1"/>
    <col min="14088" max="14088" width="13.25" style="36" customWidth="1"/>
    <col min="14089" max="14089" width="27.375" style="36" customWidth="1"/>
    <col min="14090" max="14329" width="9.25" style="36"/>
    <col min="14330" max="14330" width="3.625" style="36" bestFit="1" customWidth="1"/>
    <col min="14331" max="14331" width="12.25" style="36" customWidth="1"/>
    <col min="14332" max="14332" width="15.875" style="36" customWidth="1"/>
    <col min="14333" max="14333" width="16.125" style="36" customWidth="1"/>
    <col min="14334" max="14334" width="8.75" style="36" customWidth="1"/>
    <col min="14335" max="14335" width="8.375" style="36" bestFit="1" customWidth="1"/>
    <col min="14336" max="14336" width="7.125" style="36" customWidth="1"/>
    <col min="14337" max="14337" width="10.375" style="36" customWidth="1"/>
    <col min="14338" max="14338" width="14.125" style="36" customWidth="1"/>
    <col min="14339" max="14339" width="10.875" style="36" customWidth="1"/>
    <col min="14340" max="14340" width="11.125" style="36" customWidth="1"/>
    <col min="14341" max="14341" width="10.625" style="36" bestFit="1" customWidth="1"/>
    <col min="14342" max="14342" width="10.25" style="36" customWidth="1"/>
    <col min="14343" max="14343" width="11" style="36" customWidth="1"/>
    <col min="14344" max="14344" width="13.25" style="36" customWidth="1"/>
    <col min="14345" max="14345" width="27.375" style="36" customWidth="1"/>
    <col min="14346" max="14585" width="9.25" style="36"/>
    <col min="14586" max="14586" width="3.625" style="36" bestFit="1" customWidth="1"/>
    <col min="14587" max="14587" width="12.25" style="36" customWidth="1"/>
    <col min="14588" max="14588" width="15.875" style="36" customWidth="1"/>
    <col min="14589" max="14589" width="16.125" style="36" customWidth="1"/>
    <col min="14590" max="14590" width="8.75" style="36" customWidth="1"/>
    <col min="14591" max="14591" width="8.375" style="36" bestFit="1" customWidth="1"/>
    <col min="14592" max="14592" width="7.125" style="36" customWidth="1"/>
    <col min="14593" max="14593" width="10.375" style="36" customWidth="1"/>
    <col min="14594" max="14594" width="14.125" style="36" customWidth="1"/>
    <col min="14595" max="14595" width="10.875" style="36" customWidth="1"/>
    <col min="14596" max="14596" width="11.125" style="36" customWidth="1"/>
    <col min="14597" max="14597" width="10.625" style="36" bestFit="1" customWidth="1"/>
    <col min="14598" max="14598" width="10.25" style="36" customWidth="1"/>
    <col min="14599" max="14599" width="11" style="36" customWidth="1"/>
    <col min="14600" max="14600" width="13.25" style="36" customWidth="1"/>
    <col min="14601" max="14601" width="27.375" style="36" customWidth="1"/>
    <col min="14602" max="14841" width="9.25" style="36"/>
    <col min="14842" max="14842" width="3.625" style="36" bestFit="1" customWidth="1"/>
    <col min="14843" max="14843" width="12.25" style="36" customWidth="1"/>
    <col min="14844" max="14844" width="15.875" style="36" customWidth="1"/>
    <col min="14845" max="14845" width="16.125" style="36" customWidth="1"/>
    <col min="14846" max="14846" width="8.75" style="36" customWidth="1"/>
    <col min="14847" max="14847" width="8.375" style="36" bestFit="1" customWidth="1"/>
    <col min="14848" max="14848" width="7.125" style="36" customWidth="1"/>
    <col min="14849" max="14849" width="10.375" style="36" customWidth="1"/>
    <col min="14850" max="14850" width="14.125" style="36" customWidth="1"/>
    <col min="14851" max="14851" width="10.875" style="36" customWidth="1"/>
    <col min="14852" max="14852" width="11.125" style="36" customWidth="1"/>
    <col min="14853" max="14853" width="10.625" style="36" bestFit="1" customWidth="1"/>
    <col min="14854" max="14854" width="10.25" style="36" customWidth="1"/>
    <col min="14855" max="14855" width="11" style="36" customWidth="1"/>
    <col min="14856" max="14856" width="13.25" style="36" customWidth="1"/>
    <col min="14857" max="14857" width="27.375" style="36" customWidth="1"/>
    <col min="14858" max="15097" width="9.25" style="36"/>
    <col min="15098" max="15098" width="3.625" style="36" bestFit="1" customWidth="1"/>
    <col min="15099" max="15099" width="12.25" style="36" customWidth="1"/>
    <col min="15100" max="15100" width="15.875" style="36" customWidth="1"/>
    <col min="15101" max="15101" width="16.125" style="36" customWidth="1"/>
    <col min="15102" max="15102" width="8.75" style="36" customWidth="1"/>
    <col min="15103" max="15103" width="8.375" style="36" bestFit="1" customWidth="1"/>
    <col min="15104" max="15104" width="7.125" style="36" customWidth="1"/>
    <col min="15105" max="15105" width="10.375" style="36" customWidth="1"/>
    <col min="15106" max="15106" width="14.125" style="36" customWidth="1"/>
    <col min="15107" max="15107" width="10.875" style="36" customWidth="1"/>
    <col min="15108" max="15108" width="11.125" style="36" customWidth="1"/>
    <col min="15109" max="15109" width="10.625" style="36" bestFit="1" customWidth="1"/>
    <col min="15110" max="15110" width="10.25" style="36" customWidth="1"/>
    <col min="15111" max="15111" width="11" style="36" customWidth="1"/>
    <col min="15112" max="15112" width="13.25" style="36" customWidth="1"/>
    <col min="15113" max="15113" width="27.375" style="36" customWidth="1"/>
    <col min="15114" max="15353" width="9.25" style="36"/>
    <col min="15354" max="15354" width="3.625" style="36" bestFit="1" customWidth="1"/>
    <col min="15355" max="15355" width="12.25" style="36" customWidth="1"/>
    <col min="15356" max="15356" width="15.875" style="36" customWidth="1"/>
    <col min="15357" max="15357" width="16.125" style="36" customWidth="1"/>
    <col min="15358" max="15358" width="8.75" style="36" customWidth="1"/>
    <col min="15359" max="15359" width="8.375" style="36" bestFit="1" customWidth="1"/>
    <col min="15360" max="15360" width="7.125" style="36" customWidth="1"/>
    <col min="15361" max="15361" width="10.375" style="36" customWidth="1"/>
    <col min="15362" max="15362" width="14.125" style="36" customWidth="1"/>
    <col min="15363" max="15363" width="10.875" style="36" customWidth="1"/>
    <col min="15364" max="15364" width="11.125" style="36" customWidth="1"/>
    <col min="15365" max="15365" width="10.625" style="36" bestFit="1" customWidth="1"/>
    <col min="15366" max="15366" width="10.25" style="36" customWidth="1"/>
    <col min="15367" max="15367" width="11" style="36" customWidth="1"/>
    <col min="15368" max="15368" width="13.25" style="36" customWidth="1"/>
    <col min="15369" max="15369" width="27.375" style="36" customWidth="1"/>
    <col min="15370" max="15609" width="9.25" style="36"/>
    <col min="15610" max="15610" width="3.625" style="36" bestFit="1" customWidth="1"/>
    <col min="15611" max="15611" width="12.25" style="36" customWidth="1"/>
    <col min="15612" max="15612" width="15.875" style="36" customWidth="1"/>
    <col min="15613" max="15613" width="16.125" style="36" customWidth="1"/>
    <col min="15614" max="15614" width="8.75" style="36" customWidth="1"/>
    <col min="15615" max="15615" width="8.375" style="36" bestFit="1" customWidth="1"/>
    <col min="15616" max="15616" width="7.125" style="36" customWidth="1"/>
    <col min="15617" max="15617" width="10.375" style="36" customWidth="1"/>
    <col min="15618" max="15618" width="14.125" style="36" customWidth="1"/>
    <col min="15619" max="15619" width="10.875" style="36" customWidth="1"/>
    <col min="15620" max="15620" width="11.125" style="36" customWidth="1"/>
    <col min="15621" max="15621" width="10.625" style="36" bestFit="1" customWidth="1"/>
    <col min="15622" max="15622" width="10.25" style="36" customWidth="1"/>
    <col min="15623" max="15623" width="11" style="36" customWidth="1"/>
    <col min="15624" max="15624" width="13.25" style="36" customWidth="1"/>
    <col min="15625" max="15625" width="27.375" style="36" customWidth="1"/>
    <col min="15626" max="15865" width="9.25" style="36"/>
    <col min="15866" max="15866" width="3.625" style="36" bestFit="1" customWidth="1"/>
    <col min="15867" max="15867" width="12.25" style="36" customWidth="1"/>
    <col min="15868" max="15868" width="15.875" style="36" customWidth="1"/>
    <col min="15869" max="15869" width="16.125" style="36" customWidth="1"/>
    <col min="15870" max="15870" width="8.75" style="36" customWidth="1"/>
    <col min="15871" max="15871" width="8.375" style="36" bestFit="1" customWidth="1"/>
    <col min="15872" max="15872" width="7.125" style="36" customWidth="1"/>
    <col min="15873" max="15873" width="10.375" style="36" customWidth="1"/>
    <col min="15874" max="15874" width="14.125" style="36" customWidth="1"/>
    <col min="15875" max="15875" width="10.875" style="36" customWidth="1"/>
    <col min="15876" max="15876" width="11.125" style="36" customWidth="1"/>
    <col min="15877" max="15877" width="10.625" style="36" bestFit="1" customWidth="1"/>
    <col min="15878" max="15878" width="10.25" style="36" customWidth="1"/>
    <col min="15879" max="15879" width="11" style="36" customWidth="1"/>
    <col min="15880" max="15880" width="13.25" style="36" customWidth="1"/>
    <col min="15881" max="15881" width="27.375" style="36" customWidth="1"/>
    <col min="15882" max="16121" width="9.25" style="36"/>
    <col min="16122" max="16122" width="3.625" style="36" bestFit="1" customWidth="1"/>
    <col min="16123" max="16123" width="12.25" style="36" customWidth="1"/>
    <col min="16124" max="16124" width="15.875" style="36" customWidth="1"/>
    <col min="16125" max="16125" width="16.125" style="36" customWidth="1"/>
    <col min="16126" max="16126" width="8.75" style="36" customWidth="1"/>
    <col min="16127" max="16127" width="8.375" style="36" bestFit="1" customWidth="1"/>
    <col min="16128" max="16128" width="7.125" style="36" customWidth="1"/>
    <col min="16129" max="16129" width="10.375" style="36" customWidth="1"/>
    <col min="16130" max="16130" width="14.125" style="36" customWidth="1"/>
    <col min="16131" max="16131" width="10.875" style="36" customWidth="1"/>
    <col min="16132" max="16132" width="11.125" style="36" customWidth="1"/>
    <col min="16133" max="16133" width="10.625" style="36" bestFit="1" customWidth="1"/>
    <col min="16134" max="16134" width="10.25" style="36" customWidth="1"/>
    <col min="16135" max="16135" width="11" style="36" customWidth="1"/>
    <col min="16136" max="16136" width="13.25" style="36" customWidth="1"/>
    <col min="16137" max="16137" width="27.375" style="36" customWidth="1"/>
    <col min="16138" max="16384" width="9.25" style="36"/>
  </cols>
  <sheetData>
    <row r="1" spans="1:21" ht="15.75">
      <c r="A1" s="3956" t="s">
        <v>165</v>
      </c>
      <c r="B1" s="3956"/>
      <c r="C1" s="3956"/>
      <c r="D1" s="3956"/>
      <c r="E1" s="3956"/>
      <c r="F1" s="3956"/>
      <c r="G1" s="3956"/>
      <c r="H1" s="3956"/>
      <c r="I1" s="40"/>
      <c r="J1" s="40"/>
    </row>
    <row r="2" spans="1:21" ht="15.75" customHeight="1">
      <c r="A2" s="3957" t="s">
        <v>171</v>
      </c>
      <c r="B2" s="3957"/>
      <c r="C2" s="3957"/>
      <c r="D2" s="3957"/>
      <c r="E2" s="3957"/>
      <c r="F2" s="3957"/>
      <c r="G2" s="3957"/>
      <c r="H2" s="3957"/>
      <c r="I2" s="40"/>
      <c r="J2" s="40"/>
    </row>
    <row r="3" spans="1:21" ht="18.75">
      <c r="A3" s="4166" t="s">
        <v>726</v>
      </c>
      <c r="B3" s="4166"/>
      <c r="C3" s="4166"/>
      <c r="D3" s="4166"/>
      <c r="E3" s="4166"/>
      <c r="F3" s="4166"/>
      <c r="G3" s="4166"/>
      <c r="H3" s="4166"/>
      <c r="I3" s="1528"/>
      <c r="J3" s="1531"/>
      <c r="K3" s="1531"/>
      <c r="L3" s="1531"/>
      <c r="M3" s="1531"/>
      <c r="N3" s="1531"/>
    </row>
    <row r="4" spans="1:21" ht="18.75">
      <c r="A4" s="3959" t="s">
        <v>602</v>
      </c>
      <c r="B4" s="3959"/>
      <c r="C4" s="3959"/>
      <c r="D4" s="3959"/>
      <c r="E4" s="2417"/>
      <c r="F4" s="2417"/>
      <c r="G4" s="1519"/>
      <c r="H4" s="1519"/>
      <c r="I4" s="1528"/>
      <c r="J4" s="1531"/>
      <c r="K4" s="1531"/>
      <c r="L4" s="1531"/>
      <c r="M4" s="1531"/>
      <c r="N4" s="1531"/>
    </row>
    <row r="5" spans="1:21" ht="18.75">
      <c r="A5" s="3957" t="s">
        <v>541</v>
      </c>
      <c r="B5" s="3957"/>
      <c r="C5" s="3957"/>
      <c r="D5" s="3957"/>
      <c r="E5" s="1531"/>
      <c r="F5" s="1531"/>
      <c r="G5" s="1519"/>
      <c r="H5" s="1519"/>
      <c r="I5" s="1528"/>
      <c r="J5" s="1531"/>
      <c r="K5" s="1531"/>
      <c r="L5" s="1531"/>
      <c r="M5" s="1531"/>
      <c r="N5" s="1531"/>
    </row>
    <row r="6" spans="1:21" ht="14.25" customHeight="1">
      <c r="A6" s="1519"/>
      <c r="B6" s="1519"/>
      <c r="C6" s="1519"/>
      <c r="D6" s="2411"/>
      <c r="E6" s="1519"/>
      <c r="F6" s="1519"/>
      <c r="G6" s="1519"/>
      <c r="H6" s="1519"/>
      <c r="I6" s="1528"/>
      <c r="J6" s="1531"/>
      <c r="K6" s="1531"/>
      <c r="L6" s="1531"/>
      <c r="M6" s="1531"/>
      <c r="N6" s="1531"/>
      <c r="S6" s="36">
        <v>6.51</v>
      </c>
      <c r="T6" s="36">
        <v>1</v>
      </c>
      <c r="U6" s="36">
        <v>104.16</v>
      </c>
    </row>
    <row r="7" spans="1:21" ht="15.75">
      <c r="A7" s="1517"/>
      <c r="B7" s="1517"/>
      <c r="C7" s="1517"/>
      <c r="D7" s="2414"/>
      <c r="E7" s="1517"/>
      <c r="F7" s="1517"/>
      <c r="G7" s="1516"/>
      <c r="H7" s="1516"/>
      <c r="I7" s="40"/>
      <c r="J7" s="40"/>
      <c r="O7" s="36" t="s">
        <v>1071</v>
      </c>
      <c r="P7" s="36">
        <v>7.66</v>
      </c>
      <c r="S7" s="36">
        <v>13.370000000000001</v>
      </c>
      <c r="T7" s="36">
        <v>1</v>
      </c>
      <c r="U7" s="36">
        <v>160.44</v>
      </c>
    </row>
    <row r="8" spans="1:21" ht="18.75">
      <c r="A8" s="4165" t="s">
        <v>1724</v>
      </c>
      <c r="B8" s="4165"/>
      <c r="C8" s="4165"/>
      <c r="D8" s="4165"/>
      <c r="E8" s="4165"/>
      <c r="F8" s="4165"/>
      <c r="G8" s="4165"/>
      <c r="H8" s="4165"/>
      <c r="K8" s="1530"/>
      <c r="L8" s="1530"/>
      <c r="M8" s="1530"/>
      <c r="N8" s="1530"/>
      <c r="O8" s="1530"/>
      <c r="P8" s="1530"/>
      <c r="Q8" s="1530"/>
      <c r="R8" s="1530"/>
      <c r="S8" s="1530"/>
      <c r="T8" s="1530"/>
      <c r="U8" s="1530"/>
    </row>
    <row r="9" spans="1:21" ht="18.75" hidden="1">
      <c r="A9" s="4165"/>
      <c r="B9" s="4165"/>
      <c r="C9" s="4165"/>
      <c r="D9" s="4165"/>
      <c r="E9" s="4165"/>
      <c r="F9" s="4165"/>
      <c r="G9" s="4165"/>
      <c r="H9" s="4165"/>
    </row>
    <row r="10" spans="1:21" ht="16.5">
      <c r="G10" s="4154" t="s">
        <v>1154</v>
      </c>
      <c r="H10" s="4154"/>
      <c r="I10" s="2453"/>
    </row>
    <row r="11" spans="1:21" ht="31.5" customHeight="1">
      <c r="A11" s="4157" t="s">
        <v>1</v>
      </c>
      <c r="B11" s="4161" t="s">
        <v>2</v>
      </c>
      <c r="C11" s="4158" t="s">
        <v>5</v>
      </c>
      <c r="D11" s="4163" t="s">
        <v>1238</v>
      </c>
      <c r="E11" s="4159" t="s">
        <v>6</v>
      </c>
      <c r="F11" s="4159"/>
      <c r="G11" s="4159"/>
      <c r="H11" s="4158" t="s">
        <v>634</v>
      </c>
    </row>
    <row r="12" spans="1:21" ht="25.5" customHeight="1">
      <c r="A12" s="4157"/>
      <c r="B12" s="4162"/>
      <c r="C12" s="4158"/>
      <c r="D12" s="4164"/>
      <c r="E12" s="951" t="s">
        <v>47</v>
      </c>
      <c r="F12" s="2412" t="s">
        <v>14</v>
      </c>
      <c r="G12" s="2419" t="s">
        <v>15</v>
      </c>
      <c r="H12" s="4158"/>
    </row>
    <row r="13" spans="1:21" s="253" customFormat="1" ht="33.75" customHeight="1">
      <c r="A13" s="330">
        <v>1</v>
      </c>
      <c r="B13" s="2420" t="s">
        <v>1138</v>
      </c>
      <c r="C13" s="330" t="s">
        <v>259</v>
      </c>
      <c r="D13" s="330"/>
      <c r="E13" s="2960"/>
      <c r="F13" s="2422"/>
      <c r="G13" s="2422">
        <f>E13*F13</f>
        <v>0</v>
      </c>
      <c r="H13" s="2421"/>
    </row>
    <row r="14" spans="1:21" s="253" customFormat="1" ht="30" customHeight="1">
      <c r="A14" s="4160" t="s">
        <v>187</v>
      </c>
      <c r="B14" s="4160"/>
      <c r="C14" s="4160"/>
      <c r="D14" s="2413"/>
      <c r="E14" s="3069">
        <f>SUM(E13:E13)</f>
        <v>0</v>
      </c>
      <c r="F14" s="2452">
        <f>F13</f>
        <v>0</v>
      </c>
      <c r="G14" s="2452">
        <f>SUM(G13:G13)</f>
        <v>0</v>
      </c>
      <c r="H14" s="952"/>
      <c r="I14" s="953"/>
      <c r="J14" s="954"/>
    </row>
    <row r="15" spans="1:21">
      <c r="A15" s="4156"/>
      <c r="B15" s="4156"/>
      <c r="C15" s="4156"/>
      <c r="D15" s="4156"/>
      <c r="E15" s="4156"/>
      <c r="F15" s="4156"/>
      <c r="G15" s="4156"/>
      <c r="H15" s="4156"/>
    </row>
    <row r="16" spans="1:21" ht="15.75">
      <c r="A16" s="41"/>
      <c r="B16" s="42"/>
      <c r="C16" s="42"/>
      <c r="D16" s="42"/>
      <c r="E16" s="55"/>
      <c r="F16" s="42"/>
      <c r="G16" s="2423" t="s">
        <v>1720</v>
      </c>
      <c r="H16" s="42"/>
      <c r="I16" s="58"/>
    </row>
    <row r="17" spans="1:9" ht="15.75">
      <c r="A17" s="4155" t="s">
        <v>45</v>
      </c>
      <c r="B17" s="4155"/>
      <c r="C17" s="1736"/>
      <c r="D17" s="2410"/>
      <c r="E17" s="1736" t="s">
        <v>44</v>
      </c>
      <c r="F17" s="1736"/>
      <c r="G17" s="4155" t="s">
        <v>615</v>
      </c>
      <c r="H17" s="4155"/>
      <c r="I17" s="40"/>
    </row>
    <row r="23" spans="1:9" s="142" customFormat="1" ht="15.75">
      <c r="G23" s="143"/>
      <c r="H23" s="2410"/>
    </row>
    <row r="24" spans="1:9" s="142" customFormat="1">
      <c r="G24" s="143"/>
    </row>
  </sheetData>
  <mergeCells count="18">
    <mergeCell ref="A9:H9"/>
    <mergeCell ref="A8:H8"/>
    <mergeCell ref="A4:D4"/>
    <mergeCell ref="A5:D5"/>
    <mergeCell ref="A1:H1"/>
    <mergeCell ref="A2:H2"/>
    <mergeCell ref="A3:H3"/>
    <mergeCell ref="G10:H10"/>
    <mergeCell ref="G17:H17"/>
    <mergeCell ref="A15:H15"/>
    <mergeCell ref="A11:A12"/>
    <mergeCell ref="C11:C12"/>
    <mergeCell ref="E11:G11"/>
    <mergeCell ref="H11:H12"/>
    <mergeCell ref="A14:C14"/>
    <mergeCell ref="B11:B12"/>
    <mergeCell ref="D11:D12"/>
    <mergeCell ref="A17:B17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33"/>
  <sheetViews>
    <sheetView topLeftCell="A7" zoomScaleNormal="100" workbookViewId="0">
      <selection activeCell="M17" sqref="M17"/>
    </sheetView>
  </sheetViews>
  <sheetFormatPr defaultColWidth="9.375" defaultRowHeight="16.5"/>
  <cols>
    <col min="1" max="1" width="7.25" style="156" customWidth="1"/>
    <col min="2" max="2" width="5.375" style="156" hidden="1" customWidth="1"/>
    <col min="3" max="3" width="20" style="1995" customWidth="1"/>
    <col min="4" max="4" width="8.375" style="156" hidden="1" customWidth="1"/>
    <col min="5" max="5" width="12.625" style="1995" hidden="1" customWidth="1"/>
    <col min="6" max="6" width="17.25" style="156" customWidth="1"/>
    <col min="7" max="7" width="13.25" style="156" customWidth="1"/>
    <col min="8" max="8" width="13.625" style="156" customWidth="1"/>
    <col min="9" max="9" width="0.625" style="156" hidden="1" customWidth="1"/>
    <col min="10" max="10" width="16.625" style="2003" customWidth="1"/>
    <col min="11" max="11" width="19" style="156" hidden="1" customWidth="1"/>
    <col min="12" max="12" width="0.25" style="156" hidden="1" customWidth="1"/>
    <col min="13" max="13" width="17.625" style="156" customWidth="1"/>
    <col min="14" max="14" width="18.125" style="156" customWidth="1"/>
    <col min="15" max="15" width="9.75" style="156" hidden="1" customWidth="1"/>
    <col min="16" max="16" width="13.75" style="156" hidden="1" customWidth="1"/>
    <col min="17" max="17" width="16.75" style="156" customWidth="1"/>
    <col min="18" max="18" width="17.375" style="156" hidden="1" customWidth="1"/>
    <col min="19" max="19" width="19.25" style="156" bestFit="1" customWidth="1"/>
    <col min="20" max="20" width="13.375" style="156" customWidth="1"/>
    <col min="21" max="21" width="18.25" style="156" customWidth="1"/>
    <col min="22" max="22" width="16.125" style="156" customWidth="1"/>
    <col min="23" max="23" width="16.25" style="156" bestFit="1" customWidth="1"/>
    <col min="24" max="24" width="14.625" style="156" customWidth="1"/>
    <col min="25" max="25" width="15" style="156" customWidth="1"/>
    <col min="26" max="26" width="20.25" style="156" customWidth="1"/>
    <col min="27" max="16384" width="9.375" style="156"/>
  </cols>
  <sheetData>
    <row r="1" spans="1:26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  <c r="O1" s="3945"/>
      <c r="P1" s="3945"/>
      <c r="Q1" s="3945"/>
      <c r="R1" s="3945"/>
    </row>
    <row r="2" spans="1:26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  <c r="O2" s="3945"/>
      <c r="P2" s="3945"/>
      <c r="Q2" s="3945"/>
      <c r="R2" s="3945"/>
    </row>
    <row r="4" spans="1:26" ht="21.75" customHeight="1">
      <c r="A4" s="4171" t="s">
        <v>574</v>
      </c>
      <c r="B4" s="4171"/>
      <c r="C4" s="4171"/>
      <c r="D4" s="4171"/>
      <c r="E4" s="4171"/>
      <c r="F4" s="4171"/>
      <c r="G4" s="4171"/>
      <c r="H4" s="1532"/>
      <c r="I4" s="1532"/>
      <c r="J4" s="1532"/>
    </row>
    <row r="5" spans="1:26" ht="20.25" customHeight="1">
      <c r="A5" s="3954" t="s">
        <v>541</v>
      </c>
      <c r="B5" s="3954"/>
      <c r="C5" s="3954"/>
      <c r="D5" s="3954"/>
      <c r="E5" s="3954"/>
      <c r="F5" s="3954"/>
      <c r="G5" s="3954"/>
      <c r="H5" s="1533"/>
      <c r="I5" s="1533"/>
      <c r="J5" s="1533"/>
    </row>
    <row r="6" spans="1:26">
      <c r="A6" s="1993"/>
      <c r="B6" s="1993"/>
      <c r="C6" s="1993"/>
      <c r="D6" s="1993"/>
      <c r="E6" s="1993"/>
      <c r="F6" s="1993"/>
      <c r="G6" s="1993"/>
      <c r="H6" s="1993"/>
      <c r="I6" s="1993"/>
      <c r="J6" s="1993"/>
      <c r="K6" s="1993"/>
      <c r="L6" s="1993"/>
      <c r="M6" s="1993"/>
      <c r="N6" s="1993"/>
      <c r="O6" s="1993"/>
      <c r="P6" s="1993"/>
      <c r="Q6" s="3037"/>
      <c r="R6" s="1993"/>
    </row>
    <row r="7" spans="1:26" ht="24" customHeight="1">
      <c r="A7" s="4170" t="s">
        <v>1854</v>
      </c>
      <c r="B7" s="4170"/>
      <c r="C7" s="4170"/>
      <c r="D7" s="4170"/>
      <c r="E7" s="4170"/>
      <c r="F7" s="4170"/>
      <c r="G7" s="4170"/>
      <c r="H7" s="4170"/>
      <c r="I7" s="4170"/>
      <c r="J7" s="4170"/>
      <c r="K7" s="4170"/>
      <c r="L7" s="4170"/>
      <c r="M7" s="4170"/>
      <c r="N7" s="4170"/>
      <c r="O7" s="4170"/>
      <c r="P7" s="4170"/>
      <c r="Q7" s="4170"/>
      <c r="R7" s="4170"/>
    </row>
    <row r="8" spans="1:26" ht="18.75">
      <c r="C8" s="2047" t="s">
        <v>848</v>
      </c>
      <c r="D8" s="2048"/>
      <c r="E8" s="2049"/>
      <c r="F8" s="2050"/>
      <c r="G8" s="2049">
        <v>0.98939999999999995</v>
      </c>
    </row>
    <row r="9" spans="1:26">
      <c r="C9" s="2047" t="s">
        <v>894</v>
      </c>
      <c r="D9" s="2048"/>
      <c r="E9" s="2051"/>
      <c r="F9" s="2090"/>
      <c r="G9" s="2051">
        <v>670.65</v>
      </c>
      <c r="Q9" s="2000" t="s">
        <v>1154</v>
      </c>
    </row>
    <row r="10" spans="1:26" ht="15" customHeight="1">
      <c r="A10" s="4138" t="s">
        <v>1</v>
      </c>
      <c r="B10" s="4138" t="s">
        <v>20</v>
      </c>
      <c r="C10" s="4138"/>
      <c r="D10" s="2041"/>
      <c r="E10" s="4138" t="s">
        <v>5</v>
      </c>
      <c r="F10" s="4139" t="s">
        <v>17</v>
      </c>
      <c r="G10" s="4138" t="s">
        <v>6</v>
      </c>
      <c r="H10" s="4138"/>
      <c r="I10" s="4138"/>
      <c r="J10" s="4138"/>
      <c r="K10" s="4138"/>
      <c r="L10" s="4138"/>
      <c r="M10" s="4138" t="s">
        <v>233</v>
      </c>
      <c r="N10" s="4139" t="s">
        <v>1368</v>
      </c>
      <c r="O10" s="4139" t="s">
        <v>11</v>
      </c>
      <c r="P10" s="4139" t="s">
        <v>12</v>
      </c>
      <c r="Q10" s="4132" t="s">
        <v>1155</v>
      </c>
      <c r="R10" s="4139" t="s">
        <v>16</v>
      </c>
    </row>
    <row r="11" spans="1:26" ht="66.75" customHeight="1">
      <c r="A11" s="4138"/>
      <c r="B11" s="4138"/>
      <c r="C11" s="4138"/>
      <c r="D11" s="2041" t="s">
        <v>239</v>
      </c>
      <c r="E11" s="4138"/>
      <c r="F11" s="4138"/>
      <c r="G11" s="2042" t="s">
        <v>50</v>
      </c>
      <c r="H11" s="2042" t="s">
        <v>707</v>
      </c>
      <c r="I11" s="2042" t="s">
        <v>799</v>
      </c>
      <c r="J11" s="800" t="s">
        <v>15</v>
      </c>
      <c r="K11" s="2042"/>
      <c r="L11" s="2042" t="s">
        <v>57</v>
      </c>
      <c r="M11" s="4138"/>
      <c r="N11" s="4139"/>
      <c r="O11" s="4138"/>
      <c r="P11" s="4138"/>
      <c r="Q11" s="4133"/>
      <c r="R11" s="4138"/>
      <c r="Y11" s="798">
        <f>20*100</f>
        <v>2000</v>
      </c>
    </row>
    <row r="12" spans="1:26" s="801" customFormat="1" ht="15.75" customHeight="1">
      <c r="A12" s="2446" t="s">
        <v>606</v>
      </c>
      <c r="B12" s="2041">
        <v>2</v>
      </c>
      <c r="C12" s="2446" t="s">
        <v>607</v>
      </c>
      <c r="D12" s="2041">
        <v>4</v>
      </c>
      <c r="E12" s="2041">
        <v>5</v>
      </c>
      <c r="F12" s="2446" t="s">
        <v>608</v>
      </c>
      <c r="G12" s="2446" t="s">
        <v>609</v>
      </c>
      <c r="H12" s="2446" t="s">
        <v>610</v>
      </c>
      <c r="I12" s="2041"/>
      <c r="J12" s="2446" t="s">
        <v>611</v>
      </c>
      <c r="K12" s="2041"/>
      <c r="L12" s="2041">
        <v>12</v>
      </c>
      <c r="M12" s="2446" t="s">
        <v>635</v>
      </c>
      <c r="N12" s="2446" t="s">
        <v>692</v>
      </c>
      <c r="O12" s="2041">
        <v>17</v>
      </c>
      <c r="P12" s="2041">
        <v>18</v>
      </c>
      <c r="Q12" s="2446" t="s">
        <v>1369</v>
      </c>
      <c r="R12" s="2446" t="s">
        <v>637</v>
      </c>
    </row>
    <row r="13" spans="1:26" s="807" customFormat="1" ht="24.75" customHeight="1">
      <c r="A13" s="808">
        <v>1</v>
      </c>
      <c r="B13" s="805"/>
      <c r="C13" s="808" t="s">
        <v>101</v>
      </c>
      <c r="D13" s="805"/>
      <c r="E13" s="808" t="s">
        <v>654</v>
      </c>
      <c r="F13" s="805"/>
      <c r="G13" s="1985">
        <v>30</v>
      </c>
      <c r="H13" s="1985">
        <f>J13/G13</f>
        <v>56666.666666666664</v>
      </c>
      <c r="I13" s="1082">
        <f>1500000*0.1*2</f>
        <v>300000</v>
      </c>
      <c r="J13" s="1986">
        <v>1700000</v>
      </c>
      <c r="K13" s="1985"/>
      <c r="L13" s="1985"/>
      <c r="M13" s="1985">
        <f>SUM(J13:L13)</f>
        <v>1700000</v>
      </c>
      <c r="N13" s="1985">
        <v>20000</v>
      </c>
      <c r="O13" s="1985"/>
      <c r="P13" s="1985"/>
      <c r="Q13" s="1985">
        <f>M13-N13</f>
        <v>1680000</v>
      </c>
      <c r="R13" s="1985">
        <f>N13</f>
        <v>20000</v>
      </c>
      <c r="V13" s="806"/>
      <c r="X13" s="894" t="s">
        <v>719</v>
      </c>
      <c r="Y13" s="894" t="s">
        <v>717</v>
      </c>
      <c r="Z13" s="894" t="s">
        <v>718</v>
      </c>
    </row>
    <row r="14" spans="1:26" s="807" customFormat="1" ht="24.75" customHeight="1">
      <c r="A14" s="4138" t="s">
        <v>187</v>
      </c>
      <c r="B14" s="4138"/>
      <c r="C14" s="4138"/>
      <c r="D14" s="4138"/>
      <c r="E14" s="4138"/>
      <c r="F14" s="804"/>
      <c r="G14" s="1984">
        <f>G13</f>
        <v>30</v>
      </c>
      <c r="H14" s="1984">
        <f t="shared" ref="H14:N14" si="0">H13</f>
        <v>56666.666666666664</v>
      </c>
      <c r="I14" s="1984">
        <f t="shared" si="0"/>
        <v>300000</v>
      </c>
      <c r="J14" s="1984">
        <f t="shared" si="0"/>
        <v>1700000</v>
      </c>
      <c r="K14" s="1984"/>
      <c r="L14" s="1984">
        <f t="shared" si="0"/>
        <v>0</v>
      </c>
      <c r="M14" s="1984">
        <f t="shared" si="0"/>
        <v>1700000</v>
      </c>
      <c r="N14" s="1984">
        <f t="shared" si="0"/>
        <v>20000</v>
      </c>
      <c r="O14" s="1984">
        <f t="shared" ref="O14" si="1">O13</f>
        <v>0</v>
      </c>
      <c r="P14" s="1984">
        <f t="shared" ref="P14" si="2">P13</f>
        <v>0</v>
      </c>
      <c r="Q14" s="1984">
        <f>Q13</f>
        <v>1680000</v>
      </c>
      <c r="R14" s="1984">
        <f t="shared" ref="R14" si="3">R13</f>
        <v>20000</v>
      </c>
      <c r="S14" s="806"/>
      <c r="T14" s="813"/>
      <c r="X14" s="894">
        <v>1198</v>
      </c>
      <c r="Y14" s="894">
        <v>569</v>
      </c>
      <c r="Z14" s="894">
        <f>+X14-Y14</f>
        <v>629</v>
      </c>
    </row>
    <row r="15" spans="1:26" ht="24.75" customHeight="1">
      <c r="A15" s="4169" t="s">
        <v>1688</v>
      </c>
      <c r="B15" s="4169"/>
      <c r="C15" s="4169"/>
      <c r="D15" s="4169"/>
      <c r="E15" s="4169"/>
      <c r="F15" s="4169"/>
      <c r="G15" s="4169"/>
      <c r="H15" s="4169"/>
      <c r="I15" s="4169"/>
      <c r="J15" s="4169"/>
      <c r="K15" s="4169"/>
      <c r="L15" s="4169"/>
      <c r="M15" s="4169"/>
      <c r="N15" s="4169"/>
      <c r="O15" s="4169"/>
      <c r="P15" s="4169"/>
      <c r="Q15" s="4169"/>
      <c r="R15" s="4169"/>
      <c r="S15" s="684"/>
      <c r="V15" s="798"/>
      <c r="X15" s="895">
        <v>648</v>
      </c>
      <c r="Y15" s="895">
        <v>304</v>
      </c>
      <c r="Z15" s="894">
        <f>+X15-Y15</f>
        <v>344</v>
      </c>
    </row>
    <row r="16" spans="1:26" ht="18" customHeight="1">
      <c r="A16" s="1932"/>
      <c r="B16" s="1932"/>
      <c r="C16" s="1932"/>
      <c r="D16" s="1932"/>
      <c r="E16" s="1932"/>
      <c r="F16" s="1932"/>
      <c r="G16" s="949"/>
      <c r="H16" s="1932"/>
      <c r="I16" s="1932"/>
      <c r="J16" s="1932"/>
      <c r="K16" s="1932"/>
      <c r="M16" s="1864"/>
      <c r="N16" s="4168" t="s">
        <v>1915</v>
      </c>
      <c r="O16" s="4168"/>
      <c r="P16" s="4168"/>
      <c r="Q16" s="4168"/>
      <c r="R16" s="4168"/>
      <c r="T16" s="684"/>
      <c r="V16" s="798"/>
      <c r="X16" s="895">
        <v>875</v>
      </c>
      <c r="Y16" s="895">
        <v>395</v>
      </c>
      <c r="Z16" s="894">
        <f>+X16-Y16</f>
        <v>480</v>
      </c>
    </row>
    <row r="17" spans="1:26" s="1332" customFormat="1" ht="22.5" customHeight="1">
      <c r="A17" s="3954" t="s">
        <v>613</v>
      </c>
      <c r="B17" s="3954"/>
      <c r="C17" s="3954"/>
      <c r="G17" s="3954" t="s">
        <v>257</v>
      </c>
      <c r="H17" s="3954"/>
      <c r="I17" s="3954"/>
      <c r="J17" s="3954"/>
      <c r="N17" s="4167" t="s">
        <v>1104</v>
      </c>
      <c r="O17" s="4167"/>
      <c r="P17" s="4167"/>
      <c r="Q17" s="4167"/>
      <c r="R17" s="4167"/>
      <c r="V17" s="1862"/>
      <c r="X17" s="1863"/>
      <c r="Y17" s="1863"/>
      <c r="Z17" s="894"/>
    </row>
    <row r="19" spans="1:26">
      <c r="F19" s="791"/>
      <c r="M19" s="684"/>
      <c r="T19" s="684"/>
      <c r="Y19" s="156">
        <f>+X17-Y17</f>
        <v>0</v>
      </c>
    </row>
    <row r="20" spans="1:26">
      <c r="M20" s="798"/>
      <c r="O20" s="684"/>
      <c r="V20" s="684"/>
    </row>
    <row r="21" spans="1:26">
      <c r="F21" s="684"/>
      <c r="K21" s="684"/>
      <c r="L21" s="684"/>
      <c r="M21" s="684"/>
      <c r="N21" s="684"/>
      <c r="O21" s="684"/>
      <c r="V21" s="798"/>
      <c r="Y21" s="156">
        <f>100*20</f>
        <v>2000</v>
      </c>
    </row>
    <row r="22" spans="1:26">
      <c r="H22" s="2003"/>
      <c r="I22" s="2003"/>
      <c r="L22" s="157"/>
      <c r="M22" s="684"/>
      <c r="W22" s="798"/>
      <c r="Y22" s="156">
        <f>100*20</f>
        <v>2000</v>
      </c>
    </row>
    <row r="23" spans="1:26">
      <c r="F23" s="1995"/>
      <c r="H23" s="2002"/>
      <c r="I23" s="1995"/>
      <c r="L23" s="4136"/>
      <c r="M23" s="4136"/>
      <c r="O23" s="157"/>
      <c r="P23" s="3945"/>
      <c r="Q23" s="3945"/>
      <c r="R23" s="3945"/>
      <c r="Y23" s="156">
        <f>40*20+200</f>
        <v>1000</v>
      </c>
    </row>
    <row r="24" spans="1:26">
      <c r="H24" s="2002"/>
      <c r="I24" s="1995"/>
      <c r="L24" s="684"/>
    </row>
    <row r="25" spans="1:26">
      <c r="V25" s="798">
        <v>244427</v>
      </c>
    </row>
    <row r="26" spans="1:26" ht="22.5">
      <c r="J26" s="1684"/>
      <c r="K26" s="684"/>
      <c r="V26" s="798">
        <v>14473</v>
      </c>
    </row>
    <row r="27" spans="1:26">
      <c r="K27" s="791"/>
      <c r="V27" s="814">
        <f>+V25+V26</f>
        <v>258900</v>
      </c>
      <c r="W27" s="684"/>
      <c r="X27" s="156">
        <v>3</v>
      </c>
      <c r="Y27" s="156">
        <v>50</v>
      </c>
      <c r="Z27" s="156">
        <f>+X27*Y27</f>
        <v>150</v>
      </c>
    </row>
    <row r="28" spans="1:26">
      <c r="C28" s="156"/>
      <c r="E28" s="156"/>
      <c r="J28" s="1995"/>
      <c r="L28" s="684"/>
      <c r="V28" s="156">
        <v>850</v>
      </c>
      <c r="W28" s="814"/>
      <c r="Z28" s="156">
        <v>100</v>
      </c>
    </row>
    <row r="29" spans="1:26">
      <c r="C29" s="156"/>
      <c r="E29" s="156"/>
      <c r="J29" s="1995"/>
      <c r="K29" s="684"/>
      <c r="M29" s="684"/>
      <c r="V29" s="814">
        <f>+V27-V28</f>
        <v>258050</v>
      </c>
    </row>
    <row r="30" spans="1:26">
      <c r="C30" s="156"/>
      <c r="E30" s="156"/>
      <c r="J30" s="1995"/>
      <c r="K30" s="684"/>
      <c r="N30" s="684"/>
    </row>
    <row r="32" spans="1:26">
      <c r="C32" s="156"/>
      <c r="E32" s="156"/>
      <c r="J32" s="1995"/>
      <c r="M32" s="798"/>
    </row>
    <row r="33" spans="3:13">
      <c r="C33" s="156"/>
      <c r="E33" s="156"/>
      <c r="J33" s="1995"/>
      <c r="M33" s="684"/>
    </row>
  </sheetData>
  <mergeCells count="24">
    <mergeCell ref="A1:R1"/>
    <mergeCell ref="A2:R2"/>
    <mergeCell ref="A7:R7"/>
    <mergeCell ref="A5:G5"/>
    <mergeCell ref="A4:G4"/>
    <mergeCell ref="R10:R11"/>
    <mergeCell ref="A14:E14"/>
    <mergeCell ref="A15:R15"/>
    <mergeCell ref="N10:N11"/>
    <mergeCell ref="O10:O11"/>
    <mergeCell ref="P10:P11"/>
    <mergeCell ref="F10:F11"/>
    <mergeCell ref="A10:A11"/>
    <mergeCell ref="B10:C11"/>
    <mergeCell ref="E10:E11"/>
    <mergeCell ref="G10:L10"/>
    <mergeCell ref="M10:M11"/>
    <mergeCell ref="Q10:Q11"/>
    <mergeCell ref="N17:R17"/>
    <mergeCell ref="G17:J17"/>
    <mergeCell ref="A17:C17"/>
    <mergeCell ref="N16:R16"/>
    <mergeCell ref="L23:M23"/>
    <mergeCell ref="P23:R23"/>
  </mergeCells>
  <pageMargins left="0.39370078740157483" right="0.39370078740157483" top="0.51181102362204722" bottom="0.78740157480314965" header="0.78740157480314965" footer="0.78740157480314965"/>
  <pageSetup paperSize="9" scale="91" orientation="landscape" r:id="rId1"/>
  <colBreaks count="1" manualBreakCount="1">
    <brk id="1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5"/>
  <sheetViews>
    <sheetView workbookViewId="0">
      <selection activeCell="I20" sqref="I20"/>
    </sheetView>
  </sheetViews>
  <sheetFormatPr defaultColWidth="8" defaultRowHeight="16.5"/>
  <cols>
    <col min="1" max="1" width="4.375" style="3309" customWidth="1"/>
    <col min="2" max="2" width="20.125" style="3309" customWidth="1"/>
    <col min="3" max="3" width="11.75" style="3309" customWidth="1"/>
    <col min="4" max="4" width="11.25" style="3309" customWidth="1"/>
    <col min="5" max="5" width="11.75" style="3309" customWidth="1"/>
    <col min="6" max="6" width="14.75" style="3309" customWidth="1"/>
    <col min="7" max="7" width="17.25" style="3309" customWidth="1"/>
    <col min="8" max="8" width="13.375" style="3309" customWidth="1"/>
    <col min="9" max="9" width="14.375" style="3309" customWidth="1"/>
    <col min="10" max="10" width="10.625" style="3309" customWidth="1"/>
    <col min="11" max="11" width="7.375" style="3309" customWidth="1"/>
    <col min="12" max="12" width="11.25" style="3309" customWidth="1"/>
    <col min="13" max="13" width="11.75" style="3309" customWidth="1"/>
    <col min="14" max="15" width="6.875" style="3309" customWidth="1"/>
    <col min="16" max="17" width="6.375" style="3309" customWidth="1"/>
    <col min="18" max="18" width="5.375" style="3309" customWidth="1"/>
    <col min="19" max="19" width="5" style="3309" customWidth="1"/>
    <col min="20" max="20" width="5.25" style="3309" customWidth="1"/>
    <col min="21" max="21" width="4.25" style="3309" customWidth="1"/>
    <col min="22" max="22" width="5.25" style="3309" customWidth="1"/>
    <col min="23" max="23" width="5.75" style="3309" customWidth="1"/>
    <col min="24" max="24" width="7.125" style="3309" customWidth="1"/>
    <col min="25" max="25" width="5.25" style="3309" customWidth="1"/>
    <col min="26" max="26" width="7.125" style="3309" customWidth="1"/>
    <col min="27" max="27" width="13.125" style="3309" bestFit="1" customWidth="1"/>
    <col min="28" max="28" width="15.625" style="3309" bestFit="1" customWidth="1"/>
    <col min="29" max="29" width="11.25" style="3309" bestFit="1" customWidth="1"/>
    <col min="30" max="16384" width="8" style="3309"/>
  </cols>
  <sheetData>
    <row r="1" spans="1:29">
      <c r="A1" s="4174" t="s">
        <v>165</v>
      </c>
      <c r="B1" s="4174"/>
      <c r="C1" s="4174"/>
      <c r="D1" s="4174"/>
      <c r="E1" s="4174"/>
      <c r="F1" s="4174"/>
      <c r="G1" s="4174"/>
      <c r="H1" s="4174"/>
      <c r="I1" s="4174"/>
      <c r="J1" s="4174"/>
      <c r="K1" s="2092"/>
      <c r="L1" s="2092"/>
      <c r="M1" s="2092"/>
      <c r="N1" s="3308"/>
      <c r="P1" s="2092"/>
      <c r="Q1" s="2092"/>
      <c r="R1" s="2092"/>
      <c r="S1" s="2092"/>
      <c r="T1" s="2092"/>
      <c r="U1" s="2092"/>
      <c r="V1" s="2092"/>
      <c r="W1" s="2092"/>
      <c r="X1" s="2092"/>
      <c r="Y1" s="2092"/>
      <c r="Z1" s="2092"/>
    </row>
    <row r="2" spans="1:29">
      <c r="A2" s="4174" t="s">
        <v>55</v>
      </c>
      <c r="B2" s="4174"/>
      <c r="C2" s="4174"/>
      <c r="D2" s="4174"/>
      <c r="E2" s="4174"/>
      <c r="F2" s="4174"/>
      <c r="G2" s="4174"/>
      <c r="H2" s="4174"/>
      <c r="I2" s="4174"/>
      <c r="J2" s="4174"/>
      <c r="K2" s="2096"/>
      <c r="L2" s="2096"/>
      <c r="M2" s="2096"/>
      <c r="N2" s="2096"/>
      <c r="O2" s="3310"/>
      <c r="Q2" s="2096"/>
      <c r="R2" s="2096"/>
      <c r="S2" s="2096"/>
      <c r="T2" s="2096"/>
      <c r="U2" s="2096"/>
      <c r="V2" s="2096"/>
      <c r="W2" s="2096"/>
      <c r="X2" s="2096"/>
      <c r="Y2" s="2096"/>
      <c r="Z2" s="3310"/>
    </row>
    <row r="3" spans="1:29">
      <c r="A3" s="4175" t="s">
        <v>1556</v>
      </c>
      <c r="B3" s="4174"/>
      <c r="C3" s="4174"/>
      <c r="D3" s="4174"/>
      <c r="E3" s="4174"/>
      <c r="F3" s="4174"/>
      <c r="G3" s="4174"/>
      <c r="H3" s="4174"/>
      <c r="I3" s="4174"/>
      <c r="J3" s="4174"/>
      <c r="K3" s="2096"/>
      <c r="L3" s="2096"/>
      <c r="M3" s="2096"/>
      <c r="N3" s="2096"/>
      <c r="O3" s="3310"/>
      <c r="Q3" s="2096"/>
      <c r="R3" s="2096"/>
      <c r="S3" s="2096"/>
      <c r="T3" s="2096"/>
      <c r="U3" s="2096"/>
      <c r="V3" s="2096"/>
      <c r="W3" s="2096"/>
      <c r="X3" s="2096"/>
      <c r="Y3" s="2096"/>
      <c r="Z3" s="3310"/>
    </row>
    <row r="4" spans="1:29">
      <c r="A4" s="3311"/>
      <c r="B4" s="3311"/>
      <c r="C4" s="3311"/>
      <c r="D4" s="3311"/>
      <c r="E4" s="3311"/>
      <c r="F4" s="3311"/>
      <c r="G4" s="3311"/>
      <c r="H4" s="3311"/>
      <c r="I4" s="3312"/>
      <c r="J4" s="3312"/>
      <c r="K4" s="3313"/>
      <c r="L4" s="3313"/>
      <c r="M4" s="3313"/>
      <c r="N4" s="3314"/>
      <c r="O4" s="3315"/>
      <c r="P4" s="3316"/>
      <c r="Q4" s="3317"/>
      <c r="R4" s="3317"/>
      <c r="S4" s="3317"/>
      <c r="T4" s="3317"/>
      <c r="U4" s="3317"/>
      <c r="V4" s="3317"/>
      <c r="W4" s="3317"/>
      <c r="X4" s="3317"/>
      <c r="Y4" s="3317"/>
      <c r="Z4" s="3310"/>
      <c r="AA4" s="3318">
        <f>1372+388</f>
        <v>1760</v>
      </c>
      <c r="AB4" s="3309">
        <f>AA4*30000</f>
        <v>52800000</v>
      </c>
      <c r="AC4" s="3309" t="e">
        <f>AB4+#REF!+#REF!</f>
        <v>#REF!</v>
      </c>
    </row>
    <row r="5" spans="1:29">
      <c r="A5" s="4176" t="s">
        <v>574</v>
      </c>
      <c r="B5" s="4176"/>
      <c r="C5" s="4176"/>
      <c r="D5" s="4176"/>
      <c r="E5" s="4176"/>
      <c r="F5" s="2227"/>
      <c r="G5" s="2227"/>
      <c r="H5" s="2227"/>
      <c r="I5" s="3312"/>
      <c r="J5" s="3312"/>
      <c r="K5" s="3313"/>
      <c r="L5" s="3313"/>
      <c r="M5" s="3313"/>
      <c r="N5" s="3314"/>
      <c r="O5" s="3315"/>
      <c r="P5" s="3316"/>
      <c r="Q5" s="3317"/>
      <c r="R5" s="3317"/>
      <c r="S5" s="3317"/>
      <c r="T5" s="3317"/>
      <c r="U5" s="3317"/>
      <c r="V5" s="3317"/>
      <c r="W5" s="3317"/>
      <c r="X5" s="3317"/>
      <c r="Y5" s="3317"/>
      <c r="Z5" s="3310"/>
      <c r="AA5" s="3318"/>
    </row>
    <row r="6" spans="1:29">
      <c r="A6" s="4037" t="s">
        <v>541</v>
      </c>
      <c r="B6" s="4037"/>
      <c r="C6" s="4037"/>
      <c r="D6" s="4037"/>
      <c r="E6" s="4037"/>
      <c r="F6" s="3319"/>
      <c r="G6" s="3319"/>
      <c r="H6" s="3312"/>
      <c r="I6" s="3312"/>
      <c r="J6" s="3312"/>
      <c r="K6" s="3313"/>
      <c r="L6" s="3313"/>
      <c r="M6" s="3313"/>
      <c r="N6" s="3314"/>
      <c r="O6" s="3315"/>
      <c r="P6" s="3316"/>
      <c r="Q6" s="3317"/>
      <c r="R6" s="3317"/>
      <c r="S6" s="3317"/>
      <c r="T6" s="3317"/>
      <c r="U6" s="3317"/>
      <c r="V6" s="3317"/>
      <c r="W6" s="3317"/>
      <c r="X6" s="3317"/>
      <c r="Y6" s="3317"/>
      <c r="Z6" s="3310"/>
      <c r="AA6" s="3318"/>
    </row>
    <row r="7" spans="1:29">
      <c r="A7" s="3304"/>
      <c r="B7" s="3304"/>
      <c r="C7" s="3304"/>
      <c r="D7" s="3304"/>
      <c r="E7" s="3304"/>
      <c r="F7" s="3319"/>
      <c r="G7" s="3319"/>
      <c r="H7" s="3312"/>
      <c r="I7" s="3312"/>
      <c r="J7" s="3312"/>
      <c r="K7" s="3313"/>
      <c r="L7" s="3313"/>
      <c r="M7" s="3313"/>
      <c r="N7" s="3314"/>
      <c r="O7" s="3315"/>
      <c r="P7" s="3316"/>
      <c r="Q7" s="3317"/>
      <c r="R7" s="3317"/>
      <c r="S7" s="3317"/>
      <c r="T7" s="3317"/>
      <c r="U7" s="3317"/>
      <c r="V7" s="3317"/>
      <c r="W7" s="3317"/>
      <c r="X7" s="3317"/>
      <c r="Y7" s="3317"/>
      <c r="Z7" s="3310"/>
      <c r="AA7" s="3318"/>
    </row>
    <row r="8" spans="1:29" ht="18.75">
      <c r="A8" s="4172" t="s">
        <v>1721</v>
      </c>
      <c r="B8" s="4173"/>
      <c r="C8" s="4173"/>
      <c r="D8" s="4173"/>
      <c r="E8" s="4173"/>
      <c r="F8" s="4173"/>
      <c r="G8" s="4173"/>
      <c r="H8" s="4173"/>
      <c r="I8" s="4173"/>
      <c r="J8" s="4173"/>
      <c r="K8" s="3320"/>
      <c r="L8" s="3320"/>
      <c r="M8" s="3320"/>
      <c r="N8" s="3320"/>
      <c r="O8" s="3321"/>
      <c r="P8" s="3321"/>
      <c r="Q8" s="3321"/>
      <c r="R8" s="3321"/>
      <c r="S8" s="3321"/>
      <c r="T8" s="3321"/>
      <c r="U8" s="3321"/>
      <c r="V8" s="3321"/>
      <c r="W8" s="3321"/>
      <c r="X8" s="3321"/>
      <c r="Y8" s="3321"/>
      <c r="Z8" s="3321"/>
    </row>
    <row r="9" spans="1:29">
      <c r="A9" s="3305"/>
      <c r="B9" s="2277"/>
      <c r="C9" s="2277"/>
      <c r="D9" s="3305"/>
      <c r="E9" s="3305"/>
      <c r="F9" s="3305"/>
      <c r="G9" s="3305"/>
      <c r="H9" s="3305"/>
      <c r="I9" s="4177" t="s">
        <v>1677</v>
      </c>
      <c r="J9" s="4177"/>
      <c r="K9" s="3322"/>
      <c r="L9" s="3323"/>
      <c r="M9" s="3324"/>
    </row>
    <row r="10" spans="1:29">
      <c r="A10" s="4050" t="s">
        <v>1</v>
      </c>
      <c r="B10" s="4050" t="s">
        <v>1678</v>
      </c>
      <c r="C10" s="4050" t="s">
        <v>1679</v>
      </c>
      <c r="D10" s="4051" t="s">
        <v>50</v>
      </c>
      <c r="E10" s="4049" t="s">
        <v>707</v>
      </c>
      <c r="F10" s="4049" t="s">
        <v>24</v>
      </c>
      <c r="G10" s="4051" t="s">
        <v>1368</v>
      </c>
      <c r="H10" s="4178" t="s">
        <v>29</v>
      </c>
      <c r="I10" s="4050" t="s">
        <v>9</v>
      </c>
      <c r="J10" s="4050" t="s">
        <v>634</v>
      </c>
      <c r="K10" s="3325"/>
      <c r="L10" s="3326"/>
      <c r="M10" s="3327"/>
    </row>
    <row r="11" spans="1:29">
      <c r="A11" s="4050"/>
      <c r="B11" s="4050"/>
      <c r="C11" s="4050"/>
      <c r="D11" s="4052"/>
      <c r="E11" s="4049"/>
      <c r="F11" s="4049"/>
      <c r="G11" s="4052"/>
      <c r="H11" s="4178"/>
      <c r="I11" s="4050"/>
      <c r="J11" s="4050"/>
      <c r="K11" s="3328"/>
      <c r="L11" s="3326"/>
      <c r="M11" s="3327"/>
    </row>
    <row r="12" spans="1:29">
      <c r="A12" s="3329">
        <v>1</v>
      </c>
      <c r="B12" s="3342" t="s">
        <v>1681</v>
      </c>
      <c r="C12" s="3329" t="s">
        <v>40</v>
      </c>
      <c r="D12" s="3379">
        <f>'Chấm công công nhân'!AV72</f>
        <v>18</v>
      </c>
      <c r="E12" s="3330">
        <v>80000</v>
      </c>
      <c r="F12" s="3330">
        <f>D12*E12</f>
        <v>1440000</v>
      </c>
      <c r="G12" s="3331">
        <f>IF(F12&gt;65000000,((F12-65000000)*25%+10685000),IF(F12&gt;25000000,((F12-25000000)*20%+2685000),IF(F12&gt;15000000,((F12-15000000)*15%+1185000),IF(F12&gt;5000000,(F12-5000000)*10%+185000,IF(F12&gt;1300000,(F12-1300000)*5%,0)))))</f>
        <v>7000</v>
      </c>
      <c r="H12" s="3330">
        <f>+F12-G12</f>
        <v>1433000</v>
      </c>
      <c r="I12" s="3332"/>
      <c r="J12" s="3332"/>
      <c r="K12" s="3328"/>
      <c r="L12" s="3326"/>
      <c r="M12" s="3327"/>
    </row>
    <row r="13" spans="1:29">
      <c r="A13" s="3333">
        <v>2</v>
      </c>
      <c r="B13" s="3343" t="s">
        <v>1682</v>
      </c>
      <c r="C13" s="3333" t="s">
        <v>40</v>
      </c>
      <c r="D13" s="3379">
        <f>'Chấm công công nhân'!AV73</f>
        <v>19</v>
      </c>
      <c r="E13" s="3334">
        <v>80000</v>
      </c>
      <c r="F13" s="3334">
        <f t="shared" ref="F13:F14" si="0">D13*E13</f>
        <v>1520000</v>
      </c>
      <c r="G13" s="3335">
        <f t="shared" ref="G13:G14" si="1">IF(F13&gt;65000000,((F13-65000000)*25%+10685000),IF(F13&gt;25000000,((F13-25000000)*20%+2685000),IF(F13&gt;15000000,((F13-15000000)*15%+1185000),IF(F13&gt;5000000,(F13-5000000)*10%+185000,IF(F13&gt;1300000,(F13-1300000)*5%,0)))))</f>
        <v>11000</v>
      </c>
      <c r="H13" s="3334">
        <f t="shared" ref="H13:H14" si="2">+F13-G13</f>
        <v>1509000</v>
      </c>
      <c r="I13" s="3336"/>
      <c r="J13" s="3336"/>
      <c r="K13" s="3328"/>
      <c r="L13" s="3326"/>
      <c r="M13" s="3327"/>
    </row>
    <row r="14" spans="1:29">
      <c r="A14" s="3333">
        <v>3</v>
      </c>
      <c r="B14" s="3344" t="s">
        <v>1683</v>
      </c>
      <c r="C14" s="3333" t="s">
        <v>40</v>
      </c>
      <c r="D14" s="3360">
        <f>'Chấm công công nhân'!AV74</f>
        <v>18</v>
      </c>
      <c r="E14" s="3334">
        <v>80000</v>
      </c>
      <c r="F14" s="3334">
        <f t="shared" si="0"/>
        <v>1440000</v>
      </c>
      <c r="G14" s="3358">
        <f t="shared" si="1"/>
        <v>7000</v>
      </c>
      <c r="H14" s="3334">
        <f t="shared" si="2"/>
        <v>1433000</v>
      </c>
      <c r="I14" s="3336"/>
      <c r="J14" s="3336"/>
      <c r="K14" s="3328"/>
      <c r="L14" s="3326"/>
      <c r="M14" s="3327"/>
    </row>
    <row r="15" spans="1:29">
      <c r="A15" s="4050" t="s">
        <v>184</v>
      </c>
      <c r="B15" s="4050"/>
      <c r="C15" s="3306"/>
      <c r="D15" s="3337">
        <f>SUM(D12:D14)</f>
        <v>55</v>
      </c>
      <c r="E15" s="3338"/>
      <c r="F15" s="3338">
        <f>SUM(F12:F14)</f>
        <v>4400000</v>
      </c>
      <c r="G15" s="3359">
        <f>SUM(G12:G14)</f>
        <v>25000</v>
      </c>
      <c r="H15" s="3338">
        <f>SUM(H12:H14)</f>
        <v>4375000</v>
      </c>
      <c r="I15" s="3337"/>
      <c r="J15" s="2186"/>
      <c r="K15" s="3328"/>
      <c r="L15" s="3339"/>
      <c r="M15" s="3340"/>
    </row>
    <row r="16" spans="1:29" ht="17.25">
      <c r="A16" s="4180" t="s">
        <v>1729</v>
      </c>
      <c r="B16" s="4181"/>
      <c r="C16" s="4181"/>
      <c r="D16" s="4181"/>
      <c r="E16" s="4181"/>
      <c r="F16" s="4181"/>
      <c r="G16" s="4181"/>
      <c r="H16" s="4181"/>
      <c r="I16" s="4181"/>
      <c r="J16" s="4181"/>
    </row>
    <row r="17" spans="1:15">
      <c r="G17" s="4182" t="s">
        <v>1720</v>
      </c>
      <c r="H17" s="4182"/>
      <c r="I17" s="4182"/>
      <c r="J17" s="4182"/>
      <c r="K17" s="3341"/>
      <c r="L17" s="3341"/>
      <c r="M17" s="3341"/>
      <c r="N17" s="3341"/>
      <c r="O17" s="3341"/>
    </row>
    <row r="18" spans="1:15">
      <c r="A18" s="4179" t="s">
        <v>1165</v>
      </c>
      <c r="B18" s="4179"/>
      <c r="C18" s="4183" t="s">
        <v>1166</v>
      </c>
      <c r="D18" s="4183"/>
      <c r="E18" s="4183"/>
      <c r="F18" s="4179" t="s">
        <v>1104</v>
      </c>
      <c r="G18" s="4179"/>
      <c r="H18" s="4179" t="s">
        <v>1680</v>
      </c>
      <c r="I18" s="4179"/>
      <c r="J18" s="4179"/>
    </row>
    <row r="24" spans="1:15">
      <c r="H24" s="4179"/>
      <c r="I24" s="4179"/>
      <c r="J24" s="4179"/>
    </row>
    <row r="25" spans="1:15">
      <c r="D25" s="3309" t="s">
        <v>725</v>
      </c>
    </row>
  </sheetData>
  <mergeCells count="25">
    <mergeCell ref="H24:J24"/>
    <mergeCell ref="J10:J11"/>
    <mergeCell ref="A15:B15"/>
    <mergeCell ref="A16:J16"/>
    <mergeCell ref="G17:J17"/>
    <mergeCell ref="A18:B18"/>
    <mergeCell ref="C18:E18"/>
    <mergeCell ref="F18:G18"/>
    <mergeCell ref="H18:J18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A8:J8"/>
    <mergeCell ref="A1:J1"/>
    <mergeCell ref="A2:J2"/>
    <mergeCell ref="A3:J3"/>
    <mergeCell ref="A5:E5"/>
    <mergeCell ref="A6:E6"/>
  </mergeCells>
  <pageMargins left="0.75" right="0.75" top="0.39370078740157499" bottom="0.39370078740157499" header="0.39370078740157499" footer="0.39370078740157499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47"/>
  <sheetViews>
    <sheetView topLeftCell="A19" zoomScale="70" zoomScaleNormal="70" workbookViewId="0">
      <selection activeCell="D23" sqref="D23"/>
    </sheetView>
  </sheetViews>
  <sheetFormatPr defaultColWidth="11.375" defaultRowHeight="16.5"/>
  <cols>
    <col min="1" max="1" width="5.375" style="156" customWidth="1"/>
    <col min="2" max="2" width="44.75" style="156" customWidth="1"/>
    <col min="3" max="3" width="11.125" style="281" customWidth="1"/>
    <col min="4" max="4" width="11.875" style="974" customWidth="1"/>
    <col min="5" max="5" width="13.75" style="777" customWidth="1"/>
    <col min="6" max="6" width="16.125" style="684" customWidth="1"/>
    <col min="7" max="7" width="18" style="684" customWidth="1"/>
    <col min="8" max="8" width="22" style="684" hidden="1" customWidth="1"/>
    <col min="9" max="10" width="18.375" style="684" customWidth="1"/>
    <col min="11" max="11" width="19" style="977" customWidth="1"/>
    <col min="12" max="12" width="14.125" style="156" customWidth="1"/>
    <col min="13" max="13" width="20" style="156" customWidth="1"/>
    <col min="14" max="14" width="23.875" style="156" customWidth="1"/>
    <col min="15" max="15" width="11.375" style="156"/>
    <col min="16" max="16" width="15.375" style="156" bestFit="1" customWidth="1"/>
    <col min="17" max="16384" width="11.375" style="156"/>
  </cols>
  <sheetData>
    <row r="1" spans="1:23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</row>
    <row r="2" spans="1:23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</row>
    <row r="3" spans="1:23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1472"/>
      <c r="M3" s="1472"/>
      <c r="N3" s="1472"/>
      <c r="O3" s="1472"/>
      <c r="P3" s="1472"/>
      <c r="Q3" s="1472"/>
      <c r="R3" s="1472"/>
      <c r="S3" s="1472"/>
      <c r="T3" s="1472"/>
      <c r="U3" s="1472"/>
      <c r="V3" s="1472"/>
      <c r="W3" s="1472"/>
    </row>
    <row r="4" spans="1:23">
      <c r="A4" s="3949" t="s">
        <v>574</v>
      </c>
      <c r="B4" s="3949"/>
      <c r="C4" s="3949"/>
      <c r="D4" s="971"/>
      <c r="E4" s="156"/>
      <c r="F4" s="156"/>
      <c r="G4" s="156"/>
      <c r="H4" s="156"/>
      <c r="I4" s="156"/>
      <c r="J4" s="156"/>
    </row>
    <row r="5" spans="1:23">
      <c r="A5" s="3945" t="s">
        <v>541</v>
      </c>
      <c r="B5" s="3945"/>
      <c r="C5" s="3945"/>
      <c r="D5" s="972"/>
      <c r="E5" s="156"/>
      <c r="F5" s="156"/>
      <c r="G5" s="156"/>
      <c r="H5" s="156"/>
      <c r="I5" s="156"/>
      <c r="J5" s="156"/>
    </row>
    <row r="6" spans="1:23" ht="10.5" customHeight="1">
      <c r="D6" s="973"/>
      <c r="H6" s="3172"/>
      <c r="I6" s="3172"/>
      <c r="J6" s="3172"/>
      <c r="K6" s="978"/>
    </row>
    <row r="7" spans="1:23">
      <c r="D7" s="973"/>
      <c r="E7" s="2425"/>
      <c r="F7" s="2425"/>
      <c r="G7" s="2425"/>
      <c r="H7" s="2425"/>
      <c r="I7" s="2425"/>
      <c r="J7" s="2425"/>
      <c r="K7" s="979"/>
    </row>
    <row r="8" spans="1:23" s="157" customFormat="1" ht="18.75">
      <c r="A8" s="3951" t="s">
        <v>1540</v>
      </c>
      <c r="B8" s="3951"/>
      <c r="C8" s="3951"/>
      <c r="D8" s="3951"/>
      <c r="E8" s="3951"/>
      <c r="F8" s="3951"/>
      <c r="G8" s="3951"/>
      <c r="H8" s="3951"/>
      <c r="I8" s="3951"/>
      <c r="J8" s="3951"/>
      <c r="K8" s="3951"/>
    </row>
    <row r="9" spans="1:23" ht="23.25" customHeight="1">
      <c r="A9" s="3945" t="s">
        <v>1541</v>
      </c>
      <c r="B9" s="3945"/>
      <c r="C9" s="3945"/>
      <c r="D9" s="3945"/>
      <c r="E9" s="3945"/>
      <c r="F9" s="3945"/>
      <c r="G9" s="3945"/>
      <c r="H9" s="3945"/>
      <c r="I9" s="3945"/>
      <c r="J9" s="3945"/>
      <c r="K9" s="3945"/>
    </row>
    <row r="10" spans="1:23" ht="15.75" customHeight="1">
      <c r="A10" s="3169"/>
      <c r="B10" s="3170"/>
      <c r="F10" s="3172"/>
      <c r="G10" s="3172"/>
      <c r="I10" s="3172"/>
      <c r="J10" s="3172"/>
      <c r="K10" s="3172" t="s">
        <v>1168</v>
      </c>
    </row>
    <row r="11" spans="1:23" s="782" customFormat="1" ht="53.25" customHeight="1">
      <c r="A11" s="3171" t="s">
        <v>1</v>
      </c>
      <c r="B11" s="3171" t="s">
        <v>669</v>
      </c>
      <c r="C11" s="780" t="s">
        <v>623</v>
      </c>
      <c r="D11" s="975" t="s">
        <v>670</v>
      </c>
      <c r="E11" s="781" t="s">
        <v>671</v>
      </c>
      <c r="F11" s="781" t="s">
        <v>1247</v>
      </c>
      <c r="G11" s="781" t="s">
        <v>802</v>
      </c>
      <c r="H11" s="781" t="s">
        <v>1248</v>
      </c>
      <c r="I11" s="781" t="s">
        <v>1249</v>
      </c>
      <c r="J11" s="781" t="s">
        <v>184</v>
      </c>
      <c r="K11" s="980" t="s">
        <v>634</v>
      </c>
    </row>
    <row r="12" spans="1:23" ht="28.5" customHeight="1">
      <c r="A12" s="783" t="s">
        <v>147</v>
      </c>
      <c r="B12" s="797" t="s">
        <v>1141</v>
      </c>
      <c r="C12" s="784"/>
      <c r="D12" s="967"/>
      <c r="E12" s="967"/>
      <c r="F12" s="790"/>
      <c r="G12" s="968">
        <v>540157761.26933086</v>
      </c>
      <c r="H12" s="968">
        <f>H13+H31</f>
        <v>0</v>
      </c>
      <c r="I12" s="968">
        <f>I13+I31</f>
        <v>4720954.2503999993</v>
      </c>
      <c r="J12" s="968">
        <v>544878715.51973081</v>
      </c>
      <c r="K12" s="981"/>
      <c r="L12" s="1856" t="s">
        <v>847</v>
      </c>
      <c r="M12" s="1857"/>
      <c r="N12" s="1860">
        <v>22036</v>
      </c>
    </row>
    <row r="13" spans="1:23" ht="28.5" customHeight="1">
      <c r="A13" s="783">
        <v>1</v>
      </c>
      <c r="B13" s="797" t="s">
        <v>1142</v>
      </c>
      <c r="C13" s="784"/>
      <c r="D13" s="967"/>
      <c r="E13" s="967"/>
      <c r="F13" s="790"/>
      <c r="G13" s="968">
        <v>529757761.26933086</v>
      </c>
      <c r="H13" s="968"/>
      <c r="I13" s="968">
        <f>I14+I23+I30</f>
        <v>4720954.2503999993</v>
      </c>
      <c r="J13" s="968">
        <v>534478715.51973081</v>
      </c>
      <c r="K13" s="981"/>
      <c r="L13" s="1856"/>
      <c r="M13" s="1857"/>
      <c r="N13" s="1860"/>
    </row>
    <row r="14" spans="1:23" ht="28.5" customHeight="1">
      <c r="A14" s="788" t="s">
        <v>837</v>
      </c>
      <c r="B14" s="789" t="s">
        <v>672</v>
      </c>
      <c r="C14" s="786"/>
      <c r="D14" s="967"/>
      <c r="E14" s="967">
        <f>+SUM(E15:E22)</f>
        <v>5465.5649999999978</v>
      </c>
      <c r="F14" s="967"/>
      <c r="G14" s="2718">
        <v>330680321.55435592</v>
      </c>
      <c r="H14" s="2443"/>
      <c r="I14" s="2443">
        <f>SUM(I15:I22)</f>
        <v>4720954.2503999993</v>
      </c>
      <c r="J14" s="2443">
        <v>335401275.80475587</v>
      </c>
      <c r="K14" s="982"/>
      <c r="L14" s="1858" t="s">
        <v>894</v>
      </c>
      <c r="M14" s="1859" t="s">
        <v>894</v>
      </c>
      <c r="N14" s="2394">
        <v>657.39</v>
      </c>
      <c r="O14" s="2394"/>
      <c r="P14" s="2394"/>
    </row>
    <row r="15" spans="1:23" ht="28.5" customHeight="1">
      <c r="A15" s="787"/>
      <c r="B15" s="2044" t="s">
        <v>673</v>
      </c>
      <c r="C15" s="2045" t="s">
        <v>377</v>
      </c>
      <c r="D15" s="967"/>
      <c r="E15" s="967">
        <f>+SUMIF('BẢNG LƯƠNG KT'!$K$17:$K$70,"A",'BẢNG LƯƠNG KT'!$J$17:$J$70)</f>
        <v>2944.8809144704869</v>
      </c>
      <c r="F15" s="967">
        <f>6.1*$N$14</f>
        <v>4010.0789999999997</v>
      </c>
      <c r="G15" s="967">
        <v>170124647.00712588</v>
      </c>
      <c r="H15" s="1970"/>
      <c r="I15" s="2443">
        <v>2639184.1895999992</v>
      </c>
      <c r="J15" s="2443">
        <v>172763831.19672588</v>
      </c>
      <c r="K15" s="982"/>
      <c r="M15" s="705"/>
      <c r="N15" s="2384"/>
      <c r="O15" s="2381"/>
      <c r="P15" s="2381"/>
    </row>
    <row r="16" spans="1:23" ht="28.5" customHeight="1">
      <c r="A16" s="787"/>
      <c r="B16" s="2044" t="s">
        <v>674</v>
      </c>
      <c r="C16" s="786" t="s">
        <v>377</v>
      </c>
      <c r="D16" s="967"/>
      <c r="E16" s="967">
        <f>+SUMIF('BẢNG LƯƠNG KT'!$K$17:$K$70,"B",'BẢNG LƯƠNG KT'!$J$17:$J$70)</f>
        <v>1455.0998341708209</v>
      </c>
      <c r="F16" s="967">
        <f>5.8*$N$14</f>
        <v>3812.8619999999996</v>
      </c>
      <c r="G16" s="967">
        <v>105668928.39332132</v>
      </c>
      <c r="H16" s="1970"/>
      <c r="I16" s="2443">
        <v>2081770.0607999996</v>
      </c>
      <c r="J16" s="2443">
        <v>107750698.45412132</v>
      </c>
      <c r="K16" s="982"/>
      <c r="M16" s="705"/>
      <c r="N16" s="2395"/>
      <c r="O16" s="2396"/>
      <c r="P16" s="2395"/>
    </row>
    <row r="17" spans="1:22" ht="28.5" customHeight="1">
      <c r="A17" s="787"/>
      <c r="B17" s="2044" t="s">
        <v>675</v>
      </c>
      <c r="C17" s="786" t="s">
        <v>377</v>
      </c>
      <c r="D17" s="967"/>
      <c r="E17" s="967">
        <f>+SUMIF('BẢNG LƯƠNG KT'!$K$17:$K$70,"C",'BẢNG LƯƠNG KT'!$J$17:$J$70)</f>
        <v>222.89625135869073</v>
      </c>
      <c r="F17" s="967">
        <f>5.5*$N$14</f>
        <v>3615.645</v>
      </c>
      <c r="G17" s="967">
        <v>0</v>
      </c>
      <c r="H17" s="1970"/>
      <c r="I17" s="1970"/>
      <c r="J17" s="2443">
        <v>0</v>
      </c>
      <c r="K17" s="982"/>
      <c r="M17" s="705" t="e">
        <f>#REF!-#REF!</f>
        <v>#REF!</v>
      </c>
      <c r="N17" s="2395"/>
      <c r="O17" s="2396"/>
      <c r="P17" s="2395"/>
    </row>
    <row r="18" spans="1:22" ht="28.5" customHeight="1">
      <c r="A18" s="787"/>
      <c r="B18" s="2044" t="s">
        <v>1102</v>
      </c>
      <c r="C18" s="786" t="s">
        <v>377</v>
      </c>
      <c r="D18" s="967"/>
      <c r="E18" s="967">
        <f>+SUMIF('BẢNG LƯƠNG KT'!$K$17:$K$52,"D",'BẢNG LƯƠNG KT'!$J$17:$J$52)</f>
        <v>0</v>
      </c>
      <c r="F18" s="967">
        <f>5.2*$N$14</f>
        <v>3418.4279999999999</v>
      </c>
      <c r="G18" s="967">
        <v>0</v>
      </c>
      <c r="H18" s="1970"/>
      <c r="I18" s="1970"/>
      <c r="J18" s="2443">
        <v>0</v>
      </c>
      <c r="K18" s="982"/>
      <c r="M18" s="705"/>
      <c r="N18" s="2395"/>
      <c r="O18" s="2396"/>
      <c r="P18" s="2395"/>
    </row>
    <row r="19" spans="1:22" ht="28.5" customHeight="1">
      <c r="A19" s="787"/>
      <c r="B19" s="2044" t="s">
        <v>843</v>
      </c>
      <c r="C19" s="786" t="s">
        <v>377</v>
      </c>
      <c r="D19" s="967"/>
      <c r="E19" s="967">
        <f>+SUMIF('BẢNG LƯƠNG KT'!$K$77:$K$92,"A",'BẢNG LƯƠNG KT'!$J$77:$J$92)</f>
        <v>523.74971595900433</v>
      </c>
      <c r="F19" s="967">
        <f>+(6.1+0.6)*$N$14</f>
        <v>4404.512999999999</v>
      </c>
      <c r="G19" s="967">
        <v>28570730.202927023</v>
      </c>
      <c r="H19" s="1970"/>
      <c r="I19" s="1970"/>
      <c r="J19" s="2443">
        <v>28570730.202927023</v>
      </c>
      <c r="K19" s="982"/>
      <c r="M19" s="705"/>
      <c r="N19" s="2395"/>
      <c r="O19" s="2396"/>
      <c r="P19" s="2395"/>
    </row>
    <row r="20" spans="1:22" ht="28.5" customHeight="1">
      <c r="A20" s="787"/>
      <c r="B20" s="2044" t="s">
        <v>844</v>
      </c>
      <c r="C20" s="786" t="s">
        <v>377</v>
      </c>
      <c r="D20" s="967"/>
      <c r="E20" s="967">
        <f>+SUMIF('BẢNG LƯƠNG KT'!$K$77:$K$92,"B",'BẢNG LƯƠNG KT'!$J$77:$J$92)</f>
        <v>318.93828404099565</v>
      </c>
      <c r="F20" s="967">
        <f>+(5.8+0.6)*$N$14</f>
        <v>4207.2959999999994</v>
      </c>
      <c r="G20" s="967">
        <v>26316015.950981695</v>
      </c>
      <c r="H20" s="1970"/>
      <c r="I20" s="1970"/>
      <c r="J20" s="2443">
        <v>26316015.950981695</v>
      </c>
      <c r="K20" s="982"/>
      <c r="M20" s="705"/>
      <c r="N20" s="2395"/>
      <c r="O20" s="2396"/>
      <c r="P20" s="2395"/>
    </row>
    <row r="21" spans="1:22" ht="28.5" customHeight="1">
      <c r="A21" s="787"/>
      <c r="B21" s="2044" t="s">
        <v>768</v>
      </c>
      <c r="C21" s="786" t="s">
        <v>377</v>
      </c>
      <c r="D21" s="967"/>
      <c r="E21" s="967">
        <f>+SUMIF('BẢNG LƯƠNG KT'!$K$77:$K$92,"C",'BẢNG LƯƠNG KT'!$J$77:$J$92)</f>
        <v>0</v>
      </c>
      <c r="F21" s="967">
        <f>+(5.5+0.6)*$N$14</f>
        <v>4010.0789999999997</v>
      </c>
      <c r="G21" s="967">
        <v>0</v>
      </c>
      <c r="H21" s="1970"/>
      <c r="I21" s="1970"/>
      <c r="J21" s="2443">
        <v>0</v>
      </c>
      <c r="K21" s="982"/>
      <c r="M21" s="705"/>
      <c r="N21" s="2395"/>
      <c r="O21" s="2396"/>
      <c r="P21" s="2395"/>
    </row>
    <row r="22" spans="1:22" ht="28.5" customHeight="1">
      <c r="A22" s="787"/>
      <c r="B22" s="2044" t="s">
        <v>845</v>
      </c>
      <c r="C22" s="786" t="s">
        <v>377</v>
      </c>
      <c r="D22" s="967"/>
      <c r="E22" s="967">
        <f>+SUMIF('BẢNG LƯƠNG KT'!$K$77:$K$92,"D",'BẢNG LƯƠNG KT'!$J$77:$J$92)</f>
        <v>0</v>
      </c>
      <c r="F22" s="967">
        <f>+(5.2+0.6)*$N$14</f>
        <v>3812.8619999999996</v>
      </c>
      <c r="G22" s="967">
        <v>0</v>
      </c>
      <c r="H22" s="1970"/>
      <c r="I22" s="1970"/>
      <c r="J22" s="2443">
        <v>0</v>
      </c>
      <c r="K22" s="982"/>
      <c r="M22" s="705"/>
      <c r="N22" s="2395"/>
      <c r="O22" s="2396"/>
      <c r="P22" s="2395"/>
    </row>
    <row r="23" spans="1:22" ht="28.5" customHeight="1">
      <c r="A23" s="788" t="s">
        <v>838</v>
      </c>
      <c r="B23" s="789" t="s">
        <v>1354</v>
      </c>
      <c r="C23" s="784" t="s">
        <v>362</v>
      </c>
      <c r="D23" s="790">
        <f>+SUM(D24:D29)</f>
        <v>2060</v>
      </c>
      <c r="E23" s="790"/>
      <c r="F23" s="967"/>
      <c r="G23" s="1970">
        <v>115049846.09999999</v>
      </c>
      <c r="H23" s="1970"/>
      <c r="I23" s="1970">
        <f>SUM(I24:I29)</f>
        <v>0</v>
      </c>
      <c r="J23" s="2443">
        <v>115049846.09999999</v>
      </c>
      <c r="K23" s="982"/>
      <c r="L23" s="684"/>
      <c r="M23" s="705"/>
      <c r="N23" s="2395"/>
      <c r="O23" s="2396"/>
      <c r="P23" s="2395"/>
    </row>
    <row r="24" spans="1:22" ht="28.5" customHeight="1">
      <c r="A24" s="787"/>
      <c r="B24" s="2044" t="s">
        <v>1253</v>
      </c>
      <c r="C24" s="784" t="s">
        <v>829</v>
      </c>
      <c r="D24" s="790">
        <f>'BẢNG LƯƠNG KT'!M16+'BẢNG LƯƠNG KT'!M55</f>
        <v>763</v>
      </c>
      <c r="E24" s="790"/>
      <c r="F24" s="967">
        <f>46.1*'BẢNG PHÂN TOÁN ĐÚNG'!$N$14</f>
        <v>30305.679</v>
      </c>
      <c r="G24" s="967">
        <v>35093976.281999998</v>
      </c>
      <c r="H24" s="1970"/>
      <c r="I24" s="1970"/>
      <c r="J24" s="2443">
        <v>35093976.281999998</v>
      </c>
      <c r="K24" s="982"/>
      <c r="M24" s="705"/>
      <c r="N24" s="2381"/>
      <c r="O24" s="2381"/>
      <c r="P24" s="2381"/>
    </row>
    <row r="25" spans="1:22" ht="28.5" customHeight="1">
      <c r="A25" s="787"/>
      <c r="B25" s="2044" t="s">
        <v>1254</v>
      </c>
      <c r="C25" s="784" t="s">
        <v>829</v>
      </c>
      <c r="D25" s="790">
        <f>'BẢNG LƯƠNG KT'!N55+'BẢNG LƯƠNG KT'!N16</f>
        <v>135</v>
      </c>
      <c r="E25" s="790"/>
      <c r="F25" s="967">
        <f>76.9*$N$14</f>
        <v>50553.291000000005</v>
      </c>
      <c r="G25" s="967">
        <v>6571927.830000001</v>
      </c>
      <c r="H25" s="1970"/>
      <c r="I25" s="1970"/>
      <c r="J25" s="2443">
        <v>6571927.830000001</v>
      </c>
      <c r="K25" s="982"/>
      <c r="M25" s="2380"/>
      <c r="N25" s="2381"/>
      <c r="O25" s="2381"/>
      <c r="P25" s="2381"/>
      <c r="Q25" s="2381"/>
      <c r="R25" s="2381"/>
      <c r="S25" s="2381"/>
      <c r="T25" s="2381"/>
      <c r="U25" s="2381"/>
      <c r="V25" s="2381"/>
    </row>
    <row r="26" spans="1:22" ht="28.5" customHeight="1">
      <c r="A26" s="787"/>
      <c r="B26" s="2157" t="s">
        <v>1241</v>
      </c>
      <c r="C26" s="784" t="s">
        <v>829</v>
      </c>
      <c r="D26" s="790">
        <f>'BẢNG LƯƠNG KT'!O94</f>
        <v>19</v>
      </c>
      <c r="E26" s="790"/>
      <c r="F26" s="967">
        <f>76.8*'BẢNG PHÂN TOÁN ĐÚNG'!$N$14</f>
        <v>50487.551999999996</v>
      </c>
      <c r="G26" s="967">
        <v>7977033.2159999991</v>
      </c>
      <c r="H26" s="1970"/>
      <c r="I26" s="1970"/>
      <c r="J26" s="2443">
        <v>7977033.2159999991</v>
      </c>
      <c r="K26" s="982"/>
      <c r="M26" s="2380"/>
      <c r="N26" s="2381"/>
      <c r="O26" s="2381"/>
      <c r="P26" s="2381"/>
      <c r="Q26" s="2381"/>
      <c r="R26" s="2381"/>
      <c r="S26" s="2381"/>
      <c r="T26" s="2381"/>
      <c r="U26" s="2381"/>
      <c r="V26" s="2381"/>
    </row>
    <row r="27" spans="1:22" ht="28.5" customHeight="1">
      <c r="A27" s="787"/>
      <c r="B27" s="2157" t="s">
        <v>1250</v>
      </c>
      <c r="C27" s="784" t="s">
        <v>829</v>
      </c>
      <c r="D27" s="790">
        <f>'BẢNG LƯƠNG KT'!P94</f>
        <v>1</v>
      </c>
      <c r="E27" s="790"/>
      <c r="F27" s="967">
        <f>107.6*'BẢNG PHÂN TOÁN ĐÚNG'!$N$14</f>
        <v>70735.16399999999</v>
      </c>
      <c r="G27" s="967">
        <v>1626908.7719999999</v>
      </c>
      <c r="H27" s="1970"/>
      <c r="I27" s="1970"/>
      <c r="J27" s="2443">
        <v>1626908.7719999999</v>
      </c>
      <c r="K27" s="982"/>
      <c r="M27" s="2380">
        <f>G35+I35</f>
        <v>547185858.37688076</v>
      </c>
      <c r="N27" s="2381"/>
      <c r="O27" s="2381"/>
      <c r="P27" s="2381"/>
      <c r="Q27" s="2381"/>
      <c r="R27" s="2381"/>
      <c r="S27" s="2381"/>
      <c r="T27" s="2381"/>
      <c r="U27" s="2381"/>
      <c r="V27" s="2381"/>
    </row>
    <row r="28" spans="1:22" ht="28.5" customHeight="1">
      <c r="A28" s="787"/>
      <c r="B28" s="2044" t="s">
        <v>1101</v>
      </c>
      <c r="C28" s="784" t="s">
        <v>829</v>
      </c>
      <c r="D28" s="790">
        <f>SUM(D24:D27)</f>
        <v>918</v>
      </c>
      <c r="E28" s="790"/>
      <c r="F28" s="967">
        <v>20000</v>
      </c>
      <c r="G28" s="967">
        <v>29380000</v>
      </c>
      <c r="H28" s="1970"/>
      <c r="I28" s="1970"/>
      <c r="J28" s="2443">
        <v>29380000</v>
      </c>
      <c r="K28" s="982"/>
      <c r="M28" s="2380"/>
      <c r="N28" s="2381"/>
      <c r="O28" s="2381"/>
      <c r="P28" s="2381"/>
      <c r="Q28" s="2381"/>
      <c r="R28" s="2381"/>
      <c r="S28" s="2381"/>
      <c r="T28" s="2381"/>
      <c r="U28" s="2381"/>
      <c r="V28" s="2381"/>
    </row>
    <row r="29" spans="1:22" ht="28.5" customHeight="1">
      <c r="A29" s="787"/>
      <c r="B29" s="2044" t="s">
        <v>1309</v>
      </c>
      <c r="C29" s="784" t="s">
        <v>829</v>
      </c>
      <c r="D29" s="790">
        <f>'BẢNG LƯƠNG KT'!M76+'BẢNG LƯƠNG KT'!N76</f>
        <v>224</v>
      </c>
      <c r="E29" s="790"/>
      <c r="F29" s="967">
        <v>100000</v>
      </c>
      <c r="G29" s="967">
        <v>34400000</v>
      </c>
      <c r="H29" s="1970"/>
      <c r="I29" s="1970"/>
      <c r="J29" s="2443">
        <v>34400000</v>
      </c>
      <c r="K29" s="982"/>
      <c r="M29" s="2380"/>
      <c r="N29" s="2381"/>
      <c r="O29" s="2381"/>
      <c r="P29" s="2381"/>
      <c r="Q29" s="2381"/>
      <c r="R29" s="2381"/>
      <c r="S29" s="2381"/>
      <c r="T29" s="2381"/>
      <c r="U29" s="2381"/>
      <c r="V29" s="2381"/>
    </row>
    <row r="30" spans="1:22" ht="28.5" customHeight="1">
      <c r="A30" s="788" t="s">
        <v>1044</v>
      </c>
      <c r="B30" s="789" t="s">
        <v>1103</v>
      </c>
      <c r="C30" s="784" t="s">
        <v>362</v>
      </c>
      <c r="D30" s="1971">
        <f>'BẢNG LƯƠNG KT'!G94</f>
        <v>0</v>
      </c>
      <c r="E30" s="790"/>
      <c r="F30" s="967">
        <v>25000</v>
      </c>
      <c r="G30" s="967">
        <v>84027593.614975005</v>
      </c>
      <c r="H30" s="1970"/>
      <c r="I30" s="1970"/>
      <c r="J30" s="2443">
        <v>84027593.614975005</v>
      </c>
      <c r="K30" s="982"/>
      <c r="M30" s="2382"/>
      <c r="N30" s="2383"/>
      <c r="O30" s="2381"/>
      <c r="P30" s="2384"/>
      <c r="Q30" s="2381"/>
      <c r="R30" s="2381"/>
      <c r="S30" s="2381"/>
      <c r="T30" s="2381"/>
      <c r="U30" s="2381"/>
      <c r="V30" s="2381"/>
    </row>
    <row r="31" spans="1:22" s="2403" customFormat="1" ht="28.5" customHeight="1">
      <c r="A31" s="783">
        <v>2</v>
      </c>
      <c r="B31" s="797" t="s">
        <v>676</v>
      </c>
      <c r="C31" s="2397" t="s">
        <v>362</v>
      </c>
      <c r="D31" s="2398">
        <f>'QL LƯƠNG'!G16</f>
        <v>416</v>
      </c>
      <c r="E31" s="2399"/>
      <c r="F31" s="2400">
        <v>25000</v>
      </c>
      <c r="G31" s="2400">
        <v>10400000</v>
      </c>
      <c r="H31" s="2401"/>
      <c r="I31" s="2401"/>
      <c r="J31" s="2401">
        <v>10400000</v>
      </c>
      <c r="K31" s="2402"/>
      <c r="M31" s="2404"/>
      <c r="N31" s="2405"/>
      <c r="O31" s="2405"/>
      <c r="P31" s="2406"/>
      <c r="Q31" s="2385"/>
      <c r="R31" s="2405"/>
      <c r="S31" s="2405"/>
      <c r="T31" s="2405"/>
      <c r="U31" s="2405"/>
      <c r="V31" s="2405"/>
    </row>
    <row r="32" spans="1:22" s="2403" customFormat="1" ht="28.5" customHeight="1">
      <c r="A32" s="783" t="s">
        <v>148</v>
      </c>
      <c r="B32" s="797" t="s">
        <v>1239</v>
      </c>
      <c r="C32" s="2397" t="s">
        <v>362</v>
      </c>
      <c r="D32" s="3168">
        <f>D33</f>
        <v>24.285714286000001</v>
      </c>
      <c r="E32" s="2399"/>
      <c r="F32" s="2400">
        <v>25000</v>
      </c>
      <c r="G32" s="2400">
        <v>607142.85715000005</v>
      </c>
      <c r="H32" s="2400"/>
      <c r="I32" s="2400"/>
      <c r="J32" s="2401">
        <v>607142.85715000005</v>
      </c>
      <c r="K32" s="2402"/>
      <c r="M32" s="2404" t="e">
        <f>'LƯƠNG TT'!#REF!</f>
        <v>#REF!</v>
      </c>
      <c r="N32" s="2404" t="e">
        <f>M32+#REF!+#REF!</f>
        <v>#REF!</v>
      </c>
      <c r="O32" s="2405"/>
      <c r="P32" s="2406" t="e">
        <f>#REF!-455517042</f>
        <v>#REF!</v>
      </c>
      <c r="Q32" s="2385"/>
      <c r="R32" s="2405"/>
      <c r="S32" s="2405"/>
      <c r="T32" s="2405"/>
      <c r="U32" s="2405"/>
      <c r="V32" s="2405"/>
    </row>
    <row r="33" spans="1:22" s="1387" customFormat="1" ht="28.5" customHeight="1">
      <c r="A33" s="787">
        <v>1</v>
      </c>
      <c r="B33" s="2044" t="s">
        <v>1240</v>
      </c>
      <c r="C33" s="2716" t="s">
        <v>362</v>
      </c>
      <c r="D33" s="3039">
        <v>24.285714286000001</v>
      </c>
      <c r="E33" s="2717"/>
      <c r="F33" s="2718">
        <v>25000</v>
      </c>
      <c r="G33" s="2718">
        <v>607142.85715000005</v>
      </c>
      <c r="H33" s="2718"/>
      <c r="I33" s="2718"/>
      <c r="J33" s="2443">
        <v>607142.85715000005</v>
      </c>
      <c r="K33" s="2719"/>
      <c r="M33" s="2720"/>
      <c r="N33" s="2721"/>
      <c r="O33" s="2721"/>
      <c r="P33" s="2722"/>
      <c r="Q33" s="2723"/>
      <c r="R33" s="2721"/>
      <c r="S33" s="2721"/>
      <c r="T33" s="2721"/>
      <c r="U33" s="2721"/>
      <c r="V33" s="2721"/>
    </row>
    <row r="34" spans="1:22" s="1387" customFormat="1" ht="28.5" customHeight="1">
      <c r="A34" s="783" t="s">
        <v>149</v>
      </c>
      <c r="B34" s="797" t="s">
        <v>1370</v>
      </c>
      <c r="C34" s="2716" t="s">
        <v>829</v>
      </c>
      <c r="D34" s="3040">
        <v>30</v>
      </c>
      <c r="E34" s="2717"/>
      <c r="F34" s="2400">
        <v>56666.666666666701</v>
      </c>
      <c r="G34" s="2400">
        <v>1700000.0000000009</v>
      </c>
      <c r="H34" s="2400"/>
      <c r="I34" s="2718"/>
      <c r="J34" s="2401">
        <v>1700000</v>
      </c>
      <c r="K34" s="2719"/>
      <c r="M34" s="2720"/>
      <c r="N34" s="2721"/>
      <c r="O34" s="2721"/>
      <c r="P34" s="2722"/>
      <c r="Q34" s="2723"/>
      <c r="R34" s="2721"/>
      <c r="S34" s="2721"/>
      <c r="T34" s="2721"/>
      <c r="U34" s="2721"/>
      <c r="V34" s="2721"/>
    </row>
    <row r="35" spans="1:22" ht="28.5" customHeight="1">
      <c r="A35" s="3948" t="s">
        <v>677</v>
      </c>
      <c r="B35" s="3948"/>
      <c r="C35" s="785"/>
      <c r="D35" s="969"/>
      <c r="E35" s="969">
        <f>E14</f>
        <v>5465.5649999999978</v>
      </c>
      <c r="F35" s="967"/>
      <c r="G35" s="970">
        <v>542464904.12648082</v>
      </c>
      <c r="H35" s="970">
        <f>H12+H32+H34</f>
        <v>0</v>
      </c>
      <c r="I35" s="970">
        <f>I12+I32</f>
        <v>4720954.2503999993</v>
      </c>
      <c r="J35" s="970">
        <v>547185858.376881</v>
      </c>
      <c r="K35" s="983"/>
      <c r="M35" s="2386" t="e">
        <f>#REF!-#REF!</f>
        <v>#REF!</v>
      </c>
      <c r="N35" s="2380"/>
      <c r="O35" s="2384"/>
      <c r="P35" s="2381"/>
      <c r="Q35" s="2381"/>
      <c r="R35" s="2381"/>
      <c r="S35" s="2381"/>
      <c r="T35" s="2381"/>
      <c r="U35" s="2381"/>
      <c r="V35" s="2381"/>
    </row>
    <row r="36" spans="1:22" ht="26.25" customHeight="1">
      <c r="A36" s="3946" t="s">
        <v>1554</v>
      </c>
      <c r="B36" s="3947"/>
      <c r="C36" s="3947"/>
      <c r="D36" s="3947"/>
      <c r="E36" s="3947"/>
      <c r="F36" s="3947"/>
      <c r="G36" s="3947"/>
      <c r="H36" s="3947"/>
      <c r="I36" s="3947"/>
      <c r="J36" s="3947"/>
      <c r="K36" s="3947"/>
      <c r="M36" s="2387"/>
      <c r="N36" s="2384">
        <f>H35-H31</f>
        <v>0</v>
      </c>
      <c r="O36" s="2381"/>
      <c r="P36" s="2383" t="e">
        <f>#REF!+1680000-#REF!</f>
        <v>#REF!</v>
      </c>
      <c r="Q36" s="2381"/>
      <c r="R36" s="2381"/>
      <c r="S36" s="2381"/>
      <c r="T36" s="2381"/>
      <c r="U36" s="2381"/>
      <c r="V36" s="2381"/>
    </row>
    <row r="37" spans="1:22" ht="11.25" customHeight="1">
      <c r="A37" s="2089"/>
      <c r="B37" s="2089"/>
      <c r="C37" s="2089"/>
      <c r="D37" s="2089"/>
      <c r="E37" s="2089"/>
      <c r="F37" s="2089"/>
      <c r="G37" s="2089"/>
      <c r="H37" s="2089"/>
      <c r="I37" s="2089"/>
      <c r="J37" s="2089"/>
      <c r="K37" s="2089"/>
      <c r="M37" s="2387"/>
      <c r="N37" s="2388"/>
      <c r="O37" s="2381"/>
      <c r="P37" s="2381"/>
      <c r="Q37" s="2381"/>
      <c r="R37" s="2381"/>
      <c r="S37" s="2381"/>
      <c r="T37" s="2381"/>
      <c r="U37" s="2381"/>
      <c r="V37" s="2381"/>
    </row>
    <row r="38" spans="1:22" ht="18.75">
      <c r="A38" s="792"/>
      <c r="B38" s="792"/>
      <c r="C38" s="792"/>
      <c r="D38" s="976"/>
      <c r="G38" s="2444"/>
      <c r="H38" s="2444"/>
      <c r="I38" s="4185" t="s">
        <v>1544</v>
      </c>
      <c r="J38" s="4185"/>
      <c r="K38" s="4185"/>
      <c r="L38" s="4185"/>
      <c r="M38" s="2389"/>
      <c r="N38" s="2390"/>
      <c r="O38" s="2381"/>
      <c r="P38" s="2381"/>
      <c r="Q38" s="2381"/>
      <c r="R38" s="2381"/>
      <c r="S38" s="2381"/>
      <c r="T38" s="2381"/>
      <c r="U38" s="2381"/>
      <c r="V38" s="2381"/>
    </row>
    <row r="39" spans="1:22" ht="9" customHeight="1">
      <c r="A39" s="792"/>
      <c r="B39" s="792"/>
      <c r="C39" s="792"/>
      <c r="D39" s="976"/>
      <c r="F39" s="2425"/>
      <c r="G39" s="2425"/>
      <c r="H39" s="2425"/>
      <c r="I39" s="2425"/>
      <c r="J39" s="2425"/>
      <c r="K39" s="2425"/>
      <c r="M39" s="2389"/>
      <c r="N39" s="2390"/>
      <c r="O39" s="2381"/>
      <c r="P39" s="2381"/>
      <c r="Q39" s="2381"/>
      <c r="R39" s="2381"/>
      <c r="S39" s="2381"/>
      <c r="T39" s="2381"/>
      <c r="U39" s="2381"/>
      <c r="V39" s="2381"/>
    </row>
    <row r="40" spans="1:22" s="766" customFormat="1" ht="26.25" customHeight="1">
      <c r="A40" s="4184" t="s">
        <v>1371</v>
      </c>
      <c r="B40" s="4184"/>
      <c r="C40" s="4184"/>
      <c r="D40" s="4184"/>
      <c r="E40" s="4184"/>
      <c r="F40" s="4184"/>
      <c r="G40" s="4184"/>
      <c r="H40" s="4184"/>
      <c r="I40" s="4184"/>
      <c r="J40" s="4184"/>
      <c r="K40" s="4184"/>
      <c r="L40" s="1332"/>
      <c r="M40" s="2391"/>
      <c r="N40" s="2959" t="e">
        <f>#REF!+H33</f>
        <v>#REF!</v>
      </c>
      <c r="O40" s="2391"/>
      <c r="P40" s="2392"/>
      <c r="Q40" s="2392"/>
      <c r="R40" s="2392"/>
      <c r="S40" s="2392"/>
      <c r="T40" s="2392"/>
      <c r="U40" s="2392"/>
      <c r="V40" s="2392"/>
    </row>
    <row r="41" spans="1:22">
      <c r="A41" s="792"/>
      <c r="B41" s="792"/>
      <c r="C41" s="792"/>
      <c r="D41" s="976"/>
      <c r="H41" s="793"/>
      <c r="I41" s="793"/>
      <c r="J41" s="793"/>
      <c r="K41" s="984"/>
      <c r="M41" s="2393"/>
      <c r="N41" s="2381"/>
      <c r="O41" s="2381"/>
      <c r="P41" s="2381"/>
      <c r="Q41" s="2381"/>
      <c r="R41" s="2381"/>
      <c r="S41" s="2381"/>
      <c r="T41" s="2381"/>
      <c r="U41" s="2381"/>
      <c r="V41" s="2381"/>
    </row>
    <row r="42" spans="1:22">
      <c r="A42" s="792"/>
      <c r="B42" s="792"/>
      <c r="C42" s="792"/>
      <c r="D42" s="976"/>
      <c r="H42" s="793"/>
      <c r="I42" s="793"/>
      <c r="J42" s="793"/>
      <c r="K42" s="984"/>
      <c r="P42" s="2969" t="e">
        <f>#REF!+1680000</f>
        <v>#REF!</v>
      </c>
    </row>
    <row r="43" spans="1:22">
      <c r="A43" s="792"/>
      <c r="B43" s="792"/>
      <c r="C43" s="792"/>
      <c r="D43" s="976"/>
      <c r="H43" s="793"/>
      <c r="I43" s="793"/>
      <c r="J43" s="793"/>
      <c r="K43" s="984"/>
    </row>
    <row r="44" spans="1:22">
      <c r="A44" s="792"/>
      <c r="B44" s="792"/>
      <c r="C44" s="792"/>
      <c r="D44" s="976"/>
      <c r="H44" s="793"/>
      <c r="I44" s="793"/>
      <c r="J44" s="793"/>
      <c r="K44" s="984"/>
    </row>
    <row r="45" spans="1:22">
      <c r="A45" s="792"/>
      <c r="B45" s="792"/>
      <c r="C45" s="792"/>
      <c r="D45" s="976"/>
      <c r="F45" s="2947"/>
      <c r="G45" s="2947"/>
      <c r="H45" s="2947"/>
      <c r="I45" s="2947"/>
      <c r="J45" s="2947"/>
      <c r="K45" s="2947"/>
    </row>
    <row r="46" spans="1:22">
      <c r="A46" s="792"/>
      <c r="B46" s="792"/>
      <c r="C46" s="792"/>
      <c r="D46" s="976"/>
      <c r="E46" s="792"/>
      <c r="F46" s="793"/>
      <c r="G46" s="793"/>
      <c r="H46" s="793"/>
      <c r="I46" s="793"/>
      <c r="J46" s="793"/>
      <c r="K46" s="984"/>
    </row>
    <row r="47" spans="1:22">
      <c r="A47" s="792"/>
      <c r="B47" s="794"/>
      <c r="C47" s="792"/>
      <c r="D47" s="976"/>
      <c r="E47" s="794"/>
      <c r="F47" s="795"/>
      <c r="G47" s="795"/>
      <c r="H47" s="795"/>
      <c r="I47" s="795"/>
      <c r="J47" s="795"/>
      <c r="K47" s="985"/>
    </row>
  </sheetData>
  <mergeCells count="11">
    <mergeCell ref="A9:K9"/>
    <mergeCell ref="A35:B35"/>
    <mergeCell ref="A36:K36"/>
    <mergeCell ref="A40:K40"/>
    <mergeCell ref="I38:L38"/>
    <mergeCell ref="A8:K8"/>
    <mergeCell ref="A1:K1"/>
    <mergeCell ref="A2:K2"/>
    <mergeCell ref="A3:K3"/>
    <mergeCell ref="A4:C4"/>
    <mergeCell ref="A5:C5"/>
  </mergeCells>
  <printOptions horizontalCentered="1"/>
  <pageMargins left="0.23622047244094491" right="0" top="0.39370078740157483" bottom="0.35433070866141736" header="0.19685039370078741" footer="0.31496062992125984"/>
  <pageSetup paperSize="9" scale="66" orientation="landscape" r:id="rId1"/>
  <colBreaks count="1" manualBreakCount="1">
    <brk id="11" max="1048575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topLeftCell="A19" zoomScale="70" zoomScaleNormal="70" workbookViewId="0">
      <selection activeCell="AK22" sqref="AK22"/>
    </sheetView>
  </sheetViews>
  <sheetFormatPr defaultColWidth="9.25" defaultRowHeight="15.75"/>
  <cols>
    <col min="1" max="1" width="4.375" style="2634" customWidth="1"/>
    <col min="2" max="2" width="4.375" style="2633" customWidth="1"/>
    <col min="3" max="3" width="15.375" style="2633" customWidth="1"/>
    <col min="4" max="27" width="6.25" style="2641" customWidth="1"/>
    <col min="28" max="33" width="7.75" style="2641" customWidth="1"/>
    <col min="34" max="34" width="7.75" style="2633" customWidth="1"/>
    <col min="35" max="36" width="9.375" style="3140" customWidth="1"/>
    <col min="37" max="38" width="9.375" style="2633" customWidth="1"/>
    <col min="39" max="39" width="10" style="2633" hidden="1" customWidth="1"/>
    <col min="40" max="41" width="0" style="2633" hidden="1" customWidth="1"/>
    <col min="42" max="42" width="14.875" style="2633" hidden="1" customWidth="1"/>
    <col min="43" max="48" width="0" style="2633" hidden="1" customWidth="1"/>
    <col min="49" max="49" width="9.25" style="2633"/>
    <col min="50" max="50" width="22.25" style="2633" bestFit="1" customWidth="1"/>
    <col min="51" max="16384" width="9.25" style="2633"/>
  </cols>
  <sheetData>
    <row r="1" spans="1:52" ht="21" customHeight="1">
      <c r="A1" s="3982" t="s">
        <v>165</v>
      </c>
      <c r="B1" s="3982"/>
      <c r="C1" s="3982"/>
      <c r="D1" s="3982"/>
      <c r="E1" s="3982"/>
      <c r="F1" s="3982"/>
      <c r="G1" s="3982"/>
      <c r="H1" s="3982"/>
      <c r="I1" s="3982"/>
      <c r="J1" s="3982"/>
      <c r="K1" s="3982"/>
      <c r="L1" s="3982"/>
      <c r="M1" s="3982"/>
      <c r="N1" s="3982"/>
      <c r="O1" s="3982"/>
      <c r="P1" s="3982"/>
      <c r="Q1" s="3982"/>
      <c r="R1" s="3982"/>
      <c r="S1" s="3982"/>
      <c r="T1" s="3982"/>
      <c r="U1" s="3982"/>
      <c r="V1" s="3982"/>
      <c r="W1" s="3982"/>
      <c r="X1" s="3982"/>
      <c r="Y1" s="3982"/>
      <c r="Z1" s="3982"/>
      <c r="AA1" s="3982"/>
      <c r="AB1" s="3982"/>
      <c r="AC1" s="3982"/>
      <c r="AD1" s="3982"/>
      <c r="AE1" s="3982"/>
      <c r="AF1" s="3982"/>
      <c r="AG1" s="3982"/>
      <c r="AH1" s="3982"/>
      <c r="AI1" s="3982"/>
      <c r="AJ1" s="3982"/>
      <c r="AK1" s="3982"/>
      <c r="AL1" s="3982"/>
      <c r="AM1" s="2632"/>
      <c r="AN1" s="2632"/>
      <c r="AO1" s="2632"/>
      <c r="AP1" s="2632"/>
      <c r="AQ1" s="2632"/>
      <c r="AR1" s="2632"/>
      <c r="AS1" s="2632"/>
      <c r="AT1" s="2632"/>
      <c r="AU1" s="2632"/>
      <c r="AV1" s="2632"/>
      <c r="AW1" s="2632"/>
      <c r="AX1" s="2632"/>
      <c r="AY1" s="2632"/>
    </row>
    <row r="2" spans="1:52" ht="21" customHeight="1">
      <c r="A2" s="3982" t="s">
        <v>171</v>
      </c>
      <c r="B2" s="3982"/>
      <c r="C2" s="3982"/>
      <c r="D2" s="3982"/>
      <c r="E2" s="3982"/>
      <c r="F2" s="3982"/>
      <c r="G2" s="3982"/>
      <c r="H2" s="3982"/>
      <c r="I2" s="3982"/>
      <c r="J2" s="3982"/>
      <c r="K2" s="3982"/>
      <c r="L2" s="3982"/>
      <c r="M2" s="3982"/>
      <c r="N2" s="3982"/>
      <c r="O2" s="3982"/>
      <c r="P2" s="3982"/>
      <c r="Q2" s="3982"/>
      <c r="R2" s="3982"/>
      <c r="S2" s="3982"/>
      <c r="T2" s="3982"/>
      <c r="U2" s="3982"/>
      <c r="V2" s="3982"/>
      <c r="W2" s="3982"/>
      <c r="X2" s="3982"/>
      <c r="Y2" s="3982"/>
      <c r="Z2" s="3982"/>
      <c r="AA2" s="3982"/>
      <c r="AB2" s="3982"/>
      <c r="AC2" s="3982"/>
      <c r="AD2" s="3982"/>
      <c r="AE2" s="3982"/>
      <c r="AF2" s="3982"/>
      <c r="AG2" s="3982"/>
      <c r="AH2" s="3982"/>
      <c r="AI2" s="3982"/>
      <c r="AJ2" s="3982"/>
      <c r="AK2" s="3982"/>
      <c r="AL2" s="3982"/>
      <c r="AM2" s="2632"/>
      <c r="AN2" s="2632"/>
      <c r="AO2" s="2632"/>
      <c r="AP2" s="2632"/>
      <c r="AQ2" s="2632"/>
      <c r="AR2" s="2632"/>
      <c r="AS2" s="2632"/>
      <c r="AT2" s="2632"/>
      <c r="AU2" s="2632"/>
      <c r="AV2" s="2632"/>
      <c r="AW2" s="2632"/>
      <c r="AX2" s="2632"/>
      <c r="AY2" s="2632"/>
    </row>
    <row r="3" spans="1:52" ht="21" customHeight="1">
      <c r="A3" s="3981" t="s">
        <v>726</v>
      </c>
      <c r="B3" s="3981"/>
      <c r="C3" s="3981"/>
      <c r="D3" s="3981"/>
      <c r="E3" s="3981"/>
      <c r="F3" s="3981"/>
      <c r="G3" s="3981"/>
      <c r="H3" s="3981"/>
      <c r="I3" s="3981"/>
      <c r="J3" s="3981"/>
      <c r="K3" s="3981"/>
      <c r="L3" s="3981"/>
      <c r="M3" s="3981"/>
      <c r="N3" s="3981"/>
      <c r="O3" s="3981"/>
      <c r="P3" s="3981"/>
      <c r="Q3" s="3981"/>
      <c r="R3" s="3981"/>
      <c r="S3" s="3981"/>
      <c r="T3" s="3981"/>
      <c r="U3" s="3981"/>
      <c r="V3" s="3981"/>
      <c r="W3" s="3981"/>
      <c r="X3" s="3981"/>
      <c r="Y3" s="3981"/>
      <c r="Z3" s="3981"/>
      <c r="AA3" s="3981"/>
      <c r="AB3" s="3981"/>
      <c r="AC3" s="3981"/>
      <c r="AD3" s="3981"/>
      <c r="AE3" s="3981"/>
      <c r="AF3" s="3981"/>
      <c r="AG3" s="3981"/>
      <c r="AH3" s="3981"/>
      <c r="AI3" s="3981"/>
      <c r="AJ3" s="3981"/>
      <c r="AK3" s="3981"/>
      <c r="AL3" s="3981"/>
      <c r="AM3" s="2632"/>
      <c r="AN3" s="2632"/>
      <c r="AO3" s="2632"/>
      <c r="AP3" s="2632"/>
      <c r="AQ3" s="2632"/>
      <c r="AR3" s="2632"/>
      <c r="AS3" s="2632"/>
      <c r="AT3" s="2632"/>
      <c r="AU3" s="2632"/>
      <c r="AV3" s="2632"/>
      <c r="AW3" s="2632"/>
      <c r="AX3" s="2632"/>
      <c r="AY3" s="2632"/>
    </row>
    <row r="4" spans="1:52" ht="1.5" customHeight="1">
      <c r="B4" s="2635"/>
      <c r="C4" s="2635"/>
      <c r="D4" s="2635"/>
      <c r="E4" s="2635"/>
      <c r="F4" s="2635"/>
      <c r="G4" s="2635"/>
      <c r="H4" s="3060"/>
      <c r="I4" s="3060"/>
      <c r="J4" s="3060"/>
      <c r="K4" s="3060"/>
      <c r="L4" s="3060"/>
      <c r="M4" s="3060"/>
      <c r="N4" s="3060"/>
      <c r="O4" s="3060"/>
      <c r="P4" s="3060"/>
      <c r="Q4" s="3060"/>
      <c r="R4" s="3060"/>
      <c r="S4" s="3060"/>
      <c r="T4" s="3060"/>
      <c r="U4" s="2633"/>
      <c r="V4" s="2633"/>
      <c r="W4" s="2633"/>
      <c r="X4" s="2633"/>
      <c r="Y4" s="2633"/>
      <c r="Z4" s="2633"/>
      <c r="AA4" s="2633"/>
      <c r="AB4" s="2633"/>
      <c r="AC4" s="2633"/>
      <c r="AD4" s="2633"/>
      <c r="AE4" s="2633"/>
      <c r="AF4" s="2633"/>
      <c r="AG4" s="2633"/>
    </row>
    <row r="5" spans="1:52" ht="26.25" customHeight="1">
      <c r="A5" s="3980" t="s">
        <v>602</v>
      </c>
      <c r="B5" s="3980"/>
      <c r="C5" s="3980"/>
      <c r="D5" s="3980"/>
      <c r="E5" s="3980"/>
      <c r="F5" s="3980"/>
      <c r="G5" s="3980"/>
      <c r="H5" s="3980"/>
      <c r="I5" s="3980"/>
      <c r="J5" s="3980"/>
      <c r="K5" s="3980"/>
      <c r="L5" s="3980"/>
      <c r="M5" s="3980"/>
      <c r="N5" s="3980"/>
      <c r="O5" s="2635"/>
      <c r="P5" s="2635"/>
      <c r="Q5" s="2635"/>
      <c r="R5" s="2635"/>
      <c r="S5" s="2635"/>
      <c r="T5" s="2635"/>
      <c r="U5" s="2635"/>
      <c r="V5" s="2635"/>
      <c r="W5" s="2633"/>
      <c r="X5" s="2633"/>
      <c r="Y5" s="2633"/>
      <c r="Z5" s="2633"/>
      <c r="AA5" s="2633"/>
      <c r="AB5" s="2633"/>
      <c r="AC5" s="2633"/>
      <c r="AD5" s="2633"/>
      <c r="AE5" s="2633"/>
      <c r="AF5" s="2633"/>
      <c r="AG5" s="2633"/>
    </row>
    <row r="6" spans="1:52" s="2637" customFormat="1" ht="21" customHeight="1">
      <c r="A6" s="3981" t="s">
        <v>541</v>
      </c>
      <c r="B6" s="3981"/>
      <c r="C6" s="3981"/>
      <c r="D6" s="3981"/>
      <c r="E6" s="3981"/>
      <c r="F6" s="3981"/>
      <c r="G6" s="3981"/>
      <c r="H6" s="3981"/>
      <c r="I6" s="3981"/>
      <c r="J6" s="3981"/>
      <c r="K6" s="3981"/>
      <c r="L6" s="3981"/>
      <c r="M6" s="3981"/>
      <c r="N6" s="3981"/>
      <c r="O6" s="2636"/>
      <c r="P6" s="2636"/>
      <c r="Q6" s="2636"/>
      <c r="R6" s="2636"/>
      <c r="S6" s="2636"/>
      <c r="T6" s="2636"/>
      <c r="U6" s="2636"/>
      <c r="V6" s="2636"/>
      <c r="AI6" s="3141"/>
      <c r="AJ6" s="3141"/>
    </row>
    <row r="7" spans="1:52" ht="12.75" customHeight="1">
      <c r="B7" s="2638"/>
      <c r="C7" s="2638"/>
      <c r="D7" s="2638"/>
      <c r="E7" s="2638"/>
      <c r="F7" s="2638"/>
      <c r="G7" s="2638"/>
      <c r="H7" s="2638"/>
      <c r="I7" s="2638"/>
      <c r="J7" s="2639"/>
      <c r="K7" s="2639"/>
      <c r="L7" s="2640"/>
      <c r="N7" s="2639"/>
      <c r="O7" s="2639"/>
      <c r="P7" s="2639"/>
      <c r="Q7" s="2639"/>
      <c r="R7" s="2639"/>
      <c r="S7" s="2639"/>
      <c r="T7" s="2639"/>
      <c r="U7" s="2639"/>
      <c r="V7" s="2639"/>
      <c r="W7" s="2639"/>
      <c r="X7" s="2639"/>
      <c r="Y7" s="2639"/>
      <c r="Z7" s="2639"/>
      <c r="AA7" s="2639"/>
      <c r="AB7" s="2639"/>
      <c r="AC7" s="2639"/>
      <c r="AD7" s="2639"/>
      <c r="AE7" s="2639"/>
      <c r="AF7" s="2639"/>
      <c r="AG7" s="2639"/>
      <c r="AH7" s="2639"/>
      <c r="AI7" s="3142"/>
      <c r="AJ7" s="3143"/>
      <c r="AK7" s="2639"/>
      <c r="AL7" s="2639"/>
    </row>
    <row r="8" spans="1:52" s="2637" customFormat="1" ht="24" customHeight="1">
      <c r="A8" s="4187" t="s">
        <v>1551</v>
      </c>
      <c r="B8" s="4187"/>
      <c r="C8" s="4187"/>
      <c r="D8" s="4187"/>
      <c r="E8" s="4187"/>
      <c r="F8" s="4187"/>
      <c r="G8" s="4187"/>
      <c r="H8" s="4187"/>
      <c r="I8" s="4187"/>
      <c r="J8" s="4187"/>
      <c r="K8" s="4187"/>
      <c r="L8" s="4187"/>
      <c r="M8" s="4187"/>
      <c r="N8" s="4187"/>
      <c r="O8" s="4187"/>
      <c r="P8" s="4187"/>
      <c r="Q8" s="4187"/>
      <c r="R8" s="4187"/>
      <c r="S8" s="4187"/>
      <c r="T8" s="4187"/>
      <c r="U8" s="4187"/>
      <c r="V8" s="4187"/>
      <c r="W8" s="4187"/>
      <c r="X8" s="4187"/>
      <c r="Y8" s="4187"/>
      <c r="Z8" s="4187"/>
      <c r="AA8" s="4187"/>
      <c r="AB8" s="4187"/>
      <c r="AC8" s="4187"/>
      <c r="AD8" s="4187"/>
      <c r="AE8" s="4187"/>
      <c r="AF8" s="4187"/>
      <c r="AG8" s="4187"/>
      <c r="AH8" s="4187"/>
      <c r="AI8" s="4187"/>
      <c r="AJ8" s="4187"/>
      <c r="AK8" s="4187"/>
      <c r="AL8" s="4187"/>
    </row>
    <row r="9" spans="1:52">
      <c r="A9" s="2638"/>
      <c r="B9" s="2638"/>
      <c r="C9" s="2638"/>
      <c r="D9" s="2638"/>
      <c r="E9" s="2638"/>
      <c r="F9" s="2638"/>
      <c r="G9" s="2638"/>
      <c r="H9" s="2638"/>
      <c r="I9" s="2638"/>
      <c r="J9" s="2638"/>
      <c r="K9" s="2638"/>
      <c r="L9" s="2638"/>
      <c r="M9" s="2638"/>
      <c r="N9" s="2638"/>
      <c r="O9" s="2638"/>
      <c r="P9" s="2638"/>
      <c r="Q9" s="2638"/>
      <c r="R9" s="2638"/>
      <c r="S9" s="2638"/>
      <c r="T9" s="2638"/>
      <c r="U9" s="2638"/>
      <c r="V9" s="2638"/>
      <c r="W9" s="2638"/>
      <c r="X9" s="2638"/>
      <c r="Y9" s="2638"/>
      <c r="Z9" s="2638"/>
      <c r="AA9" s="2638"/>
      <c r="AB9" s="2638"/>
      <c r="AC9" s="2638"/>
      <c r="AD9" s="2638"/>
      <c r="AE9" s="2638"/>
      <c r="AF9" s="2638"/>
      <c r="AG9" s="2638"/>
      <c r="AH9" s="2638"/>
      <c r="AI9" s="3144"/>
      <c r="AJ9" s="3145"/>
      <c r="AK9" s="2638"/>
      <c r="AL9" s="2638"/>
    </row>
    <row r="10" spans="1:52" ht="25.5" customHeight="1">
      <c r="A10" s="4192" t="s">
        <v>1</v>
      </c>
      <c r="B10" s="4192" t="s">
        <v>1</v>
      </c>
      <c r="C10" s="4192" t="s">
        <v>805</v>
      </c>
      <c r="D10" s="3961" t="s">
        <v>1157</v>
      </c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  <c r="Y10" s="3962"/>
      <c r="Z10" s="3962"/>
      <c r="AA10" s="3962"/>
      <c r="AB10" s="3962"/>
      <c r="AC10" s="3962"/>
      <c r="AD10" s="3962"/>
      <c r="AE10" s="3962"/>
      <c r="AF10" s="3962"/>
      <c r="AG10" s="3962"/>
      <c r="AH10" s="3963"/>
      <c r="AI10" s="4194" t="s">
        <v>806</v>
      </c>
      <c r="AJ10" s="4196" t="s">
        <v>1549</v>
      </c>
      <c r="AK10" s="4189" t="s">
        <v>1145</v>
      </c>
      <c r="AL10" s="4189" t="s">
        <v>1156</v>
      </c>
    </row>
    <row r="11" spans="1:52" ht="42" customHeight="1">
      <c r="A11" s="4193"/>
      <c r="B11" s="4193"/>
      <c r="C11" s="4193"/>
      <c r="D11" s="2642">
        <v>1</v>
      </c>
      <c r="E11" s="2642">
        <v>2</v>
      </c>
      <c r="F11" s="2642">
        <v>3</v>
      </c>
      <c r="G11" s="2642">
        <v>4</v>
      </c>
      <c r="H11" s="2642">
        <v>5</v>
      </c>
      <c r="I11" s="2642">
        <v>6</v>
      </c>
      <c r="J11" s="2642">
        <v>7</v>
      </c>
      <c r="K11" s="2642">
        <v>8</v>
      </c>
      <c r="L11" s="2642">
        <v>9</v>
      </c>
      <c r="M11" s="2642">
        <v>10</v>
      </c>
      <c r="N11" s="2642">
        <v>11</v>
      </c>
      <c r="O11" s="2642">
        <v>12</v>
      </c>
      <c r="P11" s="2642">
        <v>13</v>
      </c>
      <c r="Q11" s="2642">
        <v>14</v>
      </c>
      <c r="R11" s="2642">
        <v>15</v>
      </c>
      <c r="S11" s="2642">
        <v>16</v>
      </c>
      <c r="T11" s="2642">
        <v>17</v>
      </c>
      <c r="U11" s="2642">
        <v>18</v>
      </c>
      <c r="V11" s="2642">
        <v>19</v>
      </c>
      <c r="W11" s="2642">
        <v>20</v>
      </c>
      <c r="X11" s="2642">
        <v>21</v>
      </c>
      <c r="Y11" s="2642">
        <v>22</v>
      </c>
      <c r="Z11" s="2642">
        <v>23</v>
      </c>
      <c r="AA11" s="2642">
        <v>24</v>
      </c>
      <c r="AB11" s="2642">
        <v>25</v>
      </c>
      <c r="AC11" s="2642">
        <v>26</v>
      </c>
      <c r="AD11" s="2642">
        <v>27</v>
      </c>
      <c r="AE11" s="2642">
        <v>28</v>
      </c>
      <c r="AF11" s="2642">
        <v>29</v>
      </c>
      <c r="AG11" s="2642">
        <v>30</v>
      </c>
      <c r="AH11" s="3061">
        <v>31</v>
      </c>
      <c r="AI11" s="4195"/>
      <c r="AJ11" s="4197"/>
      <c r="AK11" s="4190"/>
      <c r="AL11" s="4191"/>
      <c r="AN11" s="2633" t="s">
        <v>977</v>
      </c>
    </row>
    <row r="12" spans="1:52" ht="33.75" customHeight="1">
      <c r="A12" s="2644">
        <v>52</v>
      </c>
      <c r="B12" s="2644">
        <v>1</v>
      </c>
      <c r="C12" s="2651" t="str">
        <f>'Chấm công công nhân'!L65</f>
        <v>Nàng Phết</v>
      </c>
      <c r="D12" s="3148"/>
      <c r="E12" s="3148"/>
      <c r="F12" s="3148"/>
      <c r="G12" s="3148"/>
      <c r="H12" s="3148"/>
      <c r="I12" s="3148"/>
      <c r="J12" s="3148"/>
      <c r="K12" s="3148"/>
      <c r="L12" s="3148"/>
      <c r="M12" s="3148"/>
      <c r="N12" s="3148"/>
      <c r="O12" s="3148"/>
      <c r="P12" s="3148"/>
      <c r="Q12" s="3148"/>
      <c r="R12" s="3148"/>
      <c r="S12" s="3148"/>
      <c r="T12" s="3148"/>
      <c r="U12" s="3148"/>
      <c r="V12" s="3148"/>
      <c r="W12" s="3148"/>
      <c r="X12" s="3148"/>
      <c r="Y12" s="3148"/>
      <c r="Z12" s="3148"/>
      <c r="AA12" s="3148"/>
      <c r="AB12" s="3148">
        <v>167</v>
      </c>
      <c r="AC12" s="3148">
        <v>206</v>
      </c>
      <c r="AD12" s="3149"/>
      <c r="AE12" s="3149"/>
      <c r="AF12" s="3149"/>
      <c r="AG12" s="3149">
        <v>0</v>
      </c>
      <c r="AH12" s="3150"/>
      <c r="AI12" s="3146">
        <f>SUM(D12:AH12)</f>
        <v>373</v>
      </c>
      <c r="AJ12" s="3147">
        <f>AI12*0.4</f>
        <v>149.20000000000002</v>
      </c>
      <c r="AK12" s="3165" t="s">
        <v>52</v>
      </c>
      <c r="AL12" s="2645"/>
      <c r="AM12" s="2646">
        <f>IF(AJ12&gt;=2790,700000,IF(AJ12&gt;=2425,500000,IF(AJ12&gt;2110,300000,IF(AJ12&gt;=2110,0,0))))</f>
        <v>0</v>
      </c>
      <c r="AN12" s="2633" t="e">
        <f>+#REF!-#REF!</f>
        <v>#REF!</v>
      </c>
      <c r="AP12" s="3140"/>
      <c r="AT12" s="2633">
        <f>+AI12+[10]Mủ!AI13</f>
        <v>1418</v>
      </c>
      <c r="AX12" s="2708">
        <v>9081.0930000000008</v>
      </c>
      <c r="AZ12" s="2633">
        <v>1335.9741484121841</v>
      </c>
    </row>
    <row r="13" spans="1:52" ht="33.75" customHeight="1">
      <c r="A13" s="2644">
        <v>53</v>
      </c>
      <c r="B13" s="2644">
        <v>2</v>
      </c>
      <c r="C13" s="2651" t="str">
        <f>'Chấm công công nhân'!L66</f>
        <v>Thảo On</v>
      </c>
      <c r="D13" s="3148"/>
      <c r="E13" s="3148"/>
      <c r="F13" s="3148"/>
      <c r="G13" s="3148"/>
      <c r="H13" s="3148"/>
      <c r="I13" s="3148"/>
      <c r="J13" s="3148"/>
      <c r="K13" s="3148"/>
      <c r="L13" s="3148"/>
      <c r="M13" s="3148"/>
      <c r="N13" s="3148"/>
      <c r="O13" s="3148"/>
      <c r="P13" s="3148"/>
      <c r="Q13" s="3148"/>
      <c r="R13" s="3148"/>
      <c r="S13" s="3148"/>
      <c r="T13" s="3148"/>
      <c r="U13" s="3148"/>
      <c r="V13" s="3148"/>
      <c r="W13" s="3148"/>
      <c r="X13" s="3148"/>
      <c r="Y13" s="3148"/>
      <c r="Z13" s="3148"/>
      <c r="AA13" s="3148"/>
      <c r="AB13" s="3148">
        <v>147</v>
      </c>
      <c r="AC13" s="3148">
        <v>187</v>
      </c>
      <c r="AD13" s="3149"/>
      <c r="AE13" s="3149"/>
      <c r="AF13" s="3149"/>
      <c r="AG13" s="3149">
        <v>0</v>
      </c>
      <c r="AH13" s="3150"/>
      <c r="AI13" s="3146">
        <f t="shared" ref="AI13:AI25" si="0">SUM(D13:AH13)</f>
        <v>334</v>
      </c>
      <c r="AJ13" s="3147">
        <f t="shared" ref="AJ13:AJ26" si="1">AI13*0.4</f>
        <v>133.6</v>
      </c>
      <c r="AK13" s="3165" t="s">
        <v>92</v>
      </c>
      <c r="AL13" s="2645"/>
      <c r="AM13" s="2646">
        <f t="shared" ref="AM13:AM26" si="2">IF(AJ13&gt;=2790,700000,IF(AJ13&gt;=2425,500000,IF(AJ13&gt;2110,300000,IF(AJ13&gt;=2110,0,0))))</f>
        <v>0</v>
      </c>
      <c r="AT13" s="2633">
        <f>+AI13+[10]Mủ!AI14</f>
        <v>1138</v>
      </c>
      <c r="AX13" s="2706" t="e">
        <f>AX12/#REF!*100</f>
        <v>#REF!</v>
      </c>
      <c r="AZ13" s="2633">
        <v>785.20360191186001</v>
      </c>
    </row>
    <row r="14" spans="1:52" ht="33.75" customHeight="1">
      <c r="A14" s="2644">
        <v>54</v>
      </c>
      <c r="B14" s="2644">
        <v>3</v>
      </c>
      <c r="C14" s="2651" t="str">
        <f>'Chấm công công nhân'!L67</f>
        <v>Thảo Sum</v>
      </c>
      <c r="D14" s="3148"/>
      <c r="E14" s="3148"/>
      <c r="F14" s="3148"/>
      <c r="G14" s="3148"/>
      <c r="H14" s="3148"/>
      <c r="I14" s="3148"/>
      <c r="J14" s="3148"/>
      <c r="K14" s="3148"/>
      <c r="L14" s="3148"/>
      <c r="M14" s="3148"/>
      <c r="N14" s="3148"/>
      <c r="O14" s="3148"/>
      <c r="P14" s="3148"/>
      <c r="Q14" s="3148"/>
      <c r="R14" s="3148"/>
      <c r="S14" s="3148"/>
      <c r="T14" s="3148"/>
      <c r="U14" s="3148"/>
      <c r="V14" s="3148"/>
      <c r="W14" s="3148"/>
      <c r="X14" s="3148"/>
      <c r="Y14" s="3148"/>
      <c r="Z14" s="3148"/>
      <c r="AA14" s="3148"/>
      <c r="AB14" s="3148">
        <v>0</v>
      </c>
      <c r="AC14" s="3148">
        <v>0</v>
      </c>
      <c r="AD14" s="3149"/>
      <c r="AE14" s="3149"/>
      <c r="AF14" s="3149"/>
      <c r="AG14" s="3149">
        <v>91</v>
      </c>
      <c r="AH14" s="3150"/>
      <c r="AI14" s="3146">
        <f t="shared" si="0"/>
        <v>91</v>
      </c>
      <c r="AJ14" s="3147">
        <f t="shared" si="1"/>
        <v>36.4</v>
      </c>
      <c r="AK14" s="3165" t="s">
        <v>92</v>
      </c>
      <c r="AL14" s="2645"/>
      <c r="AM14" s="2646">
        <f t="shared" si="2"/>
        <v>0</v>
      </c>
      <c r="AT14" s="2633">
        <f>+AI14+[10]Mủ!AI15</f>
        <v>1676</v>
      </c>
      <c r="AX14" s="2941"/>
      <c r="AZ14" s="2633">
        <v>832.28639128321458</v>
      </c>
    </row>
    <row r="15" spans="1:52" ht="33.75" customHeight="1">
      <c r="A15" s="2644">
        <v>55</v>
      </c>
      <c r="B15" s="2644">
        <v>4</v>
      </c>
      <c r="C15" s="2651" t="str">
        <f>'Chấm công công nhân'!L68</f>
        <v>Cha La</v>
      </c>
      <c r="D15" s="3148"/>
      <c r="E15" s="3148"/>
      <c r="F15" s="3148"/>
      <c r="G15" s="3148"/>
      <c r="H15" s="3148"/>
      <c r="I15" s="3148"/>
      <c r="J15" s="3148"/>
      <c r="K15" s="3148"/>
      <c r="L15" s="3148"/>
      <c r="M15" s="3148"/>
      <c r="N15" s="3148"/>
      <c r="O15" s="3148"/>
      <c r="P15" s="3148"/>
      <c r="Q15" s="3148"/>
      <c r="R15" s="3148"/>
      <c r="S15" s="3148"/>
      <c r="T15" s="3148"/>
      <c r="U15" s="3148"/>
      <c r="V15" s="3148"/>
      <c r="W15" s="3148"/>
      <c r="X15" s="3148"/>
      <c r="Y15" s="3148"/>
      <c r="Z15" s="3148"/>
      <c r="AA15" s="3148"/>
      <c r="AB15" s="3148">
        <v>66</v>
      </c>
      <c r="AC15" s="3148">
        <v>77</v>
      </c>
      <c r="AD15" s="3149"/>
      <c r="AE15" s="3149"/>
      <c r="AF15" s="3149"/>
      <c r="AG15" s="3149">
        <v>151</v>
      </c>
      <c r="AH15" s="3150"/>
      <c r="AI15" s="3146">
        <f t="shared" si="0"/>
        <v>294</v>
      </c>
      <c r="AJ15" s="3147">
        <f t="shared" si="1"/>
        <v>117.60000000000001</v>
      </c>
      <c r="AK15" s="3165" t="s">
        <v>52</v>
      </c>
      <c r="AL15" s="2645"/>
      <c r="AM15" s="2646">
        <f t="shared" si="2"/>
        <v>0</v>
      </c>
      <c r="AT15" s="2633">
        <f>+AI15+[10]Mủ!AI16</f>
        <v>1529</v>
      </c>
      <c r="AX15" s="2942">
        <f>SUM(AI12:AI16)</f>
        <v>1383</v>
      </c>
      <c r="AZ15" s="2633">
        <v>1005.9041770900843</v>
      </c>
    </row>
    <row r="16" spans="1:52" ht="33.75" customHeight="1">
      <c r="A16" s="2644">
        <v>56</v>
      </c>
      <c r="B16" s="2644">
        <v>5</v>
      </c>
      <c r="C16" s="2651" t="str">
        <f>'Chấm công công nhân'!L69</f>
        <v>Nàng Binh</v>
      </c>
      <c r="D16" s="3148"/>
      <c r="E16" s="3148"/>
      <c r="F16" s="3148"/>
      <c r="G16" s="3148"/>
      <c r="H16" s="3148"/>
      <c r="I16" s="3148"/>
      <c r="J16" s="3148"/>
      <c r="K16" s="3148"/>
      <c r="L16" s="3148"/>
      <c r="M16" s="3148"/>
      <c r="N16" s="3148"/>
      <c r="O16" s="3148"/>
      <c r="P16" s="3148"/>
      <c r="Q16" s="3148"/>
      <c r="R16" s="3148"/>
      <c r="S16" s="3148"/>
      <c r="T16" s="3148"/>
      <c r="U16" s="3148"/>
      <c r="V16" s="3148"/>
      <c r="W16" s="3148"/>
      <c r="X16" s="3148"/>
      <c r="Y16" s="3148"/>
      <c r="Z16" s="3148"/>
      <c r="AA16" s="3148"/>
      <c r="AB16" s="3148">
        <v>64</v>
      </c>
      <c r="AC16" s="3148">
        <v>78</v>
      </c>
      <c r="AD16" s="3149"/>
      <c r="AE16" s="3149"/>
      <c r="AF16" s="3149"/>
      <c r="AG16" s="3149">
        <v>149</v>
      </c>
      <c r="AH16" s="3150"/>
      <c r="AI16" s="3146">
        <f t="shared" si="0"/>
        <v>291</v>
      </c>
      <c r="AJ16" s="3147">
        <f t="shared" si="1"/>
        <v>116.4</v>
      </c>
      <c r="AK16" s="3165" t="s">
        <v>92</v>
      </c>
      <c r="AL16" s="2645"/>
      <c r="AM16" s="2646">
        <f t="shared" si="2"/>
        <v>0</v>
      </c>
      <c r="AT16" s="2633">
        <f>+AI16+[10]Mủ!AI17</f>
        <v>1522</v>
      </c>
      <c r="AX16" s="2633">
        <f>SUM(AJ12:AJ16)</f>
        <v>553.20000000000005</v>
      </c>
      <c r="AY16" s="2633">
        <f>AX16/AX15*100</f>
        <v>40</v>
      </c>
      <c r="AZ16" s="2633">
        <v>851.41377446532726</v>
      </c>
    </row>
    <row r="17" spans="1:51" ht="33.75" customHeight="1">
      <c r="A17" s="2644">
        <v>57</v>
      </c>
      <c r="B17" s="2644">
        <v>6</v>
      </c>
      <c r="C17" s="2651">
        <f>'Chấm công công nhân'!L70</f>
        <v>0</v>
      </c>
      <c r="D17" s="3148"/>
      <c r="E17" s="3148"/>
      <c r="F17" s="3148"/>
      <c r="G17" s="3148"/>
      <c r="H17" s="3148"/>
      <c r="I17" s="3148"/>
      <c r="J17" s="3148"/>
      <c r="K17" s="3148"/>
      <c r="L17" s="3148"/>
      <c r="M17" s="3148"/>
      <c r="N17" s="3148"/>
      <c r="O17" s="3148"/>
      <c r="P17" s="3148"/>
      <c r="Q17" s="3148"/>
      <c r="R17" s="3148"/>
      <c r="S17" s="3148"/>
      <c r="T17" s="3148"/>
      <c r="U17" s="3148"/>
      <c r="V17" s="3148"/>
      <c r="W17" s="3148"/>
      <c r="X17" s="3148"/>
      <c r="Y17" s="3148"/>
      <c r="Z17" s="3148"/>
      <c r="AA17" s="3148"/>
      <c r="AB17" s="3148">
        <v>92</v>
      </c>
      <c r="AC17" s="3148">
        <v>170</v>
      </c>
      <c r="AD17" s="3149"/>
      <c r="AE17" s="3149"/>
      <c r="AF17" s="3149"/>
      <c r="AG17" s="3149">
        <v>0</v>
      </c>
      <c r="AH17" s="3150"/>
      <c r="AI17" s="3146">
        <f t="shared" si="0"/>
        <v>262</v>
      </c>
      <c r="AJ17" s="3147">
        <f t="shared" si="1"/>
        <v>104.80000000000001</v>
      </c>
      <c r="AK17" s="3165" t="s">
        <v>92</v>
      </c>
      <c r="AL17" s="2645"/>
      <c r="AM17" s="2646">
        <f t="shared" si="2"/>
        <v>0</v>
      </c>
      <c r="AT17" s="2633">
        <f>+AI17+[10]Mủ!AI18</f>
        <v>1035</v>
      </c>
      <c r="AX17" s="2945">
        <f>AX16-523</f>
        <v>30.200000000000045</v>
      </c>
      <c r="AY17" s="2633">
        <f>AX17/AX15*100</f>
        <v>2.1836587129428811</v>
      </c>
    </row>
    <row r="18" spans="1:51" ht="33.75" customHeight="1">
      <c r="A18" s="2644">
        <v>58</v>
      </c>
      <c r="B18" s="2644">
        <v>7</v>
      </c>
      <c r="C18" s="2651" t="str">
        <f>'Chấm công công nhân'!L71</f>
        <v>Thảo Bun</v>
      </c>
      <c r="D18" s="3148"/>
      <c r="E18" s="3148"/>
      <c r="F18" s="3148"/>
      <c r="G18" s="3148"/>
      <c r="H18" s="3148"/>
      <c r="I18" s="3148"/>
      <c r="J18" s="3148"/>
      <c r="K18" s="3148"/>
      <c r="L18" s="3148"/>
      <c r="M18" s="3148"/>
      <c r="N18" s="3148"/>
      <c r="O18" s="3148"/>
      <c r="P18" s="3148"/>
      <c r="Q18" s="3148"/>
      <c r="R18" s="3148"/>
      <c r="S18" s="3148"/>
      <c r="T18" s="3148"/>
      <c r="U18" s="3148"/>
      <c r="V18" s="3148"/>
      <c r="W18" s="3148"/>
      <c r="X18" s="3148"/>
      <c r="Y18" s="3148"/>
      <c r="Z18" s="3148"/>
      <c r="AA18" s="3148"/>
      <c r="AB18" s="3148">
        <v>112</v>
      </c>
      <c r="AC18" s="3148">
        <v>165</v>
      </c>
      <c r="AD18" s="3149"/>
      <c r="AE18" s="3149"/>
      <c r="AF18" s="3149"/>
      <c r="AG18" s="3149">
        <v>0</v>
      </c>
      <c r="AH18" s="3150"/>
      <c r="AI18" s="3146">
        <f t="shared" si="0"/>
        <v>277</v>
      </c>
      <c r="AJ18" s="3147">
        <f t="shared" si="1"/>
        <v>110.80000000000001</v>
      </c>
      <c r="AK18" s="3165" t="s">
        <v>52</v>
      </c>
      <c r="AL18" s="2645"/>
      <c r="AM18" s="2646">
        <f t="shared" si="2"/>
        <v>0</v>
      </c>
      <c r="AT18" s="2633">
        <f>+AI18+[10]Mủ!AI19</f>
        <v>1026</v>
      </c>
      <c r="AY18" s="2633">
        <v>43.712734153967482</v>
      </c>
    </row>
    <row r="19" spans="1:51" ht="33.75" customHeight="1">
      <c r="A19" s="2644">
        <v>59</v>
      </c>
      <c r="B19" s="2644">
        <v>8</v>
      </c>
      <c r="C19" s="2651" t="str">
        <f>'Chấm công công nhân'!L72</f>
        <v>Thảo Nga</v>
      </c>
      <c r="D19" s="3148"/>
      <c r="E19" s="3148"/>
      <c r="F19" s="3148"/>
      <c r="G19" s="3148"/>
      <c r="H19" s="3148"/>
      <c r="I19" s="3148"/>
      <c r="J19" s="3148"/>
      <c r="K19" s="3148"/>
      <c r="L19" s="3148"/>
      <c r="M19" s="3148"/>
      <c r="N19" s="3148"/>
      <c r="O19" s="3148"/>
      <c r="P19" s="3148"/>
      <c r="Q19" s="3148"/>
      <c r="R19" s="3148"/>
      <c r="S19" s="3148"/>
      <c r="T19" s="3148"/>
      <c r="U19" s="3148"/>
      <c r="V19" s="3148"/>
      <c r="W19" s="3148"/>
      <c r="X19" s="3148"/>
      <c r="Y19" s="3148"/>
      <c r="Z19" s="3148"/>
      <c r="AA19" s="3148"/>
      <c r="AB19" s="3148">
        <v>0</v>
      </c>
      <c r="AC19" s="3148">
        <v>0</v>
      </c>
      <c r="AD19" s="3149"/>
      <c r="AE19" s="3149"/>
      <c r="AF19" s="3149"/>
      <c r="AG19" s="3149">
        <v>0</v>
      </c>
      <c r="AH19" s="3150"/>
      <c r="AI19" s="3146">
        <f t="shared" si="0"/>
        <v>0</v>
      </c>
      <c r="AJ19" s="3147">
        <f t="shared" si="1"/>
        <v>0</v>
      </c>
      <c r="AK19" s="3165" t="s">
        <v>92</v>
      </c>
      <c r="AL19" s="2645"/>
      <c r="AM19" s="2646">
        <f t="shared" si="2"/>
        <v>0</v>
      </c>
    </row>
    <row r="20" spans="1:51" ht="33.75" customHeight="1">
      <c r="A20" s="2644">
        <v>60</v>
      </c>
      <c r="B20" s="2644">
        <v>9</v>
      </c>
      <c r="C20" s="2651" t="str">
        <f>'Chấm công công nhân'!L73</f>
        <v>Thảo Tia</v>
      </c>
      <c r="D20" s="3148"/>
      <c r="E20" s="3148"/>
      <c r="F20" s="3148"/>
      <c r="G20" s="3148"/>
      <c r="H20" s="3148"/>
      <c r="I20" s="3148"/>
      <c r="J20" s="3148"/>
      <c r="K20" s="3148"/>
      <c r="L20" s="3148"/>
      <c r="M20" s="3148"/>
      <c r="N20" s="3148"/>
      <c r="O20" s="3148"/>
      <c r="P20" s="3148"/>
      <c r="Q20" s="3148"/>
      <c r="R20" s="3148"/>
      <c r="S20" s="3148"/>
      <c r="T20" s="3148"/>
      <c r="U20" s="3148"/>
      <c r="V20" s="3148"/>
      <c r="W20" s="3148"/>
      <c r="X20" s="3148"/>
      <c r="Y20" s="3148"/>
      <c r="Z20" s="3148"/>
      <c r="AA20" s="3148"/>
      <c r="AB20" s="3148">
        <v>0</v>
      </c>
      <c r="AC20" s="3148">
        <v>0</v>
      </c>
      <c r="AD20" s="3149"/>
      <c r="AE20" s="3149"/>
      <c r="AF20" s="3149"/>
      <c r="AG20" s="3149">
        <v>0</v>
      </c>
      <c r="AH20" s="3150"/>
      <c r="AI20" s="3146">
        <f t="shared" si="0"/>
        <v>0</v>
      </c>
      <c r="AJ20" s="3147">
        <f t="shared" si="1"/>
        <v>0</v>
      </c>
      <c r="AK20" s="3165" t="s">
        <v>52</v>
      </c>
      <c r="AL20" s="2645"/>
      <c r="AM20" s="2646">
        <f t="shared" si="2"/>
        <v>0</v>
      </c>
    </row>
    <row r="21" spans="1:51" ht="33.75" customHeight="1">
      <c r="A21" s="2644">
        <v>61</v>
      </c>
      <c r="B21" s="2644">
        <v>10</v>
      </c>
      <c r="C21" s="2651" t="str">
        <f>'Chấm công công nhân'!L74</f>
        <v>Thảo Nuy</v>
      </c>
      <c r="D21" s="3148"/>
      <c r="E21" s="3148"/>
      <c r="F21" s="3148"/>
      <c r="G21" s="3148"/>
      <c r="H21" s="3148"/>
      <c r="I21" s="3148"/>
      <c r="J21" s="3148"/>
      <c r="K21" s="3148"/>
      <c r="L21" s="3148"/>
      <c r="M21" s="3148"/>
      <c r="N21" s="3148"/>
      <c r="O21" s="3148"/>
      <c r="P21" s="3148"/>
      <c r="Q21" s="3148"/>
      <c r="R21" s="3148"/>
      <c r="S21" s="3148"/>
      <c r="T21" s="3148"/>
      <c r="U21" s="3148"/>
      <c r="V21" s="3148"/>
      <c r="W21" s="3148"/>
      <c r="X21" s="3148"/>
      <c r="Y21" s="3148"/>
      <c r="Z21" s="3148"/>
      <c r="AA21" s="3148"/>
      <c r="AB21" s="3148">
        <v>0</v>
      </c>
      <c r="AC21" s="3148">
        <v>0</v>
      </c>
      <c r="AD21" s="3149"/>
      <c r="AE21" s="3149"/>
      <c r="AF21" s="3149"/>
      <c r="AG21" s="3149">
        <v>0</v>
      </c>
      <c r="AH21" s="3150"/>
      <c r="AI21" s="3146">
        <f t="shared" si="0"/>
        <v>0</v>
      </c>
      <c r="AJ21" s="3147">
        <f t="shared" si="1"/>
        <v>0</v>
      </c>
      <c r="AK21" s="3165" t="s">
        <v>92</v>
      </c>
      <c r="AL21" s="2645"/>
      <c r="AM21" s="2646">
        <f t="shared" si="2"/>
        <v>0</v>
      </c>
    </row>
    <row r="22" spans="1:51" ht="33.75" customHeight="1">
      <c r="A22" s="2644">
        <v>62</v>
      </c>
      <c r="B22" s="2644">
        <v>11</v>
      </c>
      <c r="C22" s="2651" t="str">
        <f>'Chấm công công nhân'!L75</f>
        <v>Thảo Xay</v>
      </c>
      <c r="D22" s="3148"/>
      <c r="E22" s="3148"/>
      <c r="F22" s="3148"/>
      <c r="G22" s="3148"/>
      <c r="H22" s="3148"/>
      <c r="I22" s="3148"/>
      <c r="J22" s="3148"/>
      <c r="K22" s="3148"/>
      <c r="L22" s="3148"/>
      <c r="M22" s="3148"/>
      <c r="N22" s="3148"/>
      <c r="O22" s="3148"/>
      <c r="P22" s="3148"/>
      <c r="Q22" s="3148"/>
      <c r="R22" s="3148"/>
      <c r="S22" s="3148"/>
      <c r="T22" s="3148"/>
      <c r="U22" s="3148"/>
      <c r="V22" s="3148"/>
      <c r="W22" s="3148"/>
      <c r="X22" s="3148"/>
      <c r="Y22" s="3148"/>
      <c r="Z22" s="3148"/>
      <c r="AA22" s="3148"/>
      <c r="AB22" s="3148">
        <v>0</v>
      </c>
      <c r="AC22" s="3148">
        <v>109</v>
      </c>
      <c r="AD22" s="3149"/>
      <c r="AE22" s="3149"/>
      <c r="AF22" s="3149"/>
      <c r="AG22" s="3149">
        <v>0</v>
      </c>
      <c r="AH22" s="3150"/>
      <c r="AI22" s="3146">
        <f t="shared" si="0"/>
        <v>109</v>
      </c>
      <c r="AJ22" s="3147">
        <f t="shared" si="1"/>
        <v>43.6</v>
      </c>
      <c r="AK22" s="3165" t="s">
        <v>92</v>
      </c>
      <c r="AL22" s="2645"/>
      <c r="AM22" s="2646">
        <f t="shared" si="2"/>
        <v>0</v>
      </c>
    </row>
    <row r="23" spans="1:51" ht="33.75" customHeight="1">
      <c r="A23" s="2644">
        <v>63</v>
      </c>
      <c r="B23" s="2644">
        <v>12</v>
      </c>
      <c r="C23" s="2651" t="str">
        <f>'Chấm công công nhân'!L76</f>
        <v>Nàng Nọi</v>
      </c>
      <c r="D23" s="3148"/>
      <c r="E23" s="3148"/>
      <c r="F23" s="3148"/>
      <c r="G23" s="3148"/>
      <c r="H23" s="3148"/>
      <c r="I23" s="3148"/>
      <c r="J23" s="3148"/>
      <c r="K23" s="3148"/>
      <c r="L23" s="3148"/>
      <c r="M23" s="3148"/>
      <c r="N23" s="3148"/>
      <c r="O23" s="3148"/>
      <c r="P23" s="3148"/>
      <c r="Q23" s="3148"/>
      <c r="R23" s="3148"/>
      <c r="S23" s="3148"/>
      <c r="T23" s="3148"/>
      <c r="U23" s="3148"/>
      <c r="V23" s="3148"/>
      <c r="W23" s="3148"/>
      <c r="X23" s="3148"/>
      <c r="Y23" s="3148"/>
      <c r="Z23" s="3148"/>
      <c r="AA23" s="3148"/>
      <c r="AB23" s="3148">
        <v>135</v>
      </c>
      <c r="AC23" s="3148">
        <v>193</v>
      </c>
      <c r="AD23" s="3149"/>
      <c r="AE23" s="3149"/>
      <c r="AF23" s="3149"/>
      <c r="AG23" s="3149">
        <v>0</v>
      </c>
      <c r="AH23" s="3150"/>
      <c r="AI23" s="3146">
        <f t="shared" si="0"/>
        <v>328</v>
      </c>
      <c r="AJ23" s="3147">
        <f t="shared" si="1"/>
        <v>131.20000000000002</v>
      </c>
      <c r="AK23" s="3165" t="s">
        <v>52</v>
      </c>
      <c r="AL23" s="2645"/>
      <c r="AM23" s="2646">
        <f t="shared" si="2"/>
        <v>0</v>
      </c>
    </row>
    <row r="24" spans="1:51" ht="33.75" customHeight="1">
      <c r="A24" s="2644">
        <v>64</v>
      </c>
      <c r="B24" s="2644">
        <v>13</v>
      </c>
      <c r="C24" s="2651" t="str">
        <f>'Chấm công công nhân'!L77</f>
        <v>Thảo Khon</v>
      </c>
      <c r="D24" s="3146"/>
      <c r="E24" s="3146"/>
      <c r="F24" s="3146"/>
      <c r="G24" s="3146"/>
      <c r="H24" s="3146"/>
      <c r="I24" s="3150"/>
      <c r="J24" s="3150"/>
      <c r="K24" s="3150"/>
      <c r="L24" s="3150"/>
      <c r="M24" s="3146"/>
      <c r="N24" s="3150"/>
      <c r="O24" s="3150"/>
      <c r="P24" s="3150"/>
      <c r="Q24" s="3150"/>
      <c r="R24" s="3150"/>
      <c r="S24" s="3150"/>
      <c r="T24" s="3146"/>
      <c r="U24" s="3150"/>
      <c r="V24" s="3150"/>
      <c r="W24" s="3150"/>
      <c r="X24" s="3150"/>
      <c r="Y24" s="3150"/>
      <c r="Z24" s="3150"/>
      <c r="AA24" s="3151"/>
      <c r="AB24" s="3150">
        <v>0</v>
      </c>
      <c r="AC24" s="3150">
        <v>74</v>
      </c>
      <c r="AD24" s="3149"/>
      <c r="AE24" s="3149"/>
      <c r="AF24" s="3149"/>
      <c r="AG24" s="3149">
        <v>152</v>
      </c>
      <c r="AH24" s="3150"/>
      <c r="AI24" s="3146">
        <f t="shared" si="0"/>
        <v>226</v>
      </c>
      <c r="AJ24" s="3147">
        <f t="shared" si="1"/>
        <v>90.4</v>
      </c>
      <c r="AK24" s="3165" t="s">
        <v>52</v>
      </c>
      <c r="AL24" s="2645"/>
      <c r="AM24" s="2646">
        <f t="shared" si="2"/>
        <v>0</v>
      </c>
    </row>
    <row r="25" spans="1:51" ht="33.75" customHeight="1">
      <c r="A25" s="2644">
        <v>65</v>
      </c>
      <c r="B25" s="2644">
        <v>14</v>
      </c>
      <c r="C25" s="2651" t="str">
        <f>'Chấm công công nhân'!L78</f>
        <v>Thảo Tưng</v>
      </c>
      <c r="D25" s="3146"/>
      <c r="E25" s="3146"/>
      <c r="F25" s="3146"/>
      <c r="G25" s="3146"/>
      <c r="H25" s="3146"/>
      <c r="I25" s="3150"/>
      <c r="J25" s="3150"/>
      <c r="K25" s="3150"/>
      <c r="L25" s="3150"/>
      <c r="M25" s="3146"/>
      <c r="N25" s="3150"/>
      <c r="O25" s="3150"/>
      <c r="P25" s="3150"/>
      <c r="Q25" s="3150"/>
      <c r="R25" s="3150"/>
      <c r="S25" s="3150"/>
      <c r="T25" s="3146"/>
      <c r="U25" s="3150"/>
      <c r="V25" s="3150"/>
      <c r="W25" s="3150"/>
      <c r="X25" s="3150"/>
      <c r="Y25" s="3150"/>
      <c r="Z25" s="3150"/>
      <c r="AA25" s="3151"/>
      <c r="AB25" s="3150">
        <v>0</v>
      </c>
      <c r="AC25" s="3150">
        <v>0</v>
      </c>
      <c r="AD25" s="3149"/>
      <c r="AE25" s="3149"/>
      <c r="AF25" s="3149"/>
      <c r="AG25" s="3149">
        <v>150</v>
      </c>
      <c r="AH25" s="3150"/>
      <c r="AI25" s="3146">
        <f t="shared" si="0"/>
        <v>150</v>
      </c>
      <c r="AJ25" s="3147">
        <f t="shared" si="1"/>
        <v>60</v>
      </c>
      <c r="AK25" s="3165" t="s">
        <v>92</v>
      </c>
      <c r="AL25" s="2645"/>
      <c r="AM25" s="2646">
        <f t="shared" si="2"/>
        <v>0</v>
      </c>
    </row>
    <row r="26" spans="1:51" ht="24.75" hidden="1" customHeight="1">
      <c r="A26" s="2644">
        <v>62</v>
      </c>
      <c r="B26" s="2644">
        <v>15</v>
      </c>
      <c r="C26" s="2651" t="str">
        <f>'Chấm công công nhân'!L79</f>
        <v>Thảo Bắt</v>
      </c>
      <c r="D26" s="3147"/>
      <c r="E26" s="3147"/>
      <c r="F26" s="3147"/>
      <c r="G26" s="3147"/>
      <c r="H26" s="3147"/>
      <c r="I26" s="3152"/>
      <c r="J26" s="3152"/>
      <c r="K26" s="3152"/>
      <c r="L26" s="3152"/>
      <c r="M26" s="3147"/>
      <c r="N26" s="3152"/>
      <c r="O26" s="3152"/>
      <c r="P26" s="3152"/>
      <c r="Q26" s="3152"/>
      <c r="R26" s="3152"/>
      <c r="S26" s="3152"/>
      <c r="T26" s="3147"/>
      <c r="U26" s="3152"/>
      <c r="V26" s="3152"/>
      <c r="W26" s="3152"/>
      <c r="X26" s="3152"/>
      <c r="Y26" s="3152"/>
      <c r="Z26" s="3152"/>
      <c r="AA26" s="3153"/>
      <c r="AB26" s="3152">
        <v>0</v>
      </c>
      <c r="AC26" s="3152">
        <v>0</v>
      </c>
      <c r="AD26" s="3154"/>
      <c r="AE26" s="3154"/>
      <c r="AF26" s="3154"/>
      <c r="AG26" s="3154">
        <v>0</v>
      </c>
      <c r="AH26" s="3152"/>
      <c r="AI26" s="3146"/>
      <c r="AJ26" s="3147">
        <f t="shared" si="1"/>
        <v>0</v>
      </c>
      <c r="AK26" s="2645" t="s">
        <v>52</v>
      </c>
      <c r="AL26" s="2645"/>
      <c r="AM26" s="2646">
        <f t="shared" si="2"/>
        <v>0</v>
      </c>
    </row>
    <row r="27" spans="1:51" s="3157" customFormat="1" ht="34.5" customHeight="1">
      <c r="A27" s="3972" t="s">
        <v>807</v>
      </c>
      <c r="B27" s="3973"/>
      <c r="C27" s="3974"/>
      <c r="D27" s="3155">
        <f>SUM(D12:D26)</f>
        <v>0</v>
      </c>
      <c r="E27" s="3155">
        <f t="shared" ref="E27:AJ27" si="3">SUM(E12:E26)</f>
        <v>0</v>
      </c>
      <c r="F27" s="3155">
        <f t="shared" si="3"/>
        <v>0</v>
      </c>
      <c r="G27" s="3155">
        <f t="shared" si="3"/>
        <v>0</v>
      </c>
      <c r="H27" s="3155">
        <f t="shared" si="3"/>
        <v>0</v>
      </c>
      <c r="I27" s="3155">
        <f t="shared" si="3"/>
        <v>0</v>
      </c>
      <c r="J27" s="3155">
        <f t="shared" si="3"/>
        <v>0</v>
      </c>
      <c r="K27" s="3155">
        <f t="shared" si="3"/>
        <v>0</v>
      </c>
      <c r="L27" s="3155">
        <f t="shared" si="3"/>
        <v>0</v>
      </c>
      <c r="M27" s="3155">
        <f t="shared" si="3"/>
        <v>0</v>
      </c>
      <c r="N27" s="3155">
        <f t="shared" si="3"/>
        <v>0</v>
      </c>
      <c r="O27" s="3155">
        <f t="shared" si="3"/>
        <v>0</v>
      </c>
      <c r="P27" s="3155">
        <f t="shared" si="3"/>
        <v>0</v>
      </c>
      <c r="Q27" s="3155">
        <f t="shared" si="3"/>
        <v>0</v>
      </c>
      <c r="R27" s="3155">
        <f t="shared" si="3"/>
        <v>0</v>
      </c>
      <c r="S27" s="3155">
        <f t="shared" si="3"/>
        <v>0</v>
      </c>
      <c r="T27" s="3155">
        <f t="shared" si="3"/>
        <v>0</v>
      </c>
      <c r="U27" s="3155">
        <f t="shared" si="3"/>
        <v>0</v>
      </c>
      <c r="V27" s="3155">
        <f t="shared" si="3"/>
        <v>0</v>
      </c>
      <c r="W27" s="3155">
        <f t="shared" si="3"/>
        <v>0</v>
      </c>
      <c r="X27" s="3155">
        <f t="shared" si="3"/>
        <v>0</v>
      </c>
      <c r="Y27" s="3155">
        <f t="shared" si="3"/>
        <v>0</v>
      </c>
      <c r="Z27" s="3155">
        <f t="shared" si="3"/>
        <v>0</v>
      </c>
      <c r="AA27" s="3155">
        <f t="shared" si="3"/>
        <v>0</v>
      </c>
      <c r="AB27" s="3155">
        <f t="shared" si="3"/>
        <v>783</v>
      </c>
      <c r="AC27" s="3155">
        <f t="shared" si="3"/>
        <v>1259</v>
      </c>
      <c r="AD27" s="3155">
        <f t="shared" si="3"/>
        <v>0</v>
      </c>
      <c r="AE27" s="3155">
        <f t="shared" si="3"/>
        <v>0</v>
      </c>
      <c r="AF27" s="3155">
        <f t="shared" si="3"/>
        <v>0</v>
      </c>
      <c r="AG27" s="3155">
        <f t="shared" si="3"/>
        <v>693</v>
      </c>
      <c r="AH27" s="3155">
        <f t="shared" si="3"/>
        <v>0</v>
      </c>
      <c r="AI27" s="3155">
        <f t="shared" si="3"/>
        <v>2735</v>
      </c>
      <c r="AJ27" s="3155">
        <f t="shared" si="3"/>
        <v>1094</v>
      </c>
      <c r="AK27" s="3156"/>
      <c r="AL27" s="3156"/>
    </row>
    <row r="28" spans="1:51">
      <c r="A28" s="2654"/>
      <c r="B28" s="2655"/>
      <c r="C28" s="2655"/>
      <c r="D28" s="2656"/>
      <c r="E28" s="2656"/>
      <c r="F28" s="2657"/>
      <c r="G28" s="2656"/>
      <c r="H28" s="2656"/>
      <c r="I28" s="2656"/>
      <c r="J28" s="2658"/>
      <c r="K28" s="2658"/>
      <c r="L28" s="2658"/>
      <c r="M28" s="2658"/>
      <c r="N28" s="2658"/>
      <c r="O28" s="2658"/>
      <c r="P28" s="2658"/>
      <c r="Q28" s="2658"/>
      <c r="R28" s="2658"/>
      <c r="S28" s="2658"/>
      <c r="T28" s="2658"/>
      <c r="U28" s="2658"/>
      <c r="V28" s="2658"/>
      <c r="W28" s="2658"/>
      <c r="X28" s="2658"/>
      <c r="Y28" s="2658"/>
      <c r="Z28" s="2658"/>
      <c r="AA28" s="2658"/>
      <c r="AB28" s="2658"/>
      <c r="AC28" s="2658"/>
      <c r="AK28" s="2659"/>
      <c r="AL28" s="2659"/>
    </row>
    <row r="29" spans="1:51" s="2636" customFormat="1" ht="24" customHeight="1">
      <c r="A29" s="3969" t="s">
        <v>1</v>
      </c>
      <c r="B29" s="3970"/>
      <c r="C29" s="3971"/>
      <c r="D29" s="3967" t="s">
        <v>544</v>
      </c>
      <c r="E29" s="3967"/>
      <c r="F29" s="3967"/>
      <c r="G29" s="3967" t="s">
        <v>1146</v>
      </c>
      <c r="H29" s="3967"/>
      <c r="I29" s="3967"/>
      <c r="J29" s="3967" t="s">
        <v>1147</v>
      </c>
      <c r="K29" s="3967"/>
      <c r="L29" s="3967"/>
      <c r="M29" s="3967"/>
      <c r="N29" s="3967"/>
      <c r="O29" s="3967"/>
      <c r="P29" s="3967" t="s">
        <v>1308</v>
      </c>
      <c r="Q29" s="3967"/>
      <c r="R29" s="3967"/>
      <c r="S29" s="3967"/>
      <c r="T29" s="3967"/>
      <c r="U29" s="3967"/>
      <c r="V29" s="3967"/>
      <c r="W29" s="2660"/>
      <c r="X29" s="2660"/>
      <c r="Y29" s="2660"/>
      <c r="Z29" s="2660"/>
      <c r="AA29" s="2660"/>
      <c r="AB29" s="2660"/>
      <c r="AC29" s="2660"/>
      <c r="AD29" s="2660"/>
      <c r="AE29" s="2660"/>
      <c r="AF29" s="2660"/>
      <c r="AG29" s="2660"/>
      <c r="AI29" s="3158"/>
      <c r="AJ29" s="3141"/>
    </row>
    <row r="30" spans="1:51" ht="24" customHeight="1">
      <c r="A30" s="3984">
        <v>1</v>
      </c>
      <c r="B30" s="3985"/>
      <c r="C30" s="3986"/>
      <c r="D30" s="3987"/>
      <c r="E30" s="3987"/>
      <c r="F30" s="3987"/>
      <c r="G30" s="3987" t="s">
        <v>52</v>
      </c>
      <c r="H30" s="3987"/>
      <c r="I30" s="3987"/>
      <c r="J30" s="3988">
        <f>SUMIF($AK$12:$AK$26,"A",$AI$12:$AI$26)</f>
        <v>1498</v>
      </c>
      <c r="K30" s="3988"/>
      <c r="L30" s="3988"/>
      <c r="M30" s="3988"/>
      <c r="N30" s="3988"/>
      <c r="O30" s="3988"/>
      <c r="P30" s="3988">
        <f>SUMIF($AK$12:$AK$26,"A",$AJ$12:$AJ$26)</f>
        <v>599.20000000000005</v>
      </c>
      <c r="Q30" s="3988"/>
      <c r="R30" s="3988"/>
      <c r="S30" s="3988"/>
      <c r="T30" s="3988"/>
      <c r="U30" s="3988"/>
      <c r="V30" s="3988"/>
    </row>
    <row r="31" spans="1:51" ht="24" customHeight="1">
      <c r="A31" s="3984">
        <v>2</v>
      </c>
      <c r="B31" s="3985"/>
      <c r="C31" s="3986"/>
      <c r="D31" s="3987"/>
      <c r="E31" s="3987"/>
      <c r="F31" s="3987"/>
      <c r="G31" s="3987" t="s">
        <v>92</v>
      </c>
      <c r="H31" s="3987"/>
      <c r="I31" s="3987"/>
      <c r="J31" s="3988">
        <f>SUMIF($AK$12:$AK$26,"B",$AI$12:$AI$26)</f>
        <v>1237</v>
      </c>
      <c r="K31" s="3988"/>
      <c r="L31" s="3988"/>
      <c r="M31" s="3988"/>
      <c r="N31" s="3988"/>
      <c r="O31" s="3988"/>
      <c r="P31" s="3988">
        <f>SUMIF($AK$12:$AK$26,"B",$AJ$12:$AJ$26)</f>
        <v>494.8</v>
      </c>
      <c r="Q31" s="3988"/>
      <c r="R31" s="3988"/>
      <c r="S31" s="3988"/>
      <c r="T31" s="3988"/>
      <c r="U31" s="3988"/>
      <c r="V31" s="3988"/>
      <c r="AB31" s="2932"/>
      <c r="AP31" s="3159">
        <f>97677*43.16</f>
        <v>4215739.3199999994</v>
      </c>
    </row>
    <row r="32" spans="1:51" ht="24" customHeight="1">
      <c r="A32" s="3984">
        <v>3</v>
      </c>
      <c r="B32" s="3985"/>
      <c r="C32" s="3986"/>
      <c r="D32" s="3987"/>
      <c r="E32" s="3987"/>
      <c r="F32" s="3987"/>
      <c r="G32" s="3987" t="s">
        <v>53</v>
      </c>
      <c r="H32" s="3987"/>
      <c r="I32" s="3987"/>
      <c r="J32" s="3988">
        <f>SUMIF($AK$12:$AK$26,"C",$AI$12:$AI$26)</f>
        <v>0</v>
      </c>
      <c r="K32" s="3988"/>
      <c r="L32" s="3988"/>
      <c r="M32" s="3988"/>
      <c r="N32" s="3988"/>
      <c r="O32" s="3988"/>
      <c r="P32" s="3988">
        <f>SUMIF($AK$12:$AK$26,"C",$AJ$12:$AJ$26)</f>
        <v>0</v>
      </c>
      <c r="Q32" s="3988"/>
      <c r="R32" s="3988"/>
      <c r="S32" s="3988"/>
      <c r="T32" s="3988"/>
      <c r="U32" s="3988"/>
      <c r="V32" s="3988"/>
    </row>
    <row r="33" spans="1:40" ht="24" hidden="1" customHeight="1">
      <c r="A33" s="3984">
        <v>4</v>
      </c>
      <c r="B33" s="3985"/>
      <c r="C33" s="3986"/>
      <c r="D33" s="3987">
        <f>SUM(COUNTIF(AK12:AK21,"D"))</f>
        <v>0</v>
      </c>
      <c r="E33" s="3987"/>
      <c r="F33" s="3987"/>
      <c r="G33" s="3987" t="s">
        <v>93</v>
      </c>
      <c r="H33" s="3987"/>
      <c r="I33" s="3987"/>
      <c r="J33" s="3988">
        <f>SUMIF($AK$12:$AK$18,"D",$AI$12:$AI$18)</f>
        <v>0</v>
      </c>
      <c r="K33" s="3988"/>
      <c r="L33" s="3988"/>
      <c r="M33" s="3988"/>
      <c r="N33" s="3988"/>
      <c r="O33" s="3988"/>
      <c r="P33" s="3988">
        <f>SUMIF($AK$12:$AK$18,"D",$AJ$12:$AJ$18)</f>
        <v>0</v>
      </c>
      <c r="Q33" s="3988"/>
      <c r="R33" s="3988"/>
      <c r="S33" s="3988"/>
      <c r="T33" s="3988"/>
      <c r="U33" s="3988"/>
      <c r="V33" s="3988"/>
    </row>
    <row r="34" spans="1:40" s="2643" customFormat="1" ht="24" customHeight="1">
      <c r="A34" s="3969" t="s">
        <v>187</v>
      </c>
      <c r="B34" s="3970"/>
      <c r="C34" s="3971"/>
      <c r="D34" s="3967">
        <f>SUM(D30:F33)</f>
        <v>0</v>
      </c>
      <c r="E34" s="3967"/>
      <c r="F34" s="3967"/>
      <c r="G34" s="3967"/>
      <c r="H34" s="3967"/>
      <c r="I34" s="3967"/>
      <c r="J34" s="3989">
        <f>SUM(J30:O33)</f>
        <v>2735</v>
      </c>
      <c r="K34" s="3989"/>
      <c r="L34" s="3989"/>
      <c r="M34" s="3989"/>
      <c r="N34" s="3989"/>
      <c r="O34" s="3989"/>
      <c r="P34" s="3989">
        <f>SUM(P30:V33)</f>
        <v>1094</v>
      </c>
      <c r="Q34" s="3989"/>
      <c r="R34" s="3989"/>
      <c r="S34" s="3989"/>
      <c r="T34" s="3989"/>
      <c r="U34" s="3989"/>
      <c r="V34" s="3989"/>
      <c r="W34" s="2661"/>
      <c r="X34" s="2661"/>
      <c r="Y34" s="2661"/>
      <c r="Z34" s="2661"/>
      <c r="AA34" s="2661"/>
      <c r="AB34" s="2661"/>
      <c r="AC34" s="2661"/>
      <c r="AD34" s="2661"/>
      <c r="AE34" s="2661"/>
      <c r="AF34" s="2661"/>
      <c r="AG34" s="2661"/>
      <c r="AI34" s="3160"/>
      <c r="AJ34" s="3140"/>
    </row>
    <row r="35" spans="1:40" s="2663" customFormat="1" ht="19.5" customHeight="1">
      <c r="A35" s="2662"/>
      <c r="E35" s="3161"/>
      <c r="G35" s="3161"/>
      <c r="H35" s="3161"/>
      <c r="I35" s="3161"/>
      <c r="J35" s="3162"/>
      <c r="K35" s="2664"/>
      <c r="M35" s="2664"/>
      <c r="N35" s="2664"/>
      <c r="O35" s="2664"/>
      <c r="P35" s="2664"/>
      <c r="Q35" s="2664"/>
      <c r="R35" s="2664"/>
      <c r="S35" s="2665"/>
      <c r="T35" s="2665"/>
      <c r="U35" s="2665"/>
      <c r="V35" s="2665"/>
      <c r="W35" s="2665"/>
      <c r="X35" s="2665"/>
      <c r="Y35" s="2665"/>
      <c r="AA35" s="2665"/>
      <c r="AB35" s="3059"/>
      <c r="AC35" s="3059"/>
      <c r="AD35" s="3059"/>
      <c r="AE35" s="4186" t="s">
        <v>1543</v>
      </c>
      <c r="AF35" s="4186"/>
      <c r="AG35" s="4186"/>
      <c r="AH35" s="4186"/>
      <c r="AI35" s="4186"/>
      <c r="AJ35" s="4186"/>
      <c r="AK35" s="4186"/>
      <c r="AL35" s="3062"/>
      <c r="AM35" s="3059"/>
      <c r="AN35" s="3059"/>
    </row>
    <row r="36" spans="1:40" ht="28.5" customHeight="1">
      <c r="B36" s="2666"/>
      <c r="C36" s="2664" t="s">
        <v>46</v>
      </c>
      <c r="D36" s="2666"/>
      <c r="E36" s="3163"/>
      <c r="F36" s="3163"/>
      <c r="G36" s="3164"/>
      <c r="H36" s="3164"/>
      <c r="I36" s="3164"/>
      <c r="J36" s="2667"/>
      <c r="K36" s="2633"/>
      <c r="L36" s="2668"/>
      <c r="M36" s="2668"/>
      <c r="N36" s="2668"/>
      <c r="O36" s="4187" t="s">
        <v>1144</v>
      </c>
      <c r="P36" s="4187"/>
      <c r="Q36" s="4187"/>
      <c r="R36" s="4187"/>
      <c r="S36" s="4187"/>
      <c r="T36" s="4187"/>
      <c r="U36" s="4187"/>
      <c r="V36" s="4187"/>
      <c r="W36" s="2633"/>
      <c r="X36" s="2667"/>
      <c r="Y36" s="2669"/>
      <c r="Z36" s="2669"/>
      <c r="AA36" s="2669"/>
      <c r="AB36" s="2669"/>
      <c r="AC36" s="2633"/>
      <c r="AD36" s="2633"/>
      <c r="AE36" s="4187" t="s">
        <v>1104</v>
      </c>
      <c r="AF36" s="4187"/>
      <c r="AG36" s="4187"/>
      <c r="AH36" s="4187"/>
      <c r="AI36" s="4187"/>
      <c r="AJ36" s="4187"/>
      <c r="AK36" s="4187"/>
      <c r="AL36" s="3058"/>
    </row>
    <row r="42" spans="1:40">
      <c r="AE42" s="4188" t="s">
        <v>1010</v>
      </c>
      <c r="AF42" s="4188"/>
      <c r="AG42" s="4188"/>
      <c r="AH42" s="4188"/>
      <c r="AI42" s="4188"/>
      <c r="AJ42" s="4188"/>
      <c r="AK42" s="4188"/>
    </row>
  </sheetData>
  <mergeCells count="49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10:A11"/>
    <mergeCell ref="B10:B11"/>
    <mergeCell ref="C10:C11"/>
    <mergeCell ref="D10:AH10"/>
    <mergeCell ref="AI10:AI11"/>
    <mergeCell ref="AJ10:AJ11"/>
    <mergeCell ref="A30:C30"/>
    <mergeCell ref="D30:F30"/>
    <mergeCell ref="G30:I30"/>
    <mergeCell ref="J30:O30"/>
    <mergeCell ref="P30:V30"/>
    <mergeCell ref="A29:C29"/>
    <mergeCell ref="D29:F29"/>
    <mergeCell ref="G29:I29"/>
    <mergeCell ref="J29:O29"/>
    <mergeCell ref="P29:V29"/>
    <mergeCell ref="A32:C32"/>
    <mergeCell ref="D32:F32"/>
    <mergeCell ref="G32:I32"/>
    <mergeCell ref="J32:O32"/>
    <mergeCell ref="P32:V32"/>
    <mergeCell ref="A31:C31"/>
    <mergeCell ref="D31:F31"/>
    <mergeCell ref="G31:I31"/>
    <mergeCell ref="J31:O31"/>
    <mergeCell ref="P31:V31"/>
    <mergeCell ref="AE35:AK35"/>
    <mergeCell ref="O36:V36"/>
    <mergeCell ref="AE36:AK36"/>
    <mergeCell ref="AE42:AK42"/>
    <mergeCell ref="A33:C33"/>
    <mergeCell ref="D33:F33"/>
    <mergeCell ref="G33:I33"/>
    <mergeCell ref="J33:O33"/>
    <mergeCell ref="P33:V33"/>
    <mergeCell ref="A34:C34"/>
    <mergeCell ref="D34:F34"/>
    <mergeCell ref="G34:I34"/>
    <mergeCell ref="J34:O34"/>
    <mergeCell ref="P34:V34"/>
  </mergeCells>
  <pageMargins left="0.32" right="0.25" top="0.56999999999999995" bottom="0.75" header="0.3" footer="0.3"/>
  <pageSetup paperSize="9" scale="49" orientation="landscape" r:id="rId1"/>
  <colBreaks count="1" manualBreakCount="1">
    <brk id="4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D3CCD9EF-E4DF-428D-977E-0DA68197D78D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8"/>
  <sheetViews>
    <sheetView workbookViewId="0">
      <selection activeCell="C10" sqref="C10:H12"/>
    </sheetView>
  </sheetViews>
  <sheetFormatPr defaultRowHeight="15.75"/>
  <cols>
    <col min="1" max="1" width="6" style="1123" customWidth="1"/>
    <col min="2" max="2" width="10" style="1160" hidden="1" customWidth="1"/>
    <col min="3" max="3" width="17.25" style="1123" customWidth="1"/>
    <col min="4" max="4" width="7" style="1123" hidden="1" customWidth="1"/>
    <col min="5" max="5" width="10.25" style="1128" customWidth="1"/>
    <col min="6" max="6" width="12.875" style="1128" customWidth="1"/>
    <col min="7" max="7" width="19.625" style="1154" customWidth="1"/>
    <col min="8" max="8" width="15.375" style="1131" customWidth="1"/>
    <col min="9" max="9" width="13.375" style="1131" customWidth="1"/>
  </cols>
  <sheetData>
    <row r="1" spans="1:9">
      <c r="A1" s="1122" t="s">
        <v>164</v>
      </c>
      <c r="B1" s="1123"/>
      <c r="E1" s="1123"/>
      <c r="F1" s="1123"/>
      <c r="G1" s="4200" t="s">
        <v>165</v>
      </c>
      <c r="H1" s="4200"/>
      <c r="I1" s="4200"/>
    </row>
    <row r="2" spans="1:9" ht="16.5">
      <c r="A2" s="4206"/>
      <c r="B2" s="4206"/>
      <c r="C2" s="4206"/>
      <c r="D2" s="4206"/>
      <c r="E2" s="4206"/>
      <c r="F2" s="4206"/>
      <c r="G2" s="4207" t="s">
        <v>171</v>
      </c>
      <c r="H2" s="4207"/>
      <c r="I2" s="4207"/>
    </row>
    <row r="3" spans="1:9" ht="16.5">
      <c r="A3" s="1124"/>
      <c r="B3" s="1124"/>
      <c r="C3" s="1124"/>
      <c r="D3" s="1124"/>
      <c r="E3" s="1124"/>
      <c r="F3" s="1124"/>
      <c r="G3" s="1128"/>
      <c r="H3" s="1128"/>
      <c r="I3" s="1128"/>
    </row>
    <row r="4" spans="1:9">
      <c r="A4" s="1125"/>
      <c r="B4" s="1126"/>
      <c r="C4" s="1127"/>
      <c r="D4" s="1127"/>
      <c r="G4" s="1129"/>
      <c r="H4" s="1130"/>
    </row>
    <row r="5" spans="1:9" ht="39.75" customHeight="1">
      <c r="A5" s="4208" t="s">
        <v>841</v>
      </c>
      <c r="B5" s="4209"/>
      <c r="C5" s="4209"/>
      <c r="D5" s="4209"/>
      <c r="E5" s="4209"/>
      <c r="F5" s="4209"/>
      <c r="G5" s="4209"/>
      <c r="H5" s="4209"/>
      <c r="I5" s="4209"/>
    </row>
    <row r="6" spans="1:9">
      <c r="A6" s="4210" t="s">
        <v>834</v>
      </c>
      <c r="B6" s="4210"/>
      <c r="C6" s="4210"/>
      <c r="D6" s="4210"/>
      <c r="E6" s="4210"/>
      <c r="F6" s="4210"/>
      <c r="G6" s="4210"/>
      <c r="H6" s="4210"/>
      <c r="I6" s="4210"/>
    </row>
    <row r="7" spans="1:9" ht="14.25" customHeight="1">
      <c r="A7" s="4220" t="s">
        <v>1</v>
      </c>
      <c r="B7" s="4222" t="s">
        <v>20</v>
      </c>
      <c r="C7" s="4222"/>
      <c r="D7" s="4220" t="s">
        <v>830</v>
      </c>
      <c r="E7" s="4223" t="s">
        <v>26</v>
      </c>
      <c r="F7" s="4220" t="s">
        <v>831</v>
      </c>
      <c r="G7" s="4211" t="s">
        <v>835</v>
      </c>
      <c r="H7" s="4214" t="s">
        <v>836</v>
      </c>
      <c r="I7" s="4217" t="s">
        <v>9</v>
      </c>
    </row>
    <row r="8" spans="1:9" ht="14.25">
      <c r="A8" s="4220"/>
      <c r="B8" s="4222"/>
      <c r="C8" s="4222"/>
      <c r="D8" s="4220"/>
      <c r="E8" s="4224"/>
      <c r="F8" s="4220"/>
      <c r="G8" s="4212"/>
      <c r="H8" s="4215"/>
      <c r="I8" s="4218"/>
    </row>
    <row r="9" spans="1:9">
      <c r="A9" s="4221"/>
      <c r="B9" s="1165" t="s">
        <v>33</v>
      </c>
      <c r="C9" s="1165" t="s">
        <v>4</v>
      </c>
      <c r="D9" s="4220"/>
      <c r="E9" s="4225"/>
      <c r="F9" s="4221"/>
      <c r="G9" s="4213"/>
      <c r="H9" s="4216"/>
      <c r="I9" s="4219"/>
    </row>
    <row r="10" spans="1:9" ht="16.5">
      <c r="A10" s="1166">
        <v>1</v>
      </c>
      <c r="B10" s="1167" t="e">
        <f>VLOOKUP(C10,[11]Sheet1!$B$9:$C$115,2,0)</f>
        <v>#N/A</v>
      </c>
      <c r="C10" s="1185"/>
      <c r="D10" s="1168"/>
      <c r="E10" s="1169"/>
      <c r="F10" s="1170"/>
      <c r="G10" s="1092"/>
      <c r="H10" s="1186"/>
      <c r="I10" s="1170"/>
    </row>
    <row r="11" spans="1:9" ht="16.5">
      <c r="A11" s="1171">
        <v>2</v>
      </c>
      <c r="B11" s="1172" t="e">
        <f>VLOOKUP(C11,[11]Sheet1!$B$9:$C$115,2,0)</f>
        <v>#N/A</v>
      </c>
      <c r="C11" s="1173"/>
      <c r="D11" s="1174"/>
      <c r="E11" s="1175"/>
      <c r="F11" s="1176"/>
      <c r="G11" s="1093"/>
      <c r="H11" s="1164"/>
      <c r="I11" s="1176"/>
    </row>
    <row r="12" spans="1:9" ht="16.5">
      <c r="A12" s="1177">
        <v>3</v>
      </c>
      <c r="B12" s="1178" t="e">
        <f>VLOOKUP(C12,[11]Sheet1!$B$9:$C$115,2,0)</f>
        <v>#N/A</v>
      </c>
      <c r="C12" s="1179"/>
      <c r="D12" s="1180"/>
      <c r="E12" s="1181"/>
      <c r="F12" s="1182"/>
      <c r="G12" s="1183"/>
      <c r="H12" s="1187"/>
      <c r="I12" s="1182"/>
    </row>
    <row r="13" spans="1:9" ht="14.25">
      <c r="A13" s="4201" t="s">
        <v>688</v>
      </c>
      <c r="B13" s="4202"/>
      <c r="C13" s="4202"/>
      <c r="D13" s="4202"/>
      <c r="E13" s="4202"/>
      <c r="F13" s="1132"/>
      <c r="G13" s="1133">
        <f>SUBTOTAL(9,G10:G12)</f>
        <v>0</v>
      </c>
      <c r="H13" s="1133">
        <f>SUBTOTAL(9,H10:H12)</f>
        <v>0</v>
      </c>
      <c r="I13" s="1134"/>
    </row>
    <row r="14" spans="1:9" ht="15">
      <c r="A14" s="1135"/>
      <c r="B14" s="1135"/>
      <c r="C14" s="1135"/>
      <c r="D14" s="1135"/>
      <c r="E14" s="1135"/>
      <c r="F14" s="1136"/>
      <c r="G14" s="1137"/>
      <c r="H14" s="4203" t="s">
        <v>840</v>
      </c>
      <c r="I14" s="4203"/>
    </row>
    <row r="15" spans="1:9" ht="14.25">
      <c r="A15" s="4204" t="s">
        <v>832</v>
      </c>
      <c r="B15" s="4204"/>
      <c r="C15" s="4204"/>
      <c r="D15" s="4204"/>
      <c r="E15" s="4204" t="s">
        <v>833</v>
      </c>
      <c r="F15" s="4204"/>
      <c r="G15" s="1184" t="s">
        <v>167</v>
      </c>
      <c r="H15" s="4205" t="s">
        <v>839</v>
      </c>
      <c r="I15" s="4205"/>
    </row>
    <row r="16" spans="1:9" ht="18.75">
      <c r="A16" s="1138"/>
      <c r="B16" s="4198"/>
      <c r="C16" s="4198"/>
      <c r="D16" s="4198"/>
      <c r="E16" s="4198"/>
      <c r="F16" s="4198"/>
      <c r="G16" s="4199"/>
      <c r="H16" s="4199"/>
      <c r="I16" s="1139"/>
    </row>
    <row r="17" spans="1:9" ht="18.75">
      <c r="A17" s="1140"/>
      <c r="B17" s="1140"/>
      <c r="C17" s="1141"/>
      <c r="D17" s="1140"/>
      <c r="E17" s="1142"/>
      <c r="F17" s="1142"/>
      <c r="G17" s="1143"/>
      <c r="H17" s="1140"/>
      <c r="I17" s="1140"/>
    </row>
    <row r="18" spans="1:9" ht="18.75">
      <c r="A18" s="1140"/>
      <c r="B18" s="1140"/>
      <c r="C18" s="1141"/>
      <c r="D18" s="1140"/>
      <c r="E18" s="1142"/>
      <c r="F18" s="1144"/>
      <c r="G18" s="1143"/>
      <c r="H18" s="1140"/>
      <c r="I18" s="1140"/>
    </row>
    <row r="19" spans="1:9" ht="18.75">
      <c r="A19" s="1140"/>
      <c r="B19" s="1140"/>
      <c r="C19" s="1141"/>
      <c r="D19" s="1140"/>
      <c r="E19" s="1142"/>
      <c r="F19" s="1144"/>
      <c r="G19" s="1143"/>
      <c r="H19" s="1140"/>
      <c r="I19" s="1140"/>
    </row>
    <row r="20" spans="1:9" ht="18.75">
      <c r="A20" s="1140"/>
      <c r="B20" s="1140"/>
      <c r="C20" s="1141"/>
      <c r="D20" s="1140"/>
      <c r="E20" s="1145"/>
      <c r="F20" s="1146"/>
      <c r="G20" s="1143"/>
      <c r="H20" s="1141"/>
      <c r="I20" s="1140"/>
    </row>
    <row r="21" spans="1:9" ht="18.75">
      <c r="A21" s="1140"/>
      <c r="B21" s="1140"/>
      <c r="C21" s="1141"/>
      <c r="D21" s="1140"/>
      <c r="E21" s="1147"/>
      <c r="F21" s="1148"/>
      <c r="G21" s="1143"/>
      <c r="H21" s="1149"/>
      <c r="I21" s="1140"/>
    </row>
    <row r="22" spans="1:9" ht="18.75">
      <c r="A22" s="1140"/>
      <c r="B22" s="1140"/>
      <c r="C22" s="1141"/>
      <c r="D22" s="1140"/>
      <c r="E22" s="1145"/>
      <c r="F22" s="1150"/>
      <c r="G22" s="1143"/>
      <c r="H22" s="1151"/>
      <c r="I22" s="1140"/>
    </row>
    <row r="23" spans="1:9" ht="18.75">
      <c r="A23" s="1140"/>
      <c r="B23" s="1140"/>
      <c r="C23" s="1140"/>
      <c r="D23" s="1140"/>
      <c r="E23" s="1145"/>
      <c r="F23" s="1146"/>
      <c r="G23" s="1143"/>
      <c r="H23" s="1140"/>
      <c r="I23" s="1140"/>
    </row>
    <row r="24" spans="1:9">
      <c r="A24" s="1131"/>
      <c r="B24" s="1131"/>
      <c r="C24" s="1131"/>
      <c r="D24" s="1131"/>
      <c r="F24" s="1152"/>
      <c r="G24" s="4200"/>
      <c r="H24" s="4200"/>
      <c r="I24" s="1153"/>
    </row>
    <row r="25" spans="1:9">
      <c r="A25" s="1131"/>
      <c r="B25" s="1131"/>
      <c r="C25" s="1131"/>
      <c r="D25" s="1131"/>
    </row>
    <row r="26" spans="1:9">
      <c r="A26" s="1131"/>
      <c r="B26" s="1131"/>
      <c r="C26" s="1155"/>
      <c r="D26" s="1131"/>
      <c r="H26" s="1155"/>
    </row>
    <row r="27" spans="1:9">
      <c r="A27" s="1131"/>
      <c r="B27" s="1131"/>
      <c r="C27" s="1131"/>
      <c r="D27" s="1131"/>
    </row>
    <row r="28" spans="1:9">
      <c r="A28" s="1131"/>
      <c r="B28" s="1131"/>
      <c r="C28" s="1131"/>
      <c r="D28" s="1131"/>
      <c r="E28" s="1156"/>
      <c r="I28" s="1157"/>
    </row>
    <row r="29" spans="1:9">
      <c r="A29" s="1131"/>
      <c r="B29" s="1131"/>
      <c r="C29" s="1131"/>
      <c r="D29" s="1131"/>
      <c r="F29" s="1158"/>
      <c r="H29" s="1159"/>
    </row>
    <row r="30" spans="1:9">
      <c r="C30" s="1161"/>
      <c r="H30" s="1155"/>
    </row>
    <row r="31" spans="1:9">
      <c r="G31" s="1162"/>
    </row>
    <row r="32" spans="1:9">
      <c r="C32" s="1163"/>
      <c r="G32" s="1162"/>
    </row>
    <row r="33" spans="1:7">
      <c r="A33" s="1131"/>
      <c r="B33" s="1131"/>
      <c r="C33" s="1131"/>
      <c r="D33" s="1131"/>
      <c r="G33" s="1162"/>
    </row>
    <row r="34" spans="1:7">
      <c r="A34" s="1131"/>
      <c r="B34" s="1131"/>
      <c r="C34" s="1131"/>
      <c r="D34" s="1131"/>
    </row>
    <row r="35" spans="1:7">
      <c r="A35" s="1131"/>
      <c r="B35" s="1131"/>
      <c r="C35" s="1131"/>
      <c r="D35" s="1131"/>
      <c r="E35" s="1131"/>
      <c r="F35" s="1131"/>
      <c r="G35" s="1131"/>
    </row>
    <row r="38" spans="1:7">
      <c r="A38" s="1131"/>
      <c r="B38" s="1131"/>
      <c r="C38" s="1131"/>
      <c r="D38" s="1131"/>
      <c r="E38" s="1131"/>
      <c r="F38" s="1131"/>
      <c r="G38" s="1131"/>
    </row>
  </sheetData>
  <mergeCells count="21">
    <mergeCell ref="G7:G9"/>
    <mergeCell ref="H7:H9"/>
    <mergeCell ref="I7:I9"/>
    <mergeCell ref="A7:A9"/>
    <mergeCell ref="B7:C8"/>
    <mergeCell ref="D7:D9"/>
    <mergeCell ref="E7:E9"/>
    <mergeCell ref="F7:F9"/>
    <mergeCell ref="G1:I1"/>
    <mergeCell ref="A2:F2"/>
    <mergeCell ref="G2:I2"/>
    <mergeCell ref="A5:I5"/>
    <mergeCell ref="A6:I6"/>
    <mergeCell ref="B16:F16"/>
    <mergeCell ref="G16:H16"/>
    <mergeCell ref="G24:H24"/>
    <mergeCell ref="A13:E13"/>
    <mergeCell ref="H14:I14"/>
    <mergeCell ref="A15:D15"/>
    <mergeCell ref="E15:F15"/>
    <mergeCell ref="H15:I15"/>
  </mergeCells>
  <pageMargins left="0.35433070866141736" right="0.1968503937007874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Views>
    <sheetView topLeftCell="A24" workbookViewId="0">
      <selection activeCell="A8" sqref="A8:X8"/>
    </sheetView>
  </sheetViews>
  <sheetFormatPr defaultColWidth="8" defaultRowHeight="15.75" outlineLevelRow="2"/>
  <cols>
    <col min="1" max="1" width="4.625" style="42" customWidth="1"/>
    <col min="2" max="2" width="11.875" style="1295" hidden="1" customWidth="1"/>
    <col min="3" max="3" width="25.625" style="42" customWidth="1"/>
    <col min="4" max="4" width="8.875" style="165" hidden="1" customWidth="1"/>
    <col min="5" max="5" width="8.375" style="41" hidden="1" customWidth="1"/>
    <col min="6" max="6" width="7.25" style="41" customWidth="1"/>
    <col min="7" max="8" width="17.625" style="42" customWidth="1"/>
    <col min="9" max="9" width="17.625" style="42" hidden="1" customWidth="1"/>
    <col min="10" max="11" width="9.375" style="42" hidden="1" customWidth="1"/>
    <col min="12" max="12" width="12.125" style="1334" customWidth="1"/>
    <col min="13" max="13" width="7" style="42" hidden="1" customWidth="1"/>
    <col min="14" max="14" width="11.875" style="42" customWidth="1"/>
    <col min="15" max="15" width="12.25" style="42" customWidth="1"/>
    <col min="16" max="16" width="12.375" style="42" customWidth="1"/>
    <col min="17" max="17" width="8" style="42" hidden="1" customWidth="1"/>
    <col min="18" max="18" width="8.375" style="42" hidden="1" customWidth="1"/>
    <col min="19" max="19" width="12.375" style="42" customWidth="1"/>
    <col min="20" max="20" width="7.875" style="42" hidden="1" customWidth="1"/>
    <col min="21" max="21" width="8" style="42" hidden="1" customWidth="1"/>
    <col min="22" max="22" width="12.375" style="42" customWidth="1"/>
    <col min="23" max="23" width="1.25" style="42" hidden="1" customWidth="1"/>
    <col min="24" max="24" width="10" style="42" customWidth="1"/>
    <col min="25" max="25" width="17.125" style="42" customWidth="1"/>
    <col min="26" max="26" width="14.375" style="42" customWidth="1"/>
    <col min="27" max="16384" width="8" style="42"/>
  </cols>
  <sheetData>
    <row r="1" spans="1:24" ht="17.25" customHeight="1">
      <c r="A1" s="4094" t="s">
        <v>165</v>
      </c>
      <c r="B1" s="4094"/>
      <c r="C1" s="4094"/>
      <c r="D1" s="4094"/>
      <c r="E1" s="4094"/>
      <c r="F1" s="4094"/>
      <c r="G1" s="4094"/>
      <c r="H1" s="4094"/>
      <c r="I1" s="4094"/>
      <c r="J1" s="4094"/>
      <c r="K1" s="4094"/>
      <c r="L1" s="4094"/>
      <c r="M1" s="4094"/>
      <c r="N1" s="4094"/>
      <c r="O1" s="4094"/>
      <c r="P1" s="4094"/>
      <c r="Q1" s="4094"/>
      <c r="R1" s="4094"/>
      <c r="S1" s="4094"/>
      <c r="T1" s="4094"/>
      <c r="U1" s="4094"/>
      <c r="V1" s="4094"/>
      <c r="W1" s="4094"/>
      <c r="X1" s="4094"/>
    </row>
    <row r="2" spans="1:24" ht="18" customHeight="1">
      <c r="A2" s="4094" t="s">
        <v>171</v>
      </c>
      <c r="B2" s="4094"/>
      <c r="C2" s="4094"/>
      <c r="D2" s="4094"/>
      <c r="E2" s="4094"/>
      <c r="F2" s="4094"/>
      <c r="G2" s="4094"/>
      <c r="H2" s="4094"/>
      <c r="I2" s="4094"/>
      <c r="J2" s="4094"/>
      <c r="K2" s="4094"/>
      <c r="L2" s="4094"/>
      <c r="M2" s="4094"/>
      <c r="N2" s="4094"/>
      <c r="O2" s="4094"/>
      <c r="P2" s="4094"/>
      <c r="Q2" s="4094"/>
      <c r="R2" s="4094"/>
      <c r="S2" s="4094"/>
      <c r="T2" s="4094"/>
      <c r="U2" s="4094"/>
      <c r="V2" s="4094"/>
      <c r="W2" s="4094"/>
      <c r="X2" s="4094"/>
    </row>
    <row r="3" spans="1:24" ht="17.25" customHeight="1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3950"/>
      <c r="M3" s="3950"/>
      <c r="N3" s="3950"/>
      <c r="O3" s="3950"/>
      <c r="P3" s="3950"/>
      <c r="Q3" s="3950"/>
      <c r="R3" s="3950"/>
      <c r="S3" s="3950"/>
      <c r="T3" s="3950"/>
      <c r="U3" s="3950"/>
      <c r="V3" s="3950"/>
      <c r="W3" s="3950"/>
      <c r="X3" s="3950"/>
    </row>
    <row r="4" spans="1:24" ht="17.25" customHeight="1">
      <c r="A4" s="4086" t="s">
        <v>602</v>
      </c>
      <c r="B4" s="4086"/>
      <c r="C4" s="4086"/>
      <c r="D4" s="4086"/>
      <c r="E4" s="4086"/>
      <c r="F4" s="4086"/>
      <c r="G4" s="4086"/>
      <c r="H4" s="1290"/>
      <c r="I4" s="1290"/>
      <c r="J4" s="1290"/>
      <c r="K4" s="1290"/>
      <c r="L4" s="1291"/>
      <c r="M4" s="1289"/>
      <c r="N4" s="1289"/>
      <c r="O4" s="1289"/>
      <c r="P4" s="157"/>
      <c r="Q4" s="157"/>
      <c r="R4" s="157"/>
      <c r="S4" s="157"/>
      <c r="T4" s="157"/>
      <c r="U4" s="157"/>
      <c r="V4" s="157"/>
      <c r="W4" s="157"/>
      <c r="X4" s="156"/>
    </row>
    <row r="5" spans="1:24" ht="17.25" customHeight="1">
      <c r="A5" s="4094" t="s">
        <v>541</v>
      </c>
      <c r="B5" s="4094"/>
      <c r="C5" s="4094"/>
      <c r="D5" s="4094"/>
      <c r="E5" s="4094"/>
      <c r="F5" s="4094"/>
      <c r="G5" s="4094"/>
      <c r="H5" s="1292"/>
      <c r="I5" s="1292"/>
      <c r="J5" s="1292"/>
      <c r="K5" s="1292"/>
      <c r="L5" s="1293"/>
      <c r="M5" s="1292"/>
      <c r="N5" s="1292"/>
      <c r="O5" s="1292"/>
      <c r="P5" s="1294"/>
      <c r="Q5" s="1294"/>
      <c r="R5" s="1294"/>
      <c r="S5" s="156"/>
      <c r="T5" s="156"/>
      <c r="U5" s="156"/>
      <c r="V5" s="157"/>
      <c r="W5" s="156"/>
      <c r="X5" s="156"/>
    </row>
    <row r="6" spans="1:24" ht="17.25" customHeight="1">
      <c r="A6" s="280"/>
      <c r="B6" s="693"/>
      <c r="C6" s="913"/>
      <c r="D6" s="913"/>
      <c r="E6" s="913"/>
      <c r="F6" s="913"/>
      <c r="G6" s="913"/>
      <c r="H6" s="1292"/>
      <c r="I6" s="1292"/>
      <c r="J6" s="1292"/>
      <c r="K6" s="1292"/>
      <c r="L6" s="1293"/>
      <c r="M6" s="1292"/>
      <c r="N6" s="1292"/>
      <c r="O6" s="1292"/>
      <c r="P6" s="1294"/>
      <c r="Q6" s="1294"/>
      <c r="R6" s="1294"/>
      <c r="S6" s="156"/>
      <c r="T6" s="156"/>
      <c r="U6" s="156"/>
      <c r="V6" s="157"/>
      <c r="W6" s="156"/>
      <c r="X6" s="156"/>
    </row>
    <row r="7" spans="1:24" s="40" customFormat="1" ht="21.75" customHeight="1">
      <c r="A7" s="4272" t="s">
        <v>1315</v>
      </c>
      <c r="B7" s="4272"/>
      <c r="C7" s="4272"/>
      <c r="D7" s="4272"/>
      <c r="E7" s="4272"/>
      <c r="F7" s="4272"/>
      <c r="G7" s="4272"/>
      <c r="H7" s="4272"/>
      <c r="I7" s="4272"/>
      <c r="J7" s="4272"/>
      <c r="K7" s="4272"/>
      <c r="L7" s="4272"/>
      <c r="M7" s="4272"/>
      <c r="N7" s="4272"/>
      <c r="O7" s="4272"/>
      <c r="P7" s="4272"/>
      <c r="Q7" s="4272"/>
      <c r="R7" s="4272"/>
      <c r="S7" s="4272"/>
      <c r="T7" s="4272"/>
      <c r="U7" s="4272"/>
      <c r="V7" s="4272"/>
      <c r="W7" s="4272"/>
      <c r="X7" s="4272"/>
    </row>
    <row r="8" spans="1:24" s="40" customFormat="1" ht="28.5" customHeight="1">
      <c r="A8" s="4272"/>
      <c r="B8" s="4272"/>
      <c r="C8" s="4272"/>
      <c r="D8" s="4272"/>
      <c r="E8" s="4272"/>
      <c r="F8" s="4272"/>
      <c r="G8" s="4272"/>
      <c r="H8" s="4272"/>
      <c r="I8" s="4272"/>
      <c r="J8" s="4272"/>
      <c r="K8" s="4272"/>
      <c r="L8" s="4272"/>
      <c r="M8" s="4272"/>
      <c r="N8" s="4272"/>
      <c r="O8" s="4272"/>
      <c r="P8" s="4272"/>
      <c r="Q8" s="4272"/>
      <c r="R8" s="4272"/>
      <c r="S8" s="4272"/>
      <c r="T8" s="4272"/>
      <c r="U8" s="4272"/>
      <c r="V8" s="4272"/>
      <c r="W8" s="4272"/>
      <c r="X8" s="4272"/>
    </row>
    <row r="9" spans="1:24" ht="17.25" hidden="1" customHeight="1">
      <c r="A9" s="41"/>
      <c r="C9" s="1296" t="s">
        <v>871</v>
      </c>
      <c r="D9" s="4260">
        <f>+'Lương Tổng NT'!E6</f>
        <v>21555</v>
      </c>
      <c r="E9" s="4260"/>
      <c r="F9" s="4260"/>
      <c r="G9" s="1297"/>
      <c r="H9" s="1298"/>
      <c r="I9" s="1298"/>
      <c r="J9" s="1298"/>
      <c r="K9" s="1298"/>
      <c r="L9" s="1299"/>
      <c r="M9" s="1298"/>
      <c r="N9" s="1298"/>
      <c r="O9" s="1298"/>
      <c r="P9" s="1300"/>
      <c r="Q9" s="1300"/>
      <c r="R9" s="1300"/>
      <c r="V9" s="40"/>
    </row>
    <row r="10" spans="1:24" ht="17.25" hidden="1" customHeight="1">
      <c r="A10" s="41"/>
      <c r="B10" s="4261" t="s">
        <v>872</v>
      </c>
      <c r="C10" s="4261"/>
      <c r="D10" s="4262">
        <f>+'Lương Tổng NT'!E7</f>
        <v>0.98939999999999995</v>
      </c>
      <c r="E10" s="4262"/>
      <c r="F10" s="4262"/>
      <c r="G10" s="1297"/>
      <c r="H10" s="1298"/>
      <c r="I10" s="1298"/>
      <c r="J10" s="1298"/>
      <c r="K10" s="1298"/>
      <c r="L10" s="1299"/>
      <c r="M10" s="1298"/>
      <c r="N10" s="1298"/>
      <c r="O10" s="1298"/>
      <c r="P10" s="1300"/>
      <c r="Q10" s="1300"/>
      <c r="R10" s="1300"/>
      <c r="V10" s="40"/>
      <c r="W10" s="44"/>
    </row>
    <row r="11" spans="1:24" ht="17.25" hidden="1" customHeight="1">
      <c r="A11" s="43"/>
      <c r="B11" s="1379"/>
      <c r="C11" s="1480" t="s">
        <v>905</v>
      </c>
      <c r="D11" s="1380"/>
      <c r="E11" s="1380"/>
      <c r="F11" s="1447">
        <f>+'Lương Tổng NT'!E8</f>
        <v>670.65</v>
      </c>
      <c r="G11" s="1301"/>
      <c r="H11" s="1302"/>
      <c r="I11" s="1302"/>
      <c r="J11" s="1302"/>
      <c r="K11" s="1302"/>
      <c r="L11" s="1303"/>
      <c r="M11" s="1302"/>
      <c r="N11" s="1302"/>
      <c r="O11" s="1302"/>
      <c r="P11" s="1304"/>
      <c r="Q11" s="1304"/>
      <c r="R11" s="1304"/>
      <c r="S11" s="44"/>
      <c r="T11" s="44"/>
      <c r="U11" s="44"/>
      <c r="V11" s="1305"/>
    </row>
    <row r="12" spans="1:24" s="1355" customFormat="1" ht="17.25" customHeight="1">
      <c r="A12" s="4263" t="s">
        <v>1</v>
      </c>
      <c r="B12" s="4266" t="s">
        <v>20</v>
      </c>
      <c r="C12" s="4267"/>
      <c r="D12" s="4263" t="s">
        <v>830</v>
      </c>
      <c r="E12" s="4257" t="s">
        <v>26</v>
      </c>
      <c r="F12" s="4263" t="s">
        <v>873</v>
      </c>
      <c r="G12" s="4253" t="s">
        <v>27</v>
      </c>
      <c r="H12" s="4254"/>
      <c r="I12" s="4254"/>
      <c r="J12" s="4254"/>
      <c r="K12" s="4254"/>
      <c r="L12" s="4254"/>
      <c r="M12" s="4254"/>
      <c r="N12" s="4254"/>
      <c r="O12" s="4255"/>
      <c r="P12" s="4246" t="s">
        <v>874</v>
      </c>
      <c r="Q12" s="4246" t="s">
        <v>875</v>
      </c>
      <c r="R12" s="4246" t="s">
        <v>876</v>
      </c>
      <c r="S12" s="4246" t="s">
        <v>877</v>
      </c>
      <c r="T12" s="4246" t="s">
        <v>878</v>
      </c>
      <c r="U12" s="4246" t="s">
        <v>879</v>
      </c>
      <c r="V12" s="4214" t="s">
        <v>880</v>
      </c>
      <c r="W12" s="4247" t="s">
        <v>9</v>
      </c>
      <c r="X12" s="4250" t="s">
        <v>634</v>
      </c>
    </row>
    <row r="13" spans="1:24" s="1355" customFormat="1" ht="17.25" customHeight="1" outlineLevel="1">
      <c r="A13" s="4263"/>
      <c r="B13" s="4268"/>
      <c r="C13" s="4269"/>
      <c r="D13" s="4263"/>
      <c r="E13" s="4258"/>
      <c r="F13" s="4263"/>
      <c r="G13" s="4246" t="s">
        <v>1160</v>
      </c>
      <c r="H13" s="4246"/>
      <c r="I13" s="4257" t="s">
        <v>881</v>
      </c>
      <c r="J13" s="4257" t="s">
        <v>882</v>
      </c>
      <c r="K13" s="4257" t="s">
        <v>883</v>
      </c>
      <c r="L13" s="4211" t="s">
        <v>884</v>
      </c>
      <c r="M13" s="4214" t="s">
        <v>885</v>
      </c>
      <c r="N13" s="4214" t="s">
        <v>56</v>
      </c>
      <c r="O13" s="4214" t="s">
        <v>57</v>
      </c>
      <c r="P13" s="4246"/>
      <c r="Q13" s="4246"/>
      <c r="R13" s="4246"/>
      <c r="S13" s="4246"/>
      <c r="T13" s="4246"/>
      <c r="U13" s="4246"/>
      <c r="V13" s="4215"/>
      <c r="W13" s="4248"/>
      <c r="X13" s="4251"/>
    </row>
    <row r="14" spans="1:24" s="1355" customFormat="1" ht="17.25" customHeight="1" outlineLevel="1">
      <c r="A14" s="4263"/>
      <c r="B14" s="4268"/>
      <c r="C14" s="4269"/>
      <c r="D14" s="4263"/>
      <c r="E14" s="4258"/>
      <c r="F14" s="4263"/>
      <c r="G14" s="4246" t="s">
        <v>362</v>
      </c>
      <c r="H14" s="4246" t="s">
        <v>24</v>
      </c>
      <c r="I14" s="4258"/>
      <c r="J14" s="4258"/>
      <c r="K14" s="4258"/>
      <c r="L14" s="4212"/>
      <c r="M14" s="4215"/>
      <c r="N14" s="4215"/>
      <c r="O14" s="4215"/>
      <c r="P14" s="4246"/>
      <c r="Q14" s="4246"/>
      <c r="R14" s="4246"/>
      <c r="S14" s="4246"/>
      <c r="T14" s="4246"/>
      <c r="U14" s="4246"/>
      <c r="V14" s="4215"/>
      <c r="W14" s="4248"/>
      <c r="X14" s="4251"/>
    </row>
    <row r="15" spans="1:24" s="1356" customFormat="1" ht="41.25" customHeight="1" outlineLevel="1">
      <c r="A15" s="4264"/>
      <c r="B15" s="4270"/>
      <c r="C15" s="4271"/>
      <c r="D15" s="4263"/>
      <c r="E15" s="4265"/>
      <c r="F15" s="4264"/>
      <c r="G15" s="4246"/>
      <c r="H15" s="4246"/>
      <c r="I15" s="4259"/>
      <c r="J15" s="4259"/>
      <c r="K15" s="4259"/>
      <c r="L15" s="4213"/>
      <c r="M15" s="4216"/>
      <c r="N15" s="4216"/>
      <c r="O15" s="4216"/>
      <c r="P15" s="4246"/>
      <c r="Q15" s="4246"/>
      <c r="R15" s="4246"/>
      <c r="S15" s="4256"/>
      <c r="T15" s="4246"/>
      <c r="U15" s="4246"/>
      <c r="V15" s="4216"/>
      <c r="W15" s="4249"/>
      <c r="X15" s="4252"/>
    </row>
    <row r="16" spans="1:24" s="123" customFormat="1" ht="26.25" customHeight="1" outlineLevel="1">
      <c r="A16" s="1306" t="s">
        <v>147</v>
      </c>
      <c r="B16" s="1306"/>
      <c r="C16" s="4234" t="s">
        <v>886</v>
      </c>
      <c r="D16" s="4235"/>
      <c r="E16" s="4236"/>
      <c r="F16" s="1366">
        <v>4</v>
      </c>
      <c r="G16" s="1372">
        <f>10400000/25000</f>
        <v>416</v>
      </c>
      <c r="H16" s="1372">
        <f>G16*25000</f>
        <v>10400000</v>
      </c>
      <c r="I16" s="1372"/>
      <c r="J16" s="1372"/>
      <c r="K16" s="1372"/>
      <c r="L16" s="1372">
        <f>+H16</f>
        <v>10400000</v>
      </c>
      <c r="M16" s="1372"/>
      <c r="N16" s="1372"/>
      <c r="O16" s="1372"/>
      <c r="P16" s="1372">
        <f>+L16</f>
        <v>10400000</v>
      </c>
      <c r="Q16" s="1372"/>
      <c r="R16" s="1372"/>
      <c r="S16" s="1372">
        <f t="shared" ref="S16" si="0">P16-Q16</f>
        <v>10400000</v>
      </c>
      <c r="T16" s="1372"/>
      <c r="U16" s="1372"/>
      <c r="V16" s="1372">
        <f>S16</f>
        <v>10400000</v>
      </c>
      <c r="W16" s="1211"/>
      <c r="X16" s="1481"/>
    </row>
    <row r="17" spans="1:27" s="1357" customFormat="1" ht="26.25" customHeight="1" outlineLevel="1">
      <c r="A17" s="1308" t="s">
        <v>148</v>
      </c>
      <c r="B17" s="1309"/>
      <c r="C17" s="4237" t="s">
        <v>887</v>
      </c>
      <c r="D17" s="4237"/>
      <c r="E17" s="4237"/>
      <c r="F17" s="1368">
        <f>+F21+F18+F23</f>
        <v>54</v>
      </c>
      <c r="G17" s="1368" t="e">
        <f t="shared" ref="G17:W17" si="1">+G21+G18+G23</f>
        <v>#N/A</v>
      </c>
      <c r="H17" s="1372" t="e">
        <f>H18+H21+H23</f>
        <v>#N/A</v>
      </c>
      <c r="I17" s="1372">
        <f t="shared" ref="I17:U17" si="2">I18+I21+I23</f>
        <v>0</v>
      </c>
      <c r="J17" s="1372">
        <f t="shared" si="2"/>
        <v>0</v>
      </c>
      <c r="K17" s="1372">
        <f t="shared" si="2"/>
        <v>0</v>
      </c>
      <c r="L17" s="1372" t="e">
        <f t="shared" si="2"/>
        <v>#N/A</v>
      </c>
      <c r="M17" s="1372">
        <f t="shared" si="2"/>
        <v>0</v>
      </c>
      <c r="N17" s="1372" t="e">
        <f t="shared" si="2"/>
        <v>#N/A</v>
      </c>
      <c r="O17" s="1372" t="e">
        <f t="shared" si="2"/>
        <v>#N/A</v>
      </c>
      <c r="P17" s="1372" t="e">
        <f t="shared" si="2"/>
        <v>#N/A</v>
      </c>
      <c r="Q17" s="1372">
        <f t="shared" si="2"/>
        <v>0</v>
      </c>
      <c r="R17" s="1372">
        <f t="shared" si="2"/>
        <v>0</v>
      </c>
      <c r="S17" s="1372" t="e">
        <f t="shared" si="2"/>
        <v>#N/A</v>
      </c>
      <c r="T17" s="1372">
        <f t="shared" si="2"/>
        <v>0</v>
      </c>
      <c r="U17" s="1372">
        <f t="shared" si="2"/>
        <v>0</v>
      </c>
      <c r="V17" s="1372" t="e">
        <f t="shared" ref="V17:V29" si="3">S17</f>
        <v>#N/A</v>
      </c>
      <c r="W17" s="1368">
        <f t="shared" si="1"/>
        <v>0</v>
      </c>
      <c r="X17" s="1481"/>
      <c r="Y17" s="123"/>
      <c r="Z17" s="1358"/>
    </row>
    <row r="18" spans="1:27" s="123" customFormat="1" ht="21.75" customHeight="1" outlineLevel="1">
      <c r="A18" s="1314">
        <v>1</v>
      </c>
      <c r="B18" s="1315"/>
      <c r="C18" s="1365" t="s">
        <v>321</v>
      </c>
      <c r="D18" s="1315"/>
      <c r="E18" s="1315"/>
      <c r="F18" s="1366">
        <v>32</v>
      </c>
      <c r="G18" s="1607" t="e">
        <f t="shared" ref="G18:U18" si="4">+G19</f>
        <v>#N/A</v>
      </c>
      <c r="H18" s="1372" t="e">
        <f t="shared" ref="H18:H29" si="5">G18*25000</f>
        <v>#N/A</v>
      </c>
      <c r="I18" s="1375">
        <f t="shared" si="4"/>
        <v>0</v>
      </c>
      <c r="J18" s="1375">
        <f t="shared" si="4"/>
        <v>0</v>
      </c>
      <c r="K18" s="1375">
        <f t="shared" si="4"/>
        <v>0</v>
      </c>
      <c r="L18" s="1375" t="e">
        <f t="shared" si="4"/>
        <v>#N/A</v>
      </c>
      <c r="M18" s="1375">
        <f t="shared" si="4"/>
        <v>0</v>
      </c>
      <c r="N18" s="1375" t="e">
        <f>+'Tổ 1'!K53</f>
        <v>#N/A</v>
      </c>
      <c r="O18" s="1375" t="e">
        <f>+'Tổ 1'!L53</f>
        <v>#N/A</v>
      </c>
      <c r="P18" s="1375" t="e">
        <f>+'Tổ 1'!M53</f>
        <v>#N/A</v>
      </c>
      <c r="Q18" s="1375">
        <f t="shared" si="4"/>
        <v>0</v>
      </c>
      <c r="R18" s="1375">
        <f t="shared" si="4"/>
        <v>0</v>
      </c>
      <c r="S18" s="1375" t="e">
        <f>+'Tổ 1'!O53</f>
        <v>#N/A</v>
      </c>
      <c r="T18" s="1375">
        <f t="shared" si="4"/>
        <v>0</v>
      </c>
      <c r="U18" s="1375">
        <f t="shared" si="4"/>
        <v>0</v>
      </c>
      <c r="V18" s="1372" t="e">
        <f t="shared" si="3"/>
        <v>#N/A</v>
      </c>
      <c r="W18" s="1211"/>
      <c r="X18" s="1481"/>
      <c r="Z18" s="1359"/>
    </row>
    <row r="19" spans="1:27" s="123" customFormat="1" ht="26.25" customHeight="1" outlineLevel="2">
      <c r="A19" s="1311" t="s">
        <v>837</v>
      </c>
      <c r="B19" s="1316"/>
      <c r="C19" s="1317" t="s">
        <v>888</v>
      </c>
      <c r="D19" s="1312"/>
      <c r="E19" s="1313"/>
      <c r="F19" s="1370">
        <v>32</v>
      </c>
      <c r="G19" s="1855" t="e">
        <f>'Tổ 1'!H53</f>
        <v>#N/A</v>
      </c>
      <c r="H19" s="1372" t="e">
        <f t="shared" si="5"/>
        <v>#N/A</v>
      </c>
      <c r="I19" s="1374"/>
      <c r="J19" s="1374"/>
      <c r="K19" s="1374"/>
      <c r="L19" s="1374" t="e">
        <f>+H19</f>
        <v>#N/A</v>
      </c>
      <c r="M19" s="1374"/>
      <c r="N19" s="1374">
        <f>'1'!L52</f>
        <v>12771771</v>
      </c>
      <c r="O19" s="1374">
        <f>'1'!S52</f>
        <v>53222332</v>
      </c>
      <c r="P19" s="1374" t="e">
        <f>O19+L19+N19</f>
        <v>#N/A</v>
      </c>
      <c r="Q19" s="1374"/>
      <c r="R19" s="1374"/>
      <c r="S19" s="1374" t="e">
        <f>+P19</f>
        <v>#N/A</v>
      </c>
      <c r="T19" s="1374"/>
      <c r="U19" s="1374"/>
      <c r="V19" s="1372" t="e">
        <f t="shared" si="3"/>
        <v>#N/A</v>
      </c>
      <c r="W19" s="1482"/>
      <c r="X19" s="1307"/>
      <c r="Z19" s="1337"/>
    </row>
    <row r="20" spans="1:27" s="123" customFormat="1" ht="26.25" customHeight="1" outlineLevel="2">
      <c r="A20" s="1311" t="s">
        <v>838</v>
      </c>
      <c r="B20" s="1316"/>
      <c r="C20" s="1513" t="s">
        <v>933</v>
      </c>
      <c r="D20" s="1312"/>
      <c r="E20" s="1313"/>
      <c r="F20" s="1963"/>
      <c r="G20" s="1964">
        <f>'Tổ 1'!H52</f>
        <v>0</v>
      </c>
      <c r="H20" s="1372">
        <f t="shared" si="5"/>
        <v>0</v>
      </c>
      <c r="I20" s="1506"/>
      <c r="J20" s="1506"/>
      <c r="K20" s="1506"/>
      <c r="L20" s="1506">
        <f>+H20</f>
        <v>0</v>
      </c>
      <c r="M20" s="1506"/>
      <c r="N20" s="1506"/>
      <c r="O20" s="1506"/>
      <c r="P20" s="1506">
        <f>O20+L20+N20</f>
        <v>0</v>
      </c>
      <c r="Q20" s="1506"/>
      <c r="R20" s="1506"/>
      <c r="S20" s="1506">
        <f>+P20</f>
        <v>0</v>
      </c>
      <c r="T20" s="1506"/>
      <c r="U20" s="1506"/>
      <c r="V20" s="1372">
        <f t="shared" si="3"/>
        <v>0</v>
      </c>
      <c r="W20" s="1482"/>
      <c r="X20" s="1307"/>
      <c r="Z20" s="1337"/>
    </row>
    <row r="21" spans="1:27" s="123" customFormat="1" ht="18.75" customHeight="1" outlineLevel="2">
      <c r="A21" s="1318">
        <v>2</v>
      </c>
      <c r="B21" s="1319"/>
      <c r="C21" s="1500" t="s">
        <v>322</v>
      </c>
      <c r="D21" s="1501"/>
      <c r="E21" s="1502"/>
      <c r="F21" s="1496">
        <f>+F22</f>
        <v>15</v>
      </c>
      <c r="G21" s="1609" t="e">
        <f t="shared" ref="G21:U21" si="6">+G22</f>
        <v>#N/A</v>
      </c>
      <c r="H21" s="1372" t="e">
        <f t="shared" si="5"/>
        <v>#N/A</v>
      </c>
      <c r="I21" s="1372">
        <f t="shared" si="6"/>
        <v>0</v>
      </c>
      <c r="J21" s="1372">
        <f t="shared" si="6"/>
        <v>0</v>
      </c>
      <c r="K21" s="1372">
        <f t="shared" si="6"/>
        <v>0</v>
      </c>
      <c r="L21" s="1372" t="e">
        <f t="shared" si="6"/>
        <v>#N/A</v>
      </c>
      <c r="M21" s="1372">
        <f t="shared" si="6"/>
        <v>0</v>
      </c>
      <c r="N21" s="1372" t="e">
        <f t="shared" si="6"/>
        <v>#REF!</v>
      </c>
      <c r="O21" s="1372" t="e">
        <f t="shared" si="6"/>
        <v>#REF!</v>
      </c>
      <c r="P21" s="1372" t="e">
        <f t="shared" si="6"/>
        <v>#N/A</v>
      </c>
      <c r="Q21" s="1372">
        <f t="shared" si="6"/>
        <v>0</v>
      </c>
      <c r="R21" s="1372">
        <f t="shared" si="6"/>
        <v>0</v>
      </c>
      <c r="S21" s="1372" t="e">
        <f t="shared" si="6"/>
        <v>#N/A</v>
      </c>
      <c r="T21" s="1372">
        <f t="shared" si="6"/>
        <v>0</v>
      </c>
      <c r="U21" s="1372">
        <f t="shared" si="6"/>
        <v>0</v>
      </c>
      <c r="V21" s="1372" t="e">
        <f t="shared" si="3"/>
        <v>#N/A</v>
      </c>
      <c r="W21" s="1483"/>
      <c r="X21" s="1503"/>
      <c r="Z21" s="1337"/>
    </row>
    <row r="22" spans="1:27" s="123" customFormat="1" ht="26.25" customHeight="1" outlineLevel="2">
      <c r="A22" s="1320" t="s">
        <v>893</v>
      </c>
      <c r="B22" s="1321"/>
      <c r="C22" s="1317" t="s">
        <v>888</v>
      </c>
      <c r="D22" s="1322"/>
      <c r="E22" s="1323"/>
      <c r="F22" s="1371">
        <v>15</v>
      </c>
      <c r="G22" s="1608" t="e">
        <f>+'Tổ 2'!H30</f>
        <v>#N/A</v>
      </c>
      <c r="H22" s="1372" t="e">
        <f t="shared" si="5"/>
        <v>#N/A</v>
      </c>
      <c r="I22" s="1376"/>
      <c r="J22" s="1376"/>
      <c r="K22" s="1376"/>
      <c r="L22" s="1376" t="e">
        <f>+H22</f>
        <v>#N/A</v>
      </c>
      <c r="M22" s="1376"/>
      <c r="N22" s="1376" t="e">
        <f>#REF!</f>
        <v>#REF!</v>
      </c>
      <c r="O22" s="1376" t="e">
        <f>#REF!</f>
        <v>#REF!</v>
      </c>
      <c r="P22" s="1376" t="e">
        <f>+'Tổ 2'!M30</f>
        <v>#N/A</v>
      </c>
      <c r="Q22" s="1376"/>
      <c r="R22" s="1376"/>
      <c r="S22" s="1484" t="e">
        <f>+P22</f>
        <v>#N/A</v>
      </c>
      <c r="T22" s="1376"/>
      <c r="U22" s="1376"/>
      <c r="V22" s="1372" t="e">
        <f t="shared" si="3"/>
        <v>#N/A</v>
      </c>
      <c r="W22" s="1215"/>
      <c r="X22" s="1504"/>
      <c r="Z22" s="1337"/>
    </row>
    <row r="23" spans="1:27" s="123" customFormat="1" ht="25.5" customHeight="1" outlineLevel="1">
      <c r="A23" s="1314">
        <v>3</v>
      </c>
      <c r="B23" s="1315"/>
      <c r="C23" s="1365" t="s">
        <v>371</v>
      </c>
      <c r="D23" s="1365"/>
      <c r="E23" s="1365"/>
      <c r="F23" s="1366">
        <v>7</v>
      </c>
      <c r="G23" s="1607" t="e">
        <f t="shared" ref="G23:U23" si="7">+G24</f>
        <v>#N/A</v>
      </c>
      <c r="H23" s="1372" t="e">
        <f t="shared" si="5"/>
        <v>#N/A</v>
      </c>
      <c r="I23" s="1372">
        <f t="shared" si="7"/>
        <v>0</v>
      </c>
      <c r="J23" s="1372">
        <f t="shared" si="7"/>
        <v>0</v>
      </c>
      <c r="K23" s="1372">
        <f t="shared" si="7"/>
        <v>0</v>
      </c>
      <c r="L23" s="1372" t="e">
        <f t="shared" si="7"/>
        <v>#N/A</v>
      </c>
      <c r="M23" s="1375">
        <f t="shared" si="7"/>
        <v>0</v>
      </c>
      <c r="N23" s="1375" t="e">
        <f t="shared" si="7"/>
        <v>#REF!</v>
      </c>
      <c r="O23" s="1375" t="e">
        <f t="shared" si="7"/>
        <v>#REF!</v>
      </c>
      <c r="P23" s="1375" t="e">
        <f t="shared" si="7"/>
        <v>#N/A</v>
      </c>
      <c r="Q23" s="1375">
        <f t="shared" si="7"/>
        <v>0</v>
      </c>
      <c r="R23" s="1375">
        <f t="shared" si="7"/>
        <v>0</v>
      </c>
      <c r="S23" s="1375" t="e">
        <f t="shared" si="7"/>
        <v>#N/A</v>
      </c>
      <c r="T23" s="1375">
        <f t="shared" si="7"/>
        <v>0</v>
      </c>
      <c r="U23" s="1375">
        <f t="shared" si="7"/>
        <v>0</v>
      </c>
      <c r="V23" s="1372" t="e">
        <f t="shared" si="3"/>
        <v>#N/A</v>
      </c>
      <c r="W23" s="1211"/>
      <c r="X23" s="1481"/>
      <c r="Y23" s="123">
        <f>+[12]VCKD!AD163</f>
        <v>104551558</v>
      </c>
      <c r="Z23" s="1360" t="e">
        <f>+Y23-V23</f>
        <v>#N/A</v>
      </c>
    </row>
    <row r="24" spans="1:27" s="123" customFormat="1" ht="26.25" customHeight="1" outlineLevel="2">
      <c r="A24" s="1485" t="s">
        <v>889</v>
      </c>
      <c r="B24" s="1505"/>
      <c r="C24" s="1317" t="s">
        <v>888</v>
      </c>
      <c r="D24" s="1317"/>
      <c r="E24" s="1320"/>
      <c r="F24" s="1486">
        <v>7</v>
      </c>
      <c r="G24" s="1608" t="e">
        <f>+'Tổ 3'!H24</f>
        <v>#N/A</v>
      </c>
      <c r="H24" s="1372" t="e">
        <f t="shared" si="5"/>
        <v>#N/A</v>
      </c>
      <c r="I24" s="1506"/>
      <c r="J24" s="1506"/>
      <c r="K24" s="1506"/>
      <c r="L24" s="1506" t="e">
        <f>+H24</f>
        <v>#N/A</v>
      </c>
      <c r="M24" s="1487"/>
      <c r="N24" s="1376" t="e">
        <f>'3'!#REF!</f>
        <v>#REF!</v>
      </c>
      <c r="O24" s="1376" t="e">
        <f>'3'!#REF!</f>
        <v>#REF!</v>
      </c>
      <c r="P24" s="1376" t="e">
        <f>+L24+N24+O24</f>
        <v>#N/A</v>
      </c>
      <c r="Q24" s="1376"/>
      <c r="R24" s="1376"/>
      <c r="S24" s="1376" t="e">
        <f>+P24</f>
        <v>#N/A</v>
      </c>
      <c r="T24" s="1376"/>
      <c r="U24" s="1376"/>
      <c r="V24" s="1372" t="e">
        <f t="shared" si="3"/>
        <v>#N/A</v>
      </c>
      <c r="W24" s="1488"/>
      <c r="X24" s="1504"/>
    </row>
    <row r="25" spans="1:27" s="1479" customFormat="1" ht="26.25" hidden="1" customHeight="1" outlineLevel="2">
      <c r="A25" s="1485" t="s">
        <v>968</v>
      </c>
      <c r="B25" s="1507"/>
      <c r="C25" s="1508" t="s">
        <v>930</v>
      </c>
      <c r="D25" s="1509"/>
      <c r="E25" s="1510"/>
      <c r="F25" s="1511"/>
      <c r="G25" s="1492">
        <f>+G26</f>
        <v>0</v>
      </c>
      <c r="H25" s="1372">
        <f t="shared" si="5"/>
        <v>0</v>
      </c>
      <c r="I25" s="1506">
        <f t="shared" ref="I25:U25" si="8">+I26</f>
        <v>0</v>
      </c>
      <c r="J25" s="1506">
        <f t="shared" si="8"/>
        <v>0</v>
      </c>
      <c r="K25" s="1506">
        <f t="shared" si="8"/>
        <v>0</v>
      </c>
      <c r="L25" s="1506">
        <f t="shared" ref="L25:L27" si="9">+H25</f>
        <v>0</v>
      </c>
      <c r="M25" s="1492">
        <f t="shared" si="8"/>
        <v>0</v>
      </c>
      <c r="N25" s="1492">
        <f t="shared" si="8"/>
        <v>0</v>
      </c>
      <c r="O25" s="1492">
        <f t="shared" si="8"/>
        <v>0</v>
      </c>
      <c r="P25" s="1376">
        <f t="shared" ref="P25:P27" si="10">+L25+N25+O25</f>
        <v>0</v>
      </c>
      <c r="Q25" s="1492">
        <f t="shared" si="8"/>
        <v>0</v>
      </c>
      <c r="R25" s="1492">
        <f t="shared" si="8"/>
        <v>0</v>
      </c>
      <c r="S25" s="1376">
        <f t="shared" ref="S25:S27" si="11">+P25</f>
        <v>0</v>
      </c>
      <c r="T25" s="1492">
        <f t="shared" si="8"/>
        <v>0</v>
      </c>
      <c r="U25" s="1492">
        <f t="shared" si="8"/>
        <v>0</v>
      </c>
      <c r="V25" s="1372">
        <f t="shared" si="3"/>
        <v>0</v>
      </c>
      <c r="W25" s="1493"/>
      <c r="X25" s="1512"/>
    </row>
    <row r="26" spans="1:27" s="123" customFormat="1" ht="26.25" hidden="1" customHeight="1" outlineLevel="2">
      <c r="A26" s="1485" t="s">
        <v>1076</v>
      </c>
      <c r="B26" s="1507"/>
      <c r="C26" s="1513" t="s">
        <v>933</v>
      </c>
      <c r="D26" s="1489"/>
      <c r="E26" s="1514"/>
      <c r="F26" s="1490"/>
      <c r="G26" s="1491">
        <v>0</v>
      </c>
      <c r="H26" s="1372">
        <f t="shared" si="5"/>
        <v>0</v>
      </c>
      <c r="I26" s="1506"/>
      <c r="J26" s="1506"/>
      <c r="K26" s="1506"/>
      <c r="L26" s="1506">
        <f t="shared" si="9"/>
        <v>0</v>
      </c>
      <c r="M26" s="1492"/>
      <c r="N26" s="1491"/>
      <c r="O26" s="1491"/>
      <c r="P26" s="1376">
        <f t="shared" si="10"/>
        <v>0</v>
      </c>
      <c r="Q26" s="1491"/>
      <c r="R26" s="1491"/>
      <c r="S26" s="1376">
        <f t="shared" si="11"/>
        <v>0</v>
      </c>
      <c r="T26" s="1491"/>
      <c r="U26" s="1491"/>
      <c r="V26" s="1372">
        <f t="shared" si="3"/>
        <v>0</v>
      </c>
      <c r="W26" s="1493"/>
      <c r="X26" s="1515"/>
    </row>
    <row r="27" spans="1:27" s="123" customFormat="1" ht="26.25" customHeight="1" outlineLevel="2">
      <c r="A27" s="1485" t="s">
        <v>968</v>
      </c>
      <c r="B27" s="1507"/>
      <c r="C27" s="1513" t="s">
        <v>933</v>
      </c>
      <c r="D27" s="1489"/>
      <c r="E27" s="1514"/>
      <c r="F27" s="1490"/>
      <c r="G27" s="1491" t="e">
        <f>'Tổ 3'!H24</f>
        <v>#N/A</v>
      </c>
      <c r="H27" s="1372" t="e">
        <f t="shared" si="5"/>
        <v>#N/A</v>
      </c>
      <c r="I27" s="1506"/>
      <c r="J27" s="1506"/>
      <c r="K27" s="1506"/>
      <c r="L27" s="1506" t="e">
        <f t="shared" si="9"/>
        <v>#N/A</v>
      </c>
      <c r="M27" s="1492"/>
      <c r="N27" s="1491"/>
      <c r="O27" s="1491"/>
      <c r="P27" s="1376" t="e">
        <f t="shared" si="10"/>
        <v>#N/A</v>
      </c>
      <c r="Q27" s="1491"/>
      <c r="R27" s="1491"/>
      <c r="S27" s="1376" t="e">
        <f t="shared" si="11"/>
        <v>#N/A</v>
      </c>
      <c r="T27" s="1491"/>
      <c r="U27" s="1491"/>
      <c r="V27" s="1372" t="e">
        <f t="shared" si="3"/>
        <v>#N/A</v>
      </c>
      <c r="W27" s="1493"/>
      <c r="X27" s="1515"/>
      <c r="Y27" s="123">
        <f>1700000/25000</f>
        <v>68</v>
      </c>
    </row>
    <row r="28" spans="1:27" s="123" customFormat="1" ht="26.25" customHeight="1" outlineLevel="1">
      <c r="A28" s="1494" t="s">
        <v>932</v>
      </c>
      <c r="B28" s="1495"/>
      <c r="C28" s="4242" t="s">
        <v>870</v>
      </c>
      <c r="D28" s="4243"/>
      <c r="E28" s="4244"/>
      <c r="F28" s="1496">
        <f>+F29</f>
        <v>1</v>
      </c>
      <c r="G28" s="1492">
        <f t="shared" ref="G28:U28" si="12">+G29</f>
        <v>68</v>
      </c>
      <c r="H28" s="1372">
        <f t="shared" si="5"/>
        <v>1700000</v>
      </c>
      <c r="I28" s="1372">
        <f t="shared" si="12"/>
        <v>0</v>
      </c>
      <c r="J28" s="1372">
        <f t="shared" si="12"/>
        <v>0</v>
      </c>
      <c r="K28" s="1372">
        <f t="shared" si="12"/>
        <v>0</v>
      </c>
      <c r="L28" s="1372">
        <f t="shared" si="12"/>
        <v>1700000</v>
      </c>
      <c r="M28" s="1372">
        <f t="shared" si="12"/>
        <v>0</v>
      </c>
      <c r="N28" s="1372">
        <f t="shared" si="12"/>
        <v>0</v>
      </c>
      <c r="O28" s="1372">
        <f t="shared" si="12"/>
        <v>0</v>
      </c>
      <c r="P28" s="1372">
        <f t="shared" si="12"/>
        <v>1700000</v>
      </c>
      <c r="Q28" s="1372">
        <f t="shared" si="12"/>
        <v>0</v>
      </c>
      <c r="R28" s="1372">
        <f t="shared" si="12"/>
        <v>0</v>
      </c>
      <c r="S28" s="1372">
        <f t="shared" si="12"/>
        <v>1700000</v>
      </c>
      <c r="T28" s="1372">
        <f t="shared" si="12"/>
        <v>0</v>
      </c>
      <c r="U28" s="1372">
        <f t="shared" si="12"/>
        <v>0</v>
      </c>
      <c r="V28" s="1372">
        <f t="shared" si="3"/>
        <v>1700000</v>
      </c>
      <c r="W28" s="1211">
        <f>+SUM(W29:W29)</f>
        <v>0</v>
      </c>
      <c r="X28" s="1481"/>
      <c r="Z28" s="1362">
        <f>+'[12]TRạm Cán'!V26</f>
        <v>28133235</v>
      </c>
      <c r="AA28" s="1359">
        <f>+Z28-V28</f>
        <v>26433235</v>
      </c>
    </row>
    <row r="29" spans="1:27" s="123" customFormat="1" ht="26.25" customHeight="1" outlineLevel="1">
      <c r="A29" s="1324">
        <v>1</v>
      </c>
      <c r="B29" s="1325"/>
      <c r="C29" s="1367" t="s">
        <v>654</v>
      </c>
      <c r="D29" s="1327"/>
      <c r="E29" s="1326"/>
      <c r="F29" s="1369">
        <v>1</v>
      </c>
      <c r="G29" s="1491">
        <v>68</v>
      </c>
      <c r="H29" s="1372">
        <f t="shared" si="5"/>
        <v>1700000</v>
      </c>
      <c r="I29" s="1506"/>
      <c r="J29" s="1506"/>
      <c r="K29" s="1506"/>
      <c r="L29" s="1506">
        <f>+H29</f>
        <v>1700000</v>
      </c>
      <c r="M29" s="1373"/>
      <c r="N29" s="1373"/>
      <c r="O29" s="1373"/>
      <c r="P29" s="1373">
        <f>+L29</f>
        <v>1700000</v>
      </c>
      <c r="Q29" s="1373"/>
      <c r="R29" s="1373"/>
      <c r="S29" s="1373">
        <f>+P29</f>
        <v>1700000</v>
      </c>
      <c r="T29" s="1373"/>
      <c r="U29" s="1373"/>
      <c r="V29" s="1372">
        <f t="shared" si="3"/>
        <v>1700000</v>
      </c>
      <c r="W29" s="1328"/>
      <c r="X29" s="1329"/>
      <c r="Z29" s="1362"/>
      <c r="AA29" s="1359"/>
    </row>
    <row r="30" spans="1:27" s="123" customFormat="1" ht="21.75" customHeight="1">
      <c r="A30" s="4238" t="s">
        <v>890</v>
      </c>
      <c r="B30" s="4239"/>
      <c r="C30" s="4239"/>
      <c r="D30" s="4239"/>
      <c r="E30" s="4239"/>
      <c r="F30" s="1497">
        <f>+F28+F17+F16</f>
        <v>59</v>
      </c>
      <c r="G30" s="1498" t="e">
        <f t="shared" ref="G30:V30" si="13">+G28+G17+G16+G25</f>
        <v>#N/A</v>
      </c>
      <c r="H30" s="1372" t="e">
        <f>+H28+H17+H16+H25</f>
        <v>#N/A</v>
      </c>
      <c r="I30" s="1372">
        <f t="shared" si="13"/>
        <v>0</v>
      </c>
      <c r="J30" s="1372">
        <f t="shared" si="13"/>
        <v>0</v>
      </c>
      <c r="K30" s="1372">
        <f t="shared" si="13"/>
        <v>0</v>
      </c>
      <c r="L30" s="1372" t="e">
        <f t="shared" si="13"/>
        <v>#N/A</v>
      </c>
      <c r="M30" s="1498">
        <f t="shared" si="13"/>
        <v>0</v>
      </c>
      <c r="N30" s="1498" t="e">
        <f t="shared" si="13"/>
        <v>#N/A</v>
      </c>
      <c r="O30" s="1498" t="e">
        <f t="shared" si="13"/>
        <v>#N/A</v>
      </c>
      <c r="P30" s="1498" t="e">
        <f t="shared" si="13"/>
        <v>#N/A</v>
      </c>
      <c r="Q30" s="1498">
        <f t="shared" si="13"/>
        <v>0</v>
      </c>
      <c r="R30" s="1498">
        <f t="shared" si="13"/>
        <v>0</v>
      </c>
      <c r="S30" s="1498" t="e">
        <f t="shared" si="13"/>
        <v>#N/A</v>
      </c>
      <c r="T30" s="1498">
        <f t="shared" si="13"/>
        <v>0</v>
      </c>
      <c r="U30" s="1498">
        <f t="shared" si="13"/>
        <v>0</v>
      </c>
      <c r="V30" s="1498" t="e">
        <f t="shared" si="13"/>
        <v>#N/A</v>
      </c>
      <c r="W30" s="1499"/>
      <c r="X30" s="1481"/>
    </row>
    <row r="31" spans="1:27" s="1361" customFormat="1" ht="24.6" customHeight="1">
      <c r="A31" s="4240" t="s">
        <v>1161</v>
      </c>
      <c r="B31" s="4240"/>
      <c r="C31" s="4240"/>
      <c r="D31" s="4240"/>
      <c r="E31" s="4240"/>
      <c r="F31" s="4240"/>
      <c r="G31" s="4240"/>
      <c r="H31" s="4240"/>
      <c r="I31" s="4240"/>
      <c r="J31" s="4240"/>
      <c r="K31" s="4240"/>
      <c r="L31" s="4240"/>
      <c r="M31" s="4240"/>
      <c r="N31" s="4240"/>
      <c r="O31" s="4240"/>
      <c r="P31" s="4240"/>
      <c r="Q31" s="4240"/>
      <c r="R31" s="4240"/>
      <c r="S31" s="4240"/>
      <c r="T31" s="4240"/>
      <c r="U31" s="4240"/>
      <c r="V31" s="4240"/>
      <c r="W31" s="4240"/>
      <c r="X31" s="4240"/>
      <c r="Y31" s="1363"/>
    </row>
    <row r="32" spans="1:27" s="123" customFormat="1" ht="24.6" customHeight="1">
      <c r="A32" s="1330"/>
      <c r="B32" s="1295"/>
      <c r="C32" s="42"/>
      <c r="D32" s="165"/>
      <c r="E32" s="41"/>
      <c r="F32" s="41"/>
      <c r="G32" s="217"/>
      <c r="H32" s="4241"/>
      <c r="I32" s="4241"/>
      <c r="J32" s="4241"/>
      <c r="K32" s="4241"/>
      <c r="L32" s="4241"/>
      <c r="M32" s="58"/>
      <c r="N32" s="58"/>
      <c r="O32" s="58"/>
      <c r="P32" s="58"/>
      <c r="Q32" s="4245" t="s">
        <v>1312</v>
      </c>
      <c r="R32" s="4245"/>
      <c r="S32" s="4245"/>
      <c r="T32" s="4245"/>
      <c r="U32" s="4245"/>
      <c r="V32" s="4245"/>
      <c r="W32" s="4245"/>
      <c r="X32" s="4245"/>
      <c r="Y32" s="214"/>
    </row>
    <row r="33" spans="1:27" s="801" customFormat="1" ht="24.6" customHeight="1">
      <c r="A33" s="1331"/>
      <c r="B33" s="3954" t="s">
        <v>891</v>
      </c>
      <c r="C33" s="3954"/>
      <c r="D33" s="3954"/>
      <c r="E33" s="3954"/>
      <c r="F33" s="3954"/>
      <c r="G33" s="3954"/>
      <c r="H33" s="3954"/>
      <c r="I33" s="3954"/>
      <c r="J33" s="3954"/>
      <c r="K33" s="3954"/>
      <c r="L33" s="3954"/>
      <c r="M33" s="3954"/>
      <c r="N33" s="3954"/>
      <c r="O33" s="1332"/>
      <c r="Q33" s="1332"/>
      <c r="R33" s="1332"/>
      <c r="S33" s="3954" t="s">
        <v>1104</v>
      </c>
      <c r="T33" s="3954"/>
      <c r="U33" s="3954"/>
      <c r="V33" s="3954"/>
      <c r="W33" s="3954"/>
      <c r="X33" s="3954"/>
      <c r="Y33" s="1364"/>
    </row>
    <row r="34" spans="1:27" s="123" customFormat="1" ht="24.6" customHeight="1">
      <c r="A34" s="1333"/>
      <c r="B34" s="1295"/>
      <c r="C34" s="58"/>
      <c r="D34" s="165"/>
      <c r="E34" s="41"/>
      <c r="F34" s="41"/>
      <c r="G34" s="217"/>
      <c r="H34" s="42"/>
      <c r="I34" s="42"/>
      <c r="J34" s="42"/>
      <c r="K34" s="42"/>
      <c r="L34" s="1334"/>
      <c r="M34" s="42"/>
      <c r="N34" s="42"/>
      <c r="O34" s="42"/>
      <c r="P34" s="1335"/>
      <c r="Q34" s="58"/>
      <c r="R34" s="42"/>
      <c r="S34" s="58"/>
      <c r="T34" s="42"/>
      <c r="U34" s="42"/>
      <c r="V34" s="42"/>
      <c r="W34" s="1336"/>
      <c r="X34" s="1337"/>
      <c r="AA34" s="123">
        <v>112</v>
      </c>
    </row>
    <row r="35" spans="1:27" s="123" customFormat="1" ht="24.6" customHeight="1">
      <c r="A35" s="1338"/>
      <c r="B35" s="1295"/>
      <c r="C35" s="58"/>
      <c r="D35" s="165"/>
      <c r="E35" s="41"/>
      <c r="F35" s="41"/>
      <c r="G35" s="1159"/>
      <c r="H35" s="1334"/>
      <c r="I35" s="42"/>
      <c r="J35" s="42"/>
      <c r="K35" s="42"/>
      <c r="L35" s="1334"/>
      <c r="M35" s="42"/>
      <c r="N35" s="1334"/>
      <c r="O35" s="1334"/>
      <c r="P35" s="1334"/>
      <c r="Q35" s="42"/>
      <c r="R35" s="42"/>
      <c r="S35" s="4233"/>
      <c r="T35" s="4233"/>
      <c r="U35" s="42"/>
      <c r="V35" s="42"/>
      <c r="W35" s="1336"/>
    </row>
    <row r="36" spans="1:27" s="123" customFormat="1" ht="24.6" customHeight="1">
      <c r="A36" s="1333"/>
      <c r="B36" s="1295"/>
      <c r="C36" s="58"/>
      <c r="D36" s="165"/>
      <c r="E36" s="41"/>
      <c r="F36" s="41"/>
      <c r="G36" s="58"/>
      <c r="H36" s="2032"/>
      <c r="I36" s="1339"/>
      <c r="J36" s="1339"/>
      <c r="K36" s="1339"/>
      <c r="L36" s="1334"/>
      <c r="M36" s="1334"/>
      <c r="N36" s="1334"/>
      <c r="O36" s="1334"/>
      <c r="P36" s="1334"/>
      <c r="Q36" s="1334"/>
      <c r="R36" s="42"/>
      <c r="S36" s="58"/>
      <c r="T36" s="42"/>
      <c r="U36" s="42"/>
      <c r="V36" s="1130"/>
      <c r="W36" s="1336"/>
    </row>
    <row r="37" spans="1:27" s="1342" customFormat="1" ht="24.6" customHeight="1">
      <c r="A37" s="1338"/>
      <c r="B37" s="1295"/>
      <c r="C37" s="58"/>
      <c r="D37" s="165"/>
      <c r="E37" s="1340"/>
      <c r="F37" s="41"/>
      <c r="G37" s="42"/>
      <c r="H37" s="2033"/>
      <c r="I37" s="1341"/>
      <c r="J37" s="1341"/>
      <c r="K37" s="1341"/>
      <c r="L37" s="1334"/>
      <c r="M37" s="42"/>
      <c r="N37" s="4226"/>
      <c r="O37" s="4226"/>
      <c r="P37" s="4227"/>
      <c r="Q37" s="4227"/>
      <c r="R37" s="42"/>
      <c r="S37" s="58"/>
      <c r="T37" s="42"/>
      <c r="V37" s="1343"/>
    </row>
    <row r="38" spans="1:27" s="1342" customFormat="1" ht="24.6" customHeight="1">
      <c r="A38" s="1333"/>
      <c r="B38" s="1295"/>
      <c r="C38" s="58"/>
      <c r="D38" s="165"/>
      <c r="E38" s="1344"/>
      <c r="F38" s="41"/>
      <c r="G38" s="42"/>
      <c r="H38" s="217"/>
      <c r="I38" s="217"/>
      <c r="J38" s="217"/>
      <c r="K38" s="217"/>
      <c r="L38" s="1334"/>
      <c r="M38" s="42"/>
      <c r="N38" s="4228"/>
      <c r="O38" s="4228"/>
      <c r="P38" s="4227"/>
      <c r="Q38" s="4227"/>
      <c r="R38" s="42"/>
      <c r="S38" s="58"/>
      <c r="T38" s="42"/>
      <c r="U38" s="4229"/>
      <c r="V38" s="4230"/>
      <c r="W38" s="4230"/>
    </row>
    <row r="39" spans="1:27" s="1342" customFormat="1" ht="24.6" customHeight="1">
      <c r="A39" s="1333"/>
      <c r="B39" s="1295"/>
      <c r="C39" s="58"/>
      <c r="D39" s="165"/>
      <c r="E39" s="1340"/>
      <c r="F39" s="1339"/>
      <c r="G39" s="42"/>
      <c r="H39" s="1345"/>
      <c r="I39" s="1345"/>
      <c r="J39" s="1345"/>
      <c r="K39" s="1345"/>
      <c r="L39" s="1346"/>
      <c r="M39" s="1130"/>
      <c r="N39" s="4231"/>
      <c r="O39" s="4232"/>
      <c r="P39" s="1159"/>
      <c r="Q39" s="42"/>
      <c r="R39" s="42"/>
      <c r="S39" s="58"/>
      <c r="T39" s="42"/>
      <c r="U39" s="42"/>
      <c r="V39" s="1347"/>
      <c r="W39" s="1348"/>
      <c r="X39" s="1349"/>
    </row>
    <row r="40" spans="1:27" s="1342" customFormat="1" ht="24.6" customHeight="1">
      <c r="A40" s="1338"/>
      <c r="B40" s="1295"/>
      <c r="C40" s="58"/>
      <c r="D40" s="165"/>
      <c r="E40" s="1350"/>
      <c r="F40" s="1339"/>
      <c r="G40" s="42"/>
      <c r="H40" s="42"/>
      <c r="I40" s="42"/>
      <c r="J40" s="42"/>
      <c r="K40" s="42"/>
      <c r="L40" s="1346"/>
      <c r="M40" s="1130"/>
      <c r="N40" s="58"/>
      <c r="O40" s="58"/>
      <c r="P40" s="1351"/>
      <c r="Q40" s="58"/>
      <c r="R40" s="58"/>
      <c r="S40" s="58"/>
      <c r="T40" s="4226"/>
      <c r="U40" s="4226"/>
      <c r="V40" s="58"/>
      <c r="W40" s="1352"/>
    </row>
    <row r="41" spans="1:27" s="1342" customFormat="1" ht="24.6" customHeight="1">
      <c r="A41" s="1333"/>
      <c r="B41" s="1295"/>
      <c r="C41" s="58"/>
      <c r="D41" s="165"/>
      <c r="E41" s="41"/>
      <c r="F41" s="41"/>
      <c r="G41" s="42"/>
      <c r="H41" s="42"/>
      <c r="I41" s="42"/>
      <c r="J41" s="42"/>
      <c r="K41" s="42"/>
      <c r="L41" s="1334"/>
      <c r="M41" s="42"/>
      <c r="N41" s="58"/>
      <c r="O41" s="42"/>
      <c r="P41" s="1351"/>
      <c r="Q41" s="58"/>
      <c r="R41" s="58"/>
      <c r="S41" s="58"/>
      <c r="T41" s="58"/>
      <c r="U41" s="58"/>
      <c r="V41" s="42"/>
      <c r="W41" s="1352"/>
    </row>
    <row r="42" spans="1:27" s="1342" customFormat="1" ht="24.6" customHeight="1">
      <c r="A42" s="1333"/>
      <c r="B42" s="1295"/>
      <c r="C42" s="42"/>
      <c r="D42" s="165"/>
      <c r="E42" s="41"/>
      <c r="F42" s="41"/>
      <c r="G42" s="42"/>
      <c r="H42" s="42"/>
      <c r="I42" s="42"/>
      <c r="J42" s="42"/>
      <c r="K42" s="42"/>
      <c r="L42" s="1334"/>
      <c r="M42" s="42"/>
      <c r="N42" s="42"/>
      <c r="O42" s="42"/>
      <c r="P42" s="58"/>
      <c r="Q42" s="58"/>
      <c r="R42" s="58"/>
      <c r="S42" s="58"/>
      <c r="T42" s="58"/>
      <c r="U42" s="58"/>
      <c r="V42" s="42"/>
      <c r="W42" s="1348"/>
    </row>
    <row r="43" spans="1:27" s="1342" customFormat="1" ht="24.6" customHeight="1">
      <c r="A43" s="1338"/>
      <c r="B43" s="1295"/>
      <c r="C43" s="42"/>
      <c r="D43" s="165"/>
      <c r="E43" s="41"/>
      <c r="F43" s="41"/>
      <c r="G43" s="42"/>
      <c r="H43" s="42"/>
      <c r="I43" s="42"/>
      <c r="J43" s="42"/>
      <c r="K43" s="42"/>
      <c r="L43" s="1334"/>
      <c r="M43" s="42"/>
      <c r="N43" s="42"/>
      <c r="O43" s="42"/>
      <c r="P43" s="58"/>
      <c r="Q43" s="4155"/>
      <c r="R43" s="4155"/>
      <c r="S43" s="4155"/>
      <c r="T43" s="4155"/>
      <c r="U43" s="39"/>
      <c r="V43" s="39"/>
      <c r="W43" s="1352"/>
    </row>
    <row r="44" spans="1:27" s="1342" customFormat="1" ht="24.6" customHeight="1">
      <c r="A44" s="1338"/>
      <c r="B44" s="1295"/>
      <c r="C44" s="42"/>
      <c r="D44" s="165"/>
      <c r="E44" s="41"/>
      <c r="F44" s="41"/>
      <c r="G44" s="42"/>
      <c r="H44" s="42"/>
      <c r="I44" s="42"/>
      <c r="J44" s="42"/>
      <c r="K44" s="42"/>
      <c r="L44" s="1334"/>
      <c r="M44" s="42"/>
      <c r="N44" s="42"/>
      <c r="O44" s="42"/>
      <c r="P44" s="1159"/>
      <c r="Q44" s="42"/>
      <c r="R44" s="42"/>
      <c r="S44" s="42"/>
      <c r="T44" s="42"/>
      <c r="U44" s="42"/>
      <c r="V44" s="42"/>
      <c r="W44" s="1352"/>
    </row>
    <row r="45" spans="1:27" s="1342" customFormat="1" ht="24.6" customHeight="1">
      <c r="A45" s="1310"/>
      <c r="B45" s="1295"/>
      <c r="C45" s="42"/>
      <c r="D45" s="165"/>
      <c r="E45" s="41"/>
      <c r="F45" s="41"/>
      <c r="G45" s="42"/>
      <c r="H45" s="42"/>
      <c r="I45" s="42"/>
      <c r="J45" s="42"/>
      <c r="K45" s="42"/>
      <c r="L45" s="1334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1348"/>
    </row>
    <row r="46" spans="1:27" s="123" customFormat="1" ht="24.6" customHeight="1">
      <c r="A46" s="42"/>
      <c r="B46" s="1295"/>
      <c r="C46" s="42"/>
      <c r="D46" s="165"/>
      <c r="E46" s="41"/>
      <c r="F46" s="41"/>
      <c r="G46" s="42"/>
      <c r="H46" s="42"/>
      <c r="I46" s="42"/>
      <c r="J46" s="42"/>
      <c r="K46" s="42"/>
      <c r="L46" s="1334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1352"/>
    </row>
    <row r="47" spans="1:27" s="123" customFormat="1" ht="30" customHeight="1">
      <c r="A47" s="40"/>
      <c r="B47" s="1295"/>
      <c r="C47" s="42"/>
      <c r="D47" s="165"/>
      <c r="E47" s="41"/>
      <c r="F47" s="41"/>
      <c r="G47" s="42"/>
      <c r="H47" s="42"/>
      <c r="I47" s="42"/>
      <c r="J47" s="42"/>
      <c r="K47" s="42"/>
      <c r="L47" s="1334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1353"/>
    </row>
    <row r="48" spans="1:27" ht="21" customHeight="1">
      <c r="P48" s="1159"/>
      <c r="V48" s="1157"/>
      <c r="W48" s="1354"/>
    </row>
    <row r="49" spans="1:23" s="40" customFormat="1" ht="21.75" customHeight="1">
      <c r="A49" s="42"/>
      <c r="B49" s="1295"/>
      <c r="C49" s="42"/>
      <c r="D49" s="165"/>
      <c r="E49" s="41"/>
      <c r="F49" s="41"/>
      <c r="G49" s="42"/>
      <c r="H49" s="42"/>
      <c r="I49" s="42"/>
      <c r="J49" s="42"/>
      <c r="K49" s="42"/>
      <c r="L49" s="1334"/>
      <c r="M49" s="42"/>
      <c r="N49" s="42"/>
      <c r="O49" s="42"/>
      <c r="P49" s="1159"/>
      <c r="Q49" s="42"/>
      <c r="R49" s="42"/>
      <c r="S49" s="42"/>
      <c r="T49" s="42"/>
      <c r="U49" s="42"/>
      <c r="V49" s="42"/>
      <c r="W49" s="39"/>
    </row>
    <row r="51" spans="1:23">
      <c r="P51" s="58"/>
      <c r="S51" s="58"/>
    </row>
    <row r="54" spans="1:23">
      <c r="W54" s="58"/>
    </row>
    <row r="59" spans="1:23">
      <c r="W59" s="39"/>
    </row>
    <row r="64" spans="1:23">
      <c r="W64" s="1157"/>
    </row>
  </sheetData>
  <mergeCells count="54">
    <mergeCell ref="A8:X8"/>
    <mergeCell ref="A1:X1"/>
    <mergeCell ref="A2:X2"/>
    <mergeCell ref="A7:X7"/>
    <mergeCell ref="A3:X3"/>
    <mergeCell ref="A4:G4"/>
    <mergeCell ref="A5:G5"/>
    <mergeCell ref="A12:A15"/>
    <mergeCell ref="D12:D15"/>
    <mergeCell ref="E12:E15"/>
    <mergeCell ref="F12:F15"/>
    <mergeCell ref="B12:C15"/>
    <mergeCell ref="D9:F9"/>
    <mergeCell ref="B10:C10"/>
    <mergeCell ref="D10:F10"/>
    <mergeCell ref="I13:I15"/>
    <mergeCell ref="J13:J15"/>
    <mergeCell ref="G14:G15"/>
    <mergeCell ref="H14:H15"/>
    <mergeCell ref="G13:H13"/>
    <mergeCell ref="U12:U15"/>
    <mergeCell ref="V12:V15"/>
    <mergeCell ref="W12:W15"/>
    <mergeCell ref="X12:X15"/>
    <mergeCell ref="G12:O12"/>
    <mergeCell ref="P12:P15"/>
    <mergeCell ref="Q12:Q15"/>
    <mergeCell ref="R12:R15"/>
    <mergeCell ref="S12:S15"/>
    <mergeCell ref="T12:T15"/>
    <mergeCell ref="N13:N15"/>
    <mergeCell ref="O13:O15"/>
    <mergeCell ref="K13:K15"/>
    <mergeCell ref="L13:L15"/>
    <mergeCell ref="M13:M15"/>
    <mergeCell ref="C16:E16"/>
    <mergeCell ref="C17:E17"/>
    <mergeCell ref="A30:E30"/>
    <mergeCell ref="A31:X31"/>
    <mergeCell ref="H32:L32"/>
    <mergeCell ref="C28:E28"/>
    <mergeCell ref="Q32:X32"/>
    <mergeCell ref="B33:G33"/>
    <mergeCell ref="S33:X33"/>
    <mergeCell ref="Q43:T43"/>
    <mergeCell ref="N37:O37"/>
    <mergeCell ref="P37:Q37"/>
    <mergeCell ref="N38:O38"/>
    <mergeCell ref="P38:Q38"/>
    <mergeCell ref="U38:W38"/>
    <mergeCell ref="N39:O39"/>
    <mergeCell ref="T40:U40"/>
    <mergeCell ref="H33:N33"/>
    <mergeCell ref="S35:T35"/>
  </mergeCells>
  <pageMargins left="0.15748031496062992" right="0.23622047244094491" top="0.43307086614173229" bottom="0.31496062992125984" header="0.31496062992125984" footer="0.31496062992125984"/>
  <pageSetup scale="7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8"/>
  <sheetViews>
    <sheetView zoomScale="85" zoomScaleNormal="85" workbookViewId="0">
      <selection activeCell="F50" sqref="F50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hidden="1" customWidth="1"/>
    <col min="5" max="5" width="13.125" style="280" customWidth="1"/>
    <col min="6" max="6" width="13.125" style="1988" customWidth="1"/>
    <col min="7" max="7" width="11" style="280" customWidth="1"/>
    <col min="8" max="8" width="17.125" style="156" customWidth="1"/>
    <col min="9" max="9" width="12.25" style="156" hidden="1" customWidth="1"/>
    <col min="10" max="10" width="19.75" style="798" customWidth="1"/>
    <col min="11" max="12" width="17.25" style="156" customWidth="1"/>
    <col min="13" max="13" width="19.875" style="156" customWidth="1"/>
    <col min="14" max="14" width="17.25" style="156" hidden="1" customWidth="1"/>
    <col min="15" max="15" width="19" style="156" customWidth="1"/>
    <col min="16" max="16" width="19.375" style="156" customWidth="1"/>
    <col min="17" max="17" width="19.25" style="156" bestFit="1" customWidth="1"/>
    <col min="18" max="18" width="13.375" style="156" customWidth="1"/>
    <col min="19" max="19" width="18.25" style="156" customWidth="1"/>
    <col min="20" max="20" width="16.125" style="156" customWidth="1"/>
    <col min="21" max="21" width="16.25" style="156" bestFit="1" customWidth="1"/>
    <col min="22" max="22" width="14.625" style="156" customWidth="1"/>
    <col min="23" max="23" width="15" style="156" customWidth="1"/>
    <col min="24" max="24" width="20.25" style="156" customWidth="1"/>
    <col min="25" max="16384" width="9.375" style="156"/>
  </cols>
  <sheetData>
    <row r="1" spans="1:24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  <c r="O1" s="3945"/>
      <c r="P1" s="1694"/>
    </row>
    <row r="2" spans="1:24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  <c r="O2" s="3945"/>
      <c r="P2" s="1694"/>
    </row>
    <row r="3" spans="1:24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3950"/>
      <c r="M3" s="3950"/>
      <c r="N3" s="3950"/>
      <c r="O3" s="3950"/>
      <c r="P3" s="1695"/>
    </row>
    <row r="4" spans="1:24">
      <c r="A4" s="3949" t="s">
        <v>574</v>
      </c>
      <c r="B4" s="3949"/>
      <c r="C4" s="3949"/>
      <c r="D4" s="3949"/>
      <c r="E4" s="3949"/>
      <c r="F4" s="3949"/>
      <c r="G4" s="3949"/>
      <c r="H4" s="3949"/>
      <c r="I4" s="1532"/>
      <c r="J4" s="1532"/>
    </row>
    <row r="5" spans="1:24" ht="15.75" customHeight="1">
      <c r="A5" s="3945" t="s">
        <v>541</v>
      </c>
      <c r="B5" s="3945"/>
      <c r="C5" s="3945"/>
      <c r="D5" s="3945"/>
      <c r="E5" s="3945"/>
      <c r="F5" s="3945"/>
      <c r="G5" s="3945"/>
      <c r="H5" s="3945"/>
      <c r="I5" s="1533"/>
      <c r="J5" s="1533"/>
    </row>
    <row r="6" spans="1:24">
      <c r="A6" s="693"/>
      <c r="B6" s="693"/>
      <c r="C6" s="693"/>
      <c r="D6" s="693"/>
      <c r="E6" s="693"/>
      <c r="F6" s="1987"/>
      <c r="G6" s="693"/>
      <c r="H6" s="693"/>
      <c r="I6" s="693"/>
      <c r="J6" s="693"/>
      <c r="K6" s="693"/>
      <c r="L6" s="693"/>
      <c r="M6" s="693"/>
      <c r="N6" s="693"/>
      <c r="O6" s="693"/>
      <c r="P6" s="1694"/>
    </row>
    <row r="7" spans="1:24" ht="18.75">
      <c r="A7" s="3951" t="s">
        <v>1153</v>
      </c>
      <c r="B7" s="3951"/>
      <c r="C7" s="3951"/>
      <c r="D7" s="3951"/>
      <c r="E7" s="3951"/>
      <c r="F7" s="3951"/>
      <c r="G7" s="3951"/>
      <c r="H7" s="3951"/>
      <c r="I7" s="3951"/>
      <c r="J7" s="3951"/>
      <c r="K7" s="3951"/>
      <c r="L7" s="3951"/>
      <c r="M7" s="3951"/>
      <c r="N7" s="3951"/>
      <c r="O7" s="3951"/>
      <c r="P7" s="1696"/>
    </row>
    <row r="8" spans="1:24" ht="18.75">
      <c r="A8" s="3951" t="s">
        <v>321</v>
      </c>
      <c r="B8" s="3951"/>
      <c r="C8" s="3951"/>
      <c r="D8" s="3951"/>
      <c r="E8" s="3951"/>
      <c r="F8" s="3951"/>
      <c r="G8" s="3951"/>
      <c r="H8" s="3951"/>
      <c r="I8" s="3951"/>
      <c r="J8" s="3951"/>
      <c r="K8" s="3951"/>
      <c r="L8" s="3951"/>
      <c r="M8" s="3951"/>
      <c r="N8" s="3951"/>
      <c r="O8" s="3951"/>
      <c r="P8" s="1696"/>
    </row>
    <row r="9" spans="1:24" ht="18.75" hidden="1">
      <c r="A9" s="1378"/>
      <c r="B9" s="1378"/>
      <c r="C9" s="1388" t="s">
        <v>847</v>
      </c>
      <c r="D9" s="1388"/>
      <c r="E9" s="1388">
        <v>21178</v>
      </c>
      <c r="F9" s="1388"/>
      <c r="G9" s="1378"/>
      <c r="H9" s="1378"/>
      <c r="I9" s="1378"/>
      <c r="J9" s="1378"/>
      <c r="K9" s="1378"/>
      <c r="L9" s="1378"/>
      <c r="M9" s="1378"/>
      <c r="N9" s="1378"/>
      <c r="O9" s="1378"/>
      <c r="P9" s="1696"/>
    </row>
    <row r="10" spans="1:24" hidden="1">
      <c r="C10" s="1389" t="s">
        <v>848</v>
      </c>
      <c r="D10" s="1390"/>
      <c r="E10" s="1392">
        <v>0.98919999999999997</v>
      </c>
      <c r="F10" s="1392"/>
    </row>
    <row r="11" spans="1:24" hidden="1">
      <c r="C11" s="1389" t="s">
        <v>894</v>
      </c>
      <c r="D11" s="1390"/>
      <c r="E11" s="1391">
        <v>653.07000000000005</v>
      </c>
      <c r="F11" s="1391"/>
    </row>
    <row r="12" spans="1:24" ht="16.5" customHeight="1">
      <c r="A12" s="4283" t="s">
        <v>1</v>
      </c>
      <c r="B12" s="4274" t="s">
        <v>2</v>
      </c>
      <c r="C12" s="4275"/>
      <c r="D12" s="1521"/>
      <c r="E12" s="4283" t="s">
        <v>5</v>
      </c>
      <c r="F12" s="4283" t="s">
        <v>17</v>
      </c>
      <c r="G12" s="4283" t="s">
        <v>853</v>
      </c>
      <c r="H12" s="4138" t="s">
        <v>6</v>
      </c>
      <c r="I12" s="4138"/>
      <c r="J12" s="4138"/>
      <c r="K12" s="4138"/>
      <c r="L12" s="4138"/>
      <c r="M12" s="4283" t="s">
        <v>233</v>
      </c>
      <c r="N12" s="4138" t="s">
        <v>8</v>
      </c>
      <c r="O12" s="4132" t="s">
        <v>1152</v>
      </c>
      <c r="P12" s="1700"/>
    </row>
    <row r="13" spans="1:24" ht="42" customHeight="1">
      <c r="A13" s="4284"/>
      <c r="B13" s="4276"/>
      <c r="C13" s="4277"/>
      <c r="D13" s="1521" t="s">
        <v>239</v>
      </c>
      <c r="E13" s="4284"/>
      <c r="F13" s="4284"/>
      <c r="G13" s="4284"/>
      <c r="H13" s="4280" t="s">
        <v>1158</v>
      </c>
      <c r="I13" s="4281"/>
      <c r="J13" s="4282"/>
      <c r="K13" s="4132" t="s">
        <v>56</v>
      </c>
      <c r="L13" s="4132" t="s">
        <v>57</v>
      </c>
      <c r="M13" s="4284"/>
      <c r="N13" s="4138"/>
      <c r="O13" s="4290"/>
      <c r="P13" s="1701"/>
    </row>
    <row r="14" spans="1:24" ht="27.75" customHeight="1">
      <c r="A14" s="4285"/>
      <c r="B14" s="4278"/>
      <c r="C14" s="4279"/>
      <c r="D14" s="1991"/>
      <c r="E14" s="4285"/>
      <c r="F14" s="4285"/>
      <c r="G14" s="4285"/>
      <c r="H14" s="1990" t="s">
        <v>362</v>
      </c>
      <c r="I14" s="1990"/>
      <c r="J14" s="800" t="s">
        <v>24</v>
      </c>
      <c r="K14" s="4133"/>
      <c r="L14" s="4133"/>
      <c r="M14" s="4285"/>
      <c r="N14" s="1991"/>
      <c r="O14" s="4133"/>
      <c r="P14" s="1701"/>
    </row>
    <row r="15" spans="1:24" ht="18" hidden="1" customHeight="1">
      <c r="A15" s="1521">
        <v>1</v>
      </c>
      <c r="B15" s="1521">
        <v>2</v>
      </c>
      <c r="C15" s="1521">
        <v>2</v>
      </c>
      <c r="D15" s="1521">
        <v>4</v>
      </c>
      <c r="E15" s="1521">
        <v>3</v>
      </c>
      <c r="F15" s="1998"/>
      <c r="G15" s="1998">
        <v>4</v>
      </c>
      <c r="H15" s="1998">
        <v>5</v>
      </c>
      <c r="I15" s="1998">
        <v>6</v>
      </c>
      <c r="J15" s="1998">
        <v>6</v>
      </c>
      <c r="K15" s="1998">
        <v>7</v>
      </c>
      <c r="L15" s="1998">
        <v>8</v>
      </c>
      <c r="M15" s="1998">
        <v>9</v>
      </c>
      <c r="N15" s="1998">
        <v>10</v>
      </c>
      <c r="O15" s="1998">
        <v>10</v>
      </c>
      <c r="P15" s="1701"/>
      <c r="Q15" s="684"/>
      <c r="S15" s="156" t="s">
        <v>720</v>
      </c>
      <c r="T15" s="798">
        <f>'CV KHAC'!M14</f>
        <v>0</v>
      </c>
      <c r="V15" s="895">
        <v>648</v>
      </c>
      <c r="W15" s="895">
        <v>304</v>
      </c>
      <c r="X15" s="894">
        <f>+V15-W15</f>
        <v>344</v>
      </c>
    </row>
    <row r="16" spans="1:24" s="157" customFormat="1" ht="27" customHeight="1">
      <c r="A16" s="1580">
        <v>1</v>
      </c>
      <c r="B16" s="1581" t="s">
        <v>195</v>
      </c>
      <c r="C16" s="1611">
        <f>'Chấm công công nhân'!L12</f>
        <v>0</v>
      </c>
      <c r="D16" s="1582"/>
      <c r="E16" s="2013" t="s">
        <v>40</v>
      </c>
      <c r="F16" s="1587"/>
      <c r="G16" s="1587" t="s">
        <v>272</v>
      </c>
      <c r="H16" s="1601" t="e">
        <f>VLOOKUP(C16,'BẢNG LƯƠNG KT'!C17:G54,5,0)</f>
        <v>#N/A</v>
      </c>
      <c r="I16" s="1587"/>
      <c r="J16" s="1592" t="e">
        <f>H16*25000</f>
        <v>#N/A</v>
      </c>
      <c r="K16" s="1592" t="e">
        <f>+VLOOKUP(C16,'BẢNG LƯƠNG KT'!C17:L17,10,0)</f>
        <v>#N/A</v>
      </c>
      <c r="L16" s="1592" t="e">
        <f>VLOOKUP(C16,'BẢNG LƯƠNG KT'!C17:S17,15,0)</f>
        <v>#N/A</v>
      </c>
      <c r="M16" s="1592" t="e">
        <f>SUM(J16:L16)</f>
        <v>#N/A</v>
      </c>
      <c r="N16" s="1592"/>
      <c r="O16" s="1592" t="e">
        <f>M16</f>
        <v>#N/A</v>
      </c>
      <c r="P16" s="1702"/>
      <c r="S16" s="157" t="s">
        <v>722</v>
      </c>
      <c r="T16" s="897">
        <v>1500000</v>
      </c>
      <c r="V16" s="896">
        <f>SUM(V15:V15)</f>
        <v>648</v>
      </c>
      <c r="W16" s="896">
        <f>SUM(W15:W15)</f>
        <v>304</v>
      </c>
      <c r="X16" s="894">
        <f>+V16-W16</f>
        <v>344</v>
      </c>
    </row>
    <row r="17" spans="1:24" ht="22.5">
      <c r="A17" s="1587">
        <v>2</v>
      </c>
      <c r="B17" s="1588" t="s">
        <v>420</v>
      </c>
      <c r="C17" s="1611" t="str">
        <f>'Chấm công công nhân'!L13</f>
        <v>Vắt Đi</v>
      </c>
      <c r="D17" s="1589"/>
      <c r="E17" s="2014" t="s">
        <v>40</v>
      </c>
      <c r="F17" s="1587"/>
      <c r="G17" s="1587" t="s">
        <v>272</v>
      </c>
      <c r="H17" s="1601" t="e">
        <f>VLOOKUP(C17,'BẢNG LƯƠNG KT'!C18:G55,5,0)</f>
        <v>#N/A</v>
      </c>
      <c r="I17" s="1587"/>
      <c r="J17" s="1592" t="e">
        <f t="shared" ref="J17:J52" si="0">H17*25000</f>
        <v>#N/A</v>
      </c>
      <c r="K17" s="1592" t="e">
        <f>+VLOOKUP(C17,'BẢNG LƯƠNG KT'!C18:L18,10,0)</f>
        <v>#N/A</v>
      </c>
      <c r="L17" s="1592" t="e">
        <f>VLOOKUP(C17,'BẢNG LƯƠNG KT'!C18:S18,15,0)</f>
        <v>#N/A</v>
      </c>
      <c r="M17" s="1592" t="e">
        <f t="shared" ref="M17:M46" si="1">SUM(J17:L17)</f>
        <v>#N/A</v>
      </c>
      <c r="N17" s="1592"/>
      <c r="O17" s="1592" t="e">
        <f t="shared" ref="O17:O52" si="2">M17</f>
        <v>#N/A</v>
      </c>
      <c r="P17" s="1702"/>
    </row>
    <row r="18" spans="1:24" ht="22.5">
      <c r="A18" s="1580">
        <v>3</v>
      </c>
      <c r="B18" s="1588" t="s">
        <v>427</v>
      </c>
      <c r="C18" s="1611" t="str">
        <f>'Chấm công công nhân'!L14</f>
        <v>Mẹ Leo</v>
      </c>
      <c r="D18" s="1589"/>
      <c r="E18" s="2014" t="s">
        <v>40</v>
      </c>
      <c r="F18" s="1587"/>
      <c r="G18" s="1587" t="s">
        <v>272</v>
      </c>
      <c r="H18" s="1601" t="e">
        <f>VLOOKUP(C18,'BẢNG LƯƠNG KT'!C19:G56,5,0)</f>
        <v>#N/A</v>
      </c>
      <c r="I18" s="1587"/>
      <c r="J18" s="1592" t="e">
        <f t="shared" si="0"/>
        <v>#N/A</v>
      </c>
      <c r="K18" s="1592" t="e">
        <f>+VLOOKUP(C18,'BẢNG LƯƠNG KT'!C19:L19,10,0)</f>
        <v>#N/A</v>
      </c>
      <c r="L18" s="1592" t="e">
        <f>VLOOKUP(C18,'BẢNG LƯƠNG KT'!C19:S19,15,0)</f>
        <v>#N/A</v>
      </c>
      <c r="M18" s="1592" t="e">
        <f t="shared" si="1"/>
        <v>#N/A</v>
      </c>
      <c r="N18" s="1592"/>
      <c r="O18" s="1592" t="e">
        <f t="shared" si="2"/>
        <v>#N/A</v>
      </c>
      <c r="P18" s="1702"/>
      <c r="R18" s="684"/>
      <c r="W18" s="156">
        <f>+V16-W16</f>
        <v>344</v>
      </c>
    </row>
    <row r="19" spans="1:24" s="1856" customFormat="1" ht="22.5" hidden="1">
      <c r="A19" s="1976">
        <v>4</v>
      </c>
      <c r="B19" s="1977" t="s">
        <v>425</v>
      </c>
      <c r="C19" s="1978" t="str">
        <f>'Chấm công công nhân'!L15</f>
        <v xml:space="preserve">Thảo Ken </v>
      </c>
      <c r="D19" s="1979"/>
      <c r="E19" s="2015" t="s">
        <v>40</v>
      </c>
      <c r="F19" s="1976"/>
      <c r="G19" s="1976" t="s">
        <v>272</v>
      </c>
      <c r="H19" s="1601" t="e">
        <f>VLOOKUP(C19,'BẢNG LƯƠNG KT'!C20:G57,5,0)</f>
        <v>#N/A</v>
      </c>
      <c r="I19" s="1976"/>
      <c r="J19" s="1592" t="e">
        <f t="shared" si="0"/>
        <v>#N/A</v>
      </c>
      <c r="K19" s="1603" t="e">
        <f>+VLOOKUP(C19,'BẢNG LƯƠNG KT'!C20:L20,10,0)</f>
        <v>#N/A</v>
      </c>
      <c r="L19" s="1603" t="e">
        <f>VLOOKUP(C19,'BẢNG LƯƠNG KT'!C20:S20,15,0)</f>
        <v>#N/A</v>
      </c>
      <c r="M19" s="1603" t="e">
        <f t="shared" si="1"/>
        <v>#N/A</v>
      </c>
      <c r="N19" s="1603"/>
      <c r="O19" s="1603" t="e">
        <f t="shared" si="2"/>
        <v>#N/A</v>
      </c>
      <c r="P19" s="1980"/>
      <c r="S19" s="1856" t="s">
        <v>724</v>
      </c>
      <c r="T19" s="1981">
        <f>SUM(T15:T16)</f>
        <v>1500000</v>
      </c>
    </row>
    <row r="20" spans="1:24" ht="22.5">
      <c r="A20" s="1580">
        <v>4</v>
      </c>
      <c r="B20" s="1588"/>
      <c r="C20" s="1611" t="str">
        <f>'Chấm công công nhân'!L16</f>
        <v>Thảo Phút</v>
      </c>
      <c r="D20" s="1589"/>
      <c r="E20" s="2014" t="s">
        <v>40</v>
      </c>
      <c r="F20" s="1587"/>
      <c r="G20" s="1587" t="s">
        <v>272</v>
      </c>
      <c r="H20" s="1601" t="e">
        <f>VLOOKUP(C20,'BẢNG LƯƠNG KT'!C21:G58,5,0)</f>
        <v>#N/A</v>
      </c>
      <c r="I20" s="1587"/>
      <c r="J20" s="1592" t="e">
        <f t="shared" si="0"/>
        <v>#N/A</v>
      </c>
      <c r="K20" s="1592" t="e">
        <f>+VLOOKUP(C20,'BẢNG LƯƠNG KT'!C21:L21,10,0)</f>
        <v>#N/A</v>
      </c>
      <c r="L20" s="1592" t="e">
        <f>VLOOKUP(C20,'BẢNG LƯƠNG KT'!C21:S21,15,0)</f>
        <v>#N/A</v>
      </c>
      <c r="M20" s="1592" t="e">
        <f t="shared" si="1"/>
        <v>#N/A</v>
      </c>
      <c r="N20" s="1592"/>
      <c r="O20" s="1592" t="e">
        <f t="shared" si="2"/>
        <v>#N/A</v>
      </c>
      <c r="P20" s="1702"/>
      <c r="S20" s="156" t="s">
        <v>723</v>
      </c>
      <c r="T20" s="798">
        <v>6000000</v>
      </c>
      <c r="W20" s="156">
        <f>100*20</f>
        <v>2000</v>
      </c>
    </row>
    <row r="21" spans="1:24" ht="22.5">
      <c r="A21" s="1587">
        <v>5</v>
      </c>
      <c r="B21" s="1588"/>
      <c r="C21" s="1611" t="str">
        <f>'Chấm công công nhân'!L17</f>
        <v>Thảo Mằn</v>
      </c>
      <c r="D21" s="1589"/>
      <c r="E21" s="2014" t="s">
        <v>40</v>
      </c>
      <c r="F21" s="1587"/>
      <c r="G21" s="1587" t="s">
        <v>272</v>
      </c>
      <c r="H21" s="1601" t="e">
        <f>VLOOKUP(C21,'BẢNG LƯƠNG KT'!C22:G59,5,0)</f>
        <v>#N/A</v>
      </c>
      <c r="I21" s="1587"/>
      <c r="J21" s="1592" t="e">
        <f t="shared" si="0"/>
        <v>#N/A</v>
      </c>
      <c r="K21" s="1592" t="e">
        <f>+VLOOKUP(C21,'BẢNG LƯƠNG KT'!C22:L22,10,0)</f>
        <v>#N/A</v>
      </c>
      <c r="L21" s="1592" t="e">
        <f>VLOOKUP(C21,'BẢNG LƯƠNG KT'!C22:S22,15,0)</f>
        <v>#N/A</v>
      </c>
      <c r="M21" s="1592" t="e">
        <f t="shared" si="1"/>
        <v>#N/A</v>
      </c>
      <c r="N21" s="1592"/>
      <c r="O21" s="1592" t="e">
        <f t="shared" si="2"/>
        <v>#N/A</v>
      </c>
      <c r="P21" s="1702"/>
      <c r="U21" s="798"/>
      <c r="W21" s="156">
        <f>100*20</f>
        <v>2000</v>
      </c>
    </row>
    <row r="22" spans="1:24" ht="22.5">
      <c r="A22" s="1580">
        <v>6</v>
      </c>
      <c r="B22" s="1588"/>
      <c r="C22" s="1611" t="str">
        <f>'Chấm công công nhân'!L18</f>
        <v>Nàng Chay</v>
      </c>
      <c r="D22" s="1589"/>
      <c r="E22" s="2014" t="s">
        <v>40</v>
      </c>
      <c r="F22" s="1587"/>
      <c r="G22" s="1587" t="s">
        <v>272</v>
      </c>
      <c r="H22" s="1601" t="e">
        <f>VLOOKUP(C22,'BẢNG LƯƠNG KT'!C23:G60,5,0)</f>
        <v>#N/A</v>
      </c>
      <c r="I22" s="1587"/>
      <c r="J22" s="1592" t="e">
        <f t="shared" si="0"/>
        <v>#N/A</v>
      </c>
      <c r="K22" s="1592" t="e">
        <f>+VLOOKUP(C22,'BẢNG LƯƠNG KT'!C23:L23,10,0)</f>
        <v>#N/A</v>
      </c>
      <c r="L22" s="1592" t="e">
        <f>VLOOKUP(C22,'BẢNG LƯƠNG KT'!C23:S23,15,0)</f>
        <v>#N/A</v>
      </c>
      <c r="M22" s="1592" t="e">
        <f t="shared" si="1"/>
        <v>#N/A</v>
      </c>
      <c r="N22" s="1592"/>
      <c r="O22" s="1592" t="e">
        <f t="shared" si="2"/>
        <v>#N/A</v>
      </c>
      <c r="P22" s="1702"/>
      <c r="W22" s="156">
        <f>40*20+200</f>
        <v>1000</v>
      </c>
    </row>
    <row r="23" spans="1:24" ht="22.5">
      <c r="A23" s="1580">
        <v>7</v>
      </c>
      <c r="B23" s="1588"/>
      <c r="C23" s="1611" t="str">
        <f>'Chấm công công nhân'!L19</f>
        <v>Thảo Sắp</v>
      </c>
      <c r="D23" s="1589"/>
      <c r="E23" s="2014" t="s">
        <v>40</v>
      </c>
      <c r="F23" s="1587"/>
      <c r="G23" s="1587" t="s">
        <v>272</v>
      </c>
      <c r="H23" s="1601" t="e">
        <f>VLOOKUP(C23,'BẢNG LƯƠNG KT'!C24:G61,5,0)</f>
        <v>#N/A</v>
      </c>
      <c r="I23" s="1587"/>
      <c r="J23" s="1592" t="e">
        <f t="shared" si="0"/>
        <v>#N/A</v>
      </c>
      <c r="K23" s="1592" t="e">
        <f>+VLOOKUP(C23,'BẢNG LƯƠNG KT'!C24:L24,10,0)</f>
        <v>#N/A</v>
      </c>
      <c r="L23" s="1592" t="e">
        <f>VLOOKUP(C23,'BẢNG LƯƠNG KT'!C24:S24,15,0)</f>
        <v>#N/A</v>
      </c>
      <c r="M23" s="1592" t="e">
        <f t="shared" si="1"/>
        <v>#N/A</v>
      </c>
      <c r="N23" s="1592"/>
      <c r="O23" s="1592" t="e">
        <f t="shared" si="2"/>
        <v>#N/A</v>
      </c>
      <c r="P23" s="1702"/>
    </row>
    <row r="24" spans="1:24" ht="22.5">
      <c r="A24" s="1587">
        <v>8</v>
      </c>
      <c r="B24" s="1588"/>
      <c r="C24" s="1611" t="str">
        <f>'Chấm công công nhân'!L20</f>
        <v>Thảo Say</v>
      </c>
      <c r="D24" s="1589"/>
      <c r="E24" s="2014" t="s">
        <v>40</v>
      </c>
      <c r="F24" s="1587"/>
      <c r="G24" s="1587" t="s">
        <v>272</v>
      </c>
      <c r="H24" s="1601" t="e">
        <f>VLOOKUP(C24,'BẢNG LƯƠNG KT'!C25:G62,5,0)</f>
        <v>#N/A</v>
      </c>
      <c r="I24" s="1587"/>
      <c r="J24" s="1592" t="e">
        <f t="shared" si="0"/>
        <v>#N/A</v>
      </c>
      <c r="K24" s="1592" t="e">
        <f>+VLOOKUP(C24,'BẢNG LƯƠNG KT'!C25:L25,10,0)</f>
        <v>#N/A</v>
      </c>
      <c r="L24" s="1592" t="e">
        <f>VLOOKUP(C24,'BẢNG LƯƠNG KT'!C25:S25,15,0)</f>
        <v>#N/A</v>
      </c>
      <c r="M24" s="1592" t="e">
        <f t="shared" si="1"/>
        <v>#N/A</v>
      </c>
      <c r="N24" s="1592"/>
      <c r="O24" s="1592" t="e">
        <f t="shared" si="2"/>
        <v>#N/A</v>
      </c>
      <c r="P24" s="1702"/>
      <c r="T24" s="798">
        <v>244427</v>
      </c>
    </row>
    <row r="25" spans="1:24" ht="22.5">
      <c r="A25" s="1580">
        <v>9</v>
      </c>
      <c r="B25" s="1588"/>
      <c r="C25" s="1611" t="str">
        <f>'Chấm công công nhân'!L21</f>
        <v>Thảo Cợt</v>
      </c>
      <c r="D25" s="1589"/>
      <c r="E25" s="2014" t="s">
        <v>40</v>
      </c>
      <c r="F25" s="1587"/>
      <c r="G25" s="1587" t="s">
        <v>272</v>
      </c>
      <c r="H25" s="1601" t="e">
        <f>VLOOKUP(C25,'BẢNG LƯƠNG KT'!C26:G63,5,0)</f>
        <v>#N/A</v>
      </c>
      <c r="I25" s="1587"/>
      <c r="J25" s="1592" t="e">
        <f t="shared" si="0"/>
        <v>#N/A</v>
      </c>
      <c r="K25" s="1592" t="e">
        <f>+VLOOKUP(C25,'BẢNG LƯƠNG KT'!C26:L26,10,0)</f>
        <v>#N/A</v>
      </c>
      <c r="L25" s="1592" t="e">
        <f>VLOOKUP(C25,'BẢNG LƯƠNG KT'!C26:S26,15,0)</f>
        <v>#N/A</v>
      </c>
      <c r="M25" s="1592" t="e">
        <f t="shared" si="1"/>
        <v>#N/A</v>
      </c>
      <c r="N25" s="1592"/>
      <c r="O25" s="1592" t="e">
        <f t="shared" si="2"/>
        <v>#N/A</v>
      </c>
      <c r="P25" s="1702"/>
      <c r="T25" s="798">
        <v>14473</v>
      </c>
    </row>
    <row r="26" spans="1:24" ht="22.5">
      <c r="A26" s="1580">
        <v>10</v>
      </c>
      <c r="B26" s="1588"/>
      <c r="C26" s="1611" t="str">
        <f>'Chấm công công nhân'!L22</f>
        <v>Thảo Hôm</v>
      </c>
      <c r="D26" s="1589"/>
      <c r="E26" s="2014" t="s">
        <v>40</v>
      </c>
      <c r="F26" s="1587"/>
      <c r="G26" s="1587" t="s">
        <v>272</v>
      </c>
      <c r="H26" s="1601" t="e">
        <f>VLOOKUP(C26,'BẢNG LƯƠNG KT'!C27:G64,5,0)</f>
        <v>#N/A</v>
      </c>
      <c r="I26" s="1587"/>
      <c r="J26" s="1592" t="e">
        <f t="shared" si="0"/>
        <v>#N/A</v>
      </c>
      <c r="K26" s="1592" t="e">
        <f>+VLOOKUP(C26,'BẢNG LƯƠNG KT'!C27:L27,10,0)</f>
        <v>#N/A</v>
      </c>
      <c r="L26" s="1592" t="e">
        <f>VLOOKUP(C26,'BẢNG LƯƠNG KT'!C27:S27,15,0)</f>
        <v>#N/A</v>
      </c>
      <c r="M26" s="1592" t="e">
        <f t="shared" si="1"/>
        <v>#N/A</v>
      </c>
      <c r="N26" s="1592"/>
      <c r="O26" s="1592" t="e">
        <f t="shared" si="2"/>
        <v>#N/A</v>
      </c>
      <c r="P26" s="1702"/>
      <c r="T26" s="814">
        <f>+T24+T25</f>
        <v>258900</v>
      </c>
      <c r="U26" s="684"/>
      <c r="V26" s="156">
        <v>3</v>
      </c>
      <c r="W26" s="156">
        <v>50</v>
      </c>
      <c r="X26" s="156">
        <f>+V26*W26</f>
        <v>150</v>
      </c>
    </row>
    <row r="27" spans="1:24" ht="22.5">
      <c r="A27" s="1587">
        <v>11</v>
      </c>
      <c r="B27" s="1588"/>
      <c r="C27" s="1611" t="str">
        <f>'Chấm công công nhân'!L23</f>
        <v xml:space="preserve">Thảo Khăm  </v>
      </c>
      <c r="D27" s="1589"/>
      <c r="E27" s="2014" t="s">
        <v>40</v>
      </c>
      <c r="F27" s="1587"/>
      <c r="G27" s="1587" t="s">
        <v>272</v>
      </c>
      <c r="H27" s="1601" t="e">
        <f>VLOOKUP(C27,'BẢNG LƯƠNG KT'!C28:G65,5,0)</f>
        <v>#N/A</v>
      </c>
      <c r="I27" s="1587"/>
      <c r="J27" s="1592" t="e">
        <f t="shared" si="0"/>
        <v>#N/A</v>
      </c>
      <c r="K27" s="1592" t="e">
        <f>+VLOOKUP(C27,'BẢNG LƯƠNG KT'!C28:L28,10,0)</f>
        <v>#N/A</v>
      </c>
      <c r="L27" s="1592" t="e">
        <f>VLOOKUP(C27,'BẢNG LƯƠNG KT'!C28:S28,15,0)</f>
        <v>#N/A</v>
      </c>
      <c r="M27" s="1592" t="e">
        <f t="shared" si="1"/>
        <v>#N/A</v>
      </c>
      <c r="N27" s="1592"/>
      <c r="O27" s="1592" t="e">
        <f t="shared" si="2"/>
        <v>#N/A</v>
      </c>
      <c r="P27" s="1702"/>
      <c r="T27" s="156">
        <v>850</v>
      </c>
      <c r="U27" s="814"/>
      <c r="X27" s="156">
        <v>100</v>
      </c>
    </row>
    <row r="28" spans="1:24" ht="22.5">
      <c r="A28" s="1580">
        <v>12</v>
      </c>
      <c r="B28" s="1588" t="s">
        <v>196</v>
      </c>
      <c r="C28" s="1611" t="str">
        <f>'Chấm công công nhân'!L24</f>
        <v>Thảo Hăm</v>
      </c>
      <c r="D28" s="1589"/>
      <c r="E28" s="2014" t="s">
        <v>40</v>
      </c>
      <c r="F28" s="1587"/>
      <c r="G28" s="1587" t="s">
        <v>272</v>
      </c>
      <c r="H28" s="1601" t="e">
        <f>VLOOKUP(C28,'BẢNG LƯƠNG KT'!C29:G66,5,0)</f>
        <v>#N/A</v>
      </c>
      <c r="I28" s="1587"/>
      <c r="J28" s="1592" t="e">
        <f t="shared" si="0"/>
        <v>#N/A</v>
      </c>
      <c r="K28" s="1592" t="e">
        <f>+VLOOKUP(C28,'BẢNG LƯƠNG KT'!C29:L29,10,0)</f>
        <v>#N/A</v>
      </c>
      <c r="L28" s="1592" t="e">
        <f>VLOOKUP(C28,'BẢNG LƯƠNG KT'!C29:S29,15,0)</f>
        <v>#N/A</v>
      </c>
      <c r="M28" s="1592" t="e">
        <f t="shared" si="1"/>
        <v>#N/A</v>
      </c>
      <c r="N28" s="1592"/>
      <c r="O28" s="1592" t="e">
        <f t="shared" si="2"/>
        <v>#N/A</v>
      </c>
      <c r="P28" s="1702"/>
      <c r="T28" s="814">
        <f>+T26-T27</f>
        <v>258050</v>
      </c>
    </row>
    <row r="29" spans="1:24" ht="22.5">
      <c r="A29" s="1580">
        <v>13</v>
      </c>
      <c r="B29" s="1588" t="s">
        <v>429</v>
      </c>
      <c r="C29" s="1611" t="str">
        <f>'Chấm công công nhân'!L25</f>
        <v>Nang Lon</v>
      </c>
      <c r="D29" s="1589"/>
      <c r="E29" s="2014" t="s">
        <v>40</v>
      </c>
      <c r="F29" s="1587"/>
      <c r="G29" s="1587" t="s">
        <v>272</v>
      </c>
      <c r="H29" s="1601" t="e">
        <f>VLOOKUP(C29,'BẢNG LƯƠNG KT'!C30:G67,5,0)</f>
        <v>#N/A</v>
      </c>
      <c r="I29" s="1587"/>
      <c r="J29" s="1592" t="e">
        <f t="shared" si="0"/>
        <v>#N/A</v>
      </c>
      <c r="K29" s="1592" t="e">
        <f>+VLOOKUP(C29,'BẢNG LƯƠNG KT'!C30:L30,10,0)</f>
        <v>#N/A</v>
      </c>
      <c r="L29" s="1592" t="e">
        <f>VLOOKUP(C29,'BẢNG LƯƠNG KT'!C30:S30,15,0)</f>
        <v>#N/A</v>
      </c>
      <c r="M29" s="1592" t="e">
        <f t="shared" si="1"/>
        <v>#N/A</v>
      </c>
      <c r="N29" s="1592"/>
      <c r="O29" s="1592" t="e">
        <f t="shared" si="2"/>
        <v>#N/A</v>
      </c>
      <c r="P29" s="1702"/>
    </row>
    <row r="30" spans="1:24" ht="22.5">
      <c r="A30" s="1587">
        <v>14</v>
      </c>
      <c r="B30" s="1588" t="s">
        <v>431</v>
      </c>
      <c r="C30" s="1611" t="str">
        <f>'Chấm công công nhân'!L26</f>
        <v>Thảo Pheng</v>
      </c>
      <c r="D30" s="1589"/>
      <c r="E30" s="2014" t="s">
        <v>40</v>
      </c>
      <c r="F30" s="1587"/>
      <c r="G30" s="1587" t="s">
        <v>272</v>
      </c>
      <c r="H30" s="1601" t="e">
        <f>VLOOKUP(C30,'BẢNG LƯƠNG KT'!C31:G68,5,0)</f>
        <v>#N/A</v>
      </c>
      <c r="I30" s="1587"/>
      <c r="J30" s="1592" t="e">
        <f t="shared" si="0"/>
        <v>#N/A</v>
      </c>
      <c r="K30" s="1592" t="e">
        <f>+VLOOKUP(C30,'BẢNG LƯƠNG KT'!C31:L31,10,0)</f>
        <v>#N/A</v>
      </c>
      <c r="L30" s="1592" t="e">
        <f>VLOOKUP(C30,'BẢNG LƯƠNG KT'!C31:S31,15,0)</f>
        <v>#N/A</v>
      </c>
      <c r="M30" s="1592" t="e">
        <f t="shared" si="1"/>
        <v>#N/A</v>
      </c>
      <c r="N30" s="1592"/>
      <c r="O30" s="1592" t="e">
        <f t="shared" si="2"/>
        <v>#N/A</v>
      </c>
      <c r="P30" s="1702"/>
    </row>
    <row r="31" spans="1:24" s="1856" customFormat="1" ht="22.5" hidden="1">
      <c r="A31" s="1580">
        <v>15</v>
      </c>
      <c r="B31" s="1977" t="s">
        <v>433</v>
      </c>
      <c r="C31" s="1978" t="str">
        <f>'Chấm công công nhân'!L27</f>
        <v>Thảo kok</v>
      </c>
      <c r="D31" s="1979"/>
      <c r="E31" s="2015" t="s">
        <v>40</v>
      </c>
      <c r="F31" s="1976"/>
      <c r="G31" s="1976" t="s">
        <v>272</v>
      </c>
      <c r="H31" s="1601" t="e">
        <f>VLOOKUP(C31,'BẢNG LƯƠNG KT'!C32:G69,5,0)</f>
        <v>#N/A</v>
      </c>
      <c r="I31" s="1976"/>
      <c r="J31" s="1592" t="e">
        <f t="shared" si="0"/>
        <v>#N/A</v>
      </c>
      <c r="K31" s="1603" t="e">
        <f>+VLOOKUP(C31,'BẢNG LƯƠNG KT'!C32:L32,10,0)</f>
        <v>#N/A</v>
      </c>
      <c r="L31" s="1603" t="e">
        <f>VLOOKUP(C31,'BẢNG LƯƠNG KT'!C32:S32,15,0)</f>
        <v>#N/A</v>
      </c>
      <c r="M31" s="1603" t="e">
        <f t="shared" si="1"/>
        <v>#N/A</v>
      </c>
      <c r="N31" s="1603"/>
      <c r="O31" s="1603" t="e">
        <f t="shared" si="2"/>
        <v>#N/A</v>
      </c>
      <c r="P31" s="1980"/>
    </row>
    <row r="32" spans="1:24" ht="22.5">
      <c r="A32" s="1580">
        <v>15</v>
      </c>
      <c r="B32" s="1602" t="s">
        <v>434</v>
      </c>
      <c r="C32" s="1611" t="str">
        <f>'Chấm công công nhân'!L28</f>
        <v>Nàng Sút Chay</v>
      </c>
      <c r="D32" s="1589"/>
      <c r="E32" s="2014" t="s">
        <v>40</v>
      </c>
      <c r="F32" s="1587"/>
      <c r="G32" s="1587" t="s">
        <v>272</v>
      </c>
      <c r="H32" s="1601" t="e">
        <f>VLOOKUP(C32,'BẢNG LƯƠNG KT'!C33:G70,5,0)</f>
        <v>#N/A</v>
      </c>
      <c r="I32" s="1587"/>
      <c r="J32" s="1592" t="e">
        <f t="shared" si="0"/>
        <v>#N/A</v>
      </c>
      <c r="K32" s="1592" t="e">
        <f>+VLOOKUP(C32,'BẢNG LƯƠNG KT'!C33:L33,10,0)</f>
        <v>#N/A</v>
      </c>
      <c r="L32" s="1592" t="e">
        <f>VLOOKUP(C32,'BẢNG LƯƠNG KT'!C33:S33,15,0)</f>
        <v>#N/A</v>
      </c>
      <c r="M32" s="1592" t="e">
        <f t="shared" si="1"/>
        <v>#N/A</v>
      </c>
      <c r="N32" s="1592"/>
      <c r="O32" s="1592" t="e">
        <f t="shared" si="2"/>
        <v>#N/A</v>
      </c>
      <c r="P32" s="1702"/>
    </row>
    <row r="33" spans="1:16" ht="22.5">
      <c r="A33" s="1587">
        <v>16</v>
      </c>
      <c r="B33" s="1602" t="s">
        <v>422</v>
      </c>
      <c r="C33" s="1611" t="str">
        <f>'Chấm công công nhân'!L29</f>
        <v>Thảo Khăm Phay</v>
      </c>
      <c r="D33" s="1589"/>
      <c r="E33" s="2014" t="s">
        <v>40</v>
      </c>
      <c r="F33" s="1587"/>
      <c r="G33" s="1587" t="s">
        <v>272</v>
      </c>
      <c r="H33" s="1601" t="e">
        <f>VLOOKUP(C33,'BẢNG LƯƠNG KT'!C34:G76,5,0)</f>
        <v>#N/A</v>
      </c>
      <c r="I33" s="1587"/>
      <c r="J33" s="1592" t="e">
        <f t="shared" si="0"/>
        <v>#N/A</v>
      </c>
      <c r="K33" s="1592" t="e">
        <f>+VLOOKUP(C33,'BẢNG LƯƠNG KT'!C34:L34,10,0)</f>
        <v>#N/A</v>
      </c>
      <c r="L33" s="1592" t="e">
        <f>VLOOKUP(C33,'BẢNG LƯƠNG KT'!C34:S34,15,0)</f>
        <v>#N/A</v>
      </c>
      <c r="M33" s="1592" t="e">
        <f t="shared" si="1"/>
        <v>#N/A</v>
      </c>
      <c r="N33" s="1592"/>
      <c r="O33" s="1592" t="e">
        <f t="shared" si="2"/>
        <v>#N/A</v>
      </c>
      <c r="P33" s="1702"/>
    </row>
    <row r="34" spans="1:16" ht="22.5">
      <c r="A34" s="1580">
        <v>17</v>
      </c>
      <c r="B34" s="1602" t="s">
        <v>458</v>
      </c>
      <c r="C34" s="1611" t="str">
        <f>'Chấm công công nhân'!L30</f>
        <v>Thảo Sớm</v>
      </c>
      <c r="D34" s="1589"/>
      <c r="E34" s="2014" t="s">
        <v>40</v>
      </c>
      <c r="F34" s="1587"/>
      <c r="G34" s="1587" t="s">
        <v>272</v>
      </c>
      <c r="H34" s="1601" t="e">
        <f>VLOOKUP(C34,'BẢNG LƯƠNG KT'!C35:G77,5,0)</f>
        <v>#N/A</v>
      </c>
      <c r="I34" s="1587"/>
      <c r="J34" s="1592" t="e">
        <f t="shared" si="0"/>
        <v>#N/A</v>
      </c>
      <c r="K34" s="1592" t="e">
        <f>+VLOOKUP(C34,'BẢNG LƯƠNG KT'!C35:L35,10,0)</f>
        <v>#N/A</v>
      </c>
      <c r="L34" s="1592" t="e">
        <f>VLOOKUP(C34,'BẢNG LƯƠNG KT'!C35:S35,15,0)</f>
        <v>#N/A</v>
      </c>
      <c r="M34" s="1592" t="e">
        <f t="shared" si="1"/>
        <v>#N/A</v>
      </c>
      <c r="N34" s="1592"/>
      <c r="O34" s="1592" t="e">
        <f t="shared" si="2"/>
        <v>#N/A</v>
      </c>
      <c r="P34" s="1702"/>
    </row>
    <row r="35" spans="1:16" ht="22.5">
      <c r="A35" s="1587">
        <v>18</v>
      </c>
      <c r="B35" s="1588" t="s">
        <v>460</v>
      </c>
      <c r="C35" s="1611" t="str">
        <f>'Chấm công công nhân'!L31</f>
        <v>Pha Xúc</v>
      </c>
      <c r="D35" s="1589"/>
      <c r="E35" s="2014" t="s">
        <v>40</v>
      </c>
      <c r="F35" s="1587"/>
      <c r="G35" s="1587" t="s">
        <v>272</v>
      </c>
      <c r="H35" s="1601" t="e">
        <f>VLOOKUP(C35,'BẢNG LƯƠNG KT'!C36:G78,5,0)</f>
        <v>#N/A</v>
      </c>
      <c r="I35" s="1587"/>
      <c r="J35" s="1592" t="e">
        <f t="shared" si="0"/>
        <v>#N/A</v>
      </c>
      <c r="K35" s="1592" t="e">
        <f>+VLOOKUP(C35,'BẢNG LƯƠNG KT'!C36:L36,10,0)</f>
        <v>#N/A</v>
      </c>
      <c r="L35" s="1592" t="e">
        <f>VLOOKUP(C35,'BẢNG LƯƠNG KT'!C36:S36,15,0)</f>
        <v>#N/A</v>
      </c>
      <c r="M35" s="1592" t="e">
        <f t="shared" si="1"/>
        <v>#N/A</v>
      </c>
      <c r="N35" s="1592"/>
      <c r="O35" s="1592" t="e">
        <f t="shared" si="2"/>
        <v>#N/A</v>
      </c>
      <c r="P35" s="1702"/>
    </row>
    <row r="36" spans="1:16" ht="22.5">
      <c r="A36" s="1580">
        <v>19</v>
      </c>
      <c r="B36" s="1602" t="s">
        <v>462</v>
      </c>
      <c r="C36" s="1611" t="str">
        <f>'Chấm công công nhân'!L32</f>
        <v>Nàng Phon</v>
      </c>
      <c r="D36" s="1589"/>
      <c r="E36" s="2014" t="s">
        <v>40</v>
      </c>
      <c r="F36" s="1587"/>
      <c r="G36" s="1587" t="s">
        <v>272</v>
      </c>
      <c r="H36" s="1601" t="e">
        <f>VLOOKUP(C36,'BẢNG LƯƠNG KT'!C37:G79,5,0)</f>
        <v>#N/A</v>
      </c>
      <c r="I36" s="1587"/>
      <c r="J36" s="1592" t="e">
        <f t="shared" si="0"/>
        <v>#N/A</v>
      </c>
      <c r="K36" s="1592" t="e">
        <f>+VLOOKUP(C36,'BẢNG LƯƠNG KT'!C37:L37,10,0)</f>
        <v>#N/A</v>
      </c>
      <c r="L36" s="1592" t="e">
        <f>VLOOKUP(C36,'BẢNG LƯƠNG KT'!C37:S37,15,0)</f>
        <v>#N/A</v>
      </c>
      <c r="M36" s="1592" t="e">
        <f t="shared" si="1"/>
        <v>#N/A</v>
      </c>
      <c r="N36" s="1592"/>
      <c r="O36" s="1592" t="e">
        <f t="shared" si="2"/>
        <v>#N/A</v>
      </c>
      <c r="P36" s="1702"/>
    </row>
    <row r="37" spans="1:16" ht="22.5">
      <c r="A37" s="1587">
        <v>20</v>
      </c>
      <c r="B37" s="1602" t="s">
        <v>467</v>
      </c>
      <c r="C37" s="1611" t="str">
        <f>'Chấm công công nhân'!L33</f>
        <v>Thảo Chăn</v>
      </c>
      <c r="D37" s="1589"/>
      <c r="E37" s="2014" t="s">
        <v>40</v>
      </c>
      <c r="F37" s="1587"/>
      <c r="G37" s="1587" t="s">
        <v>272</v>
      </c>
      <c r="H37" s="1601" t="e">
        <f>VLOOKUP(C37,'BẢNG LƯƠNG KT'!C38:G80,5,0)</f>
        <v>#N/A</v>
      </c>
      <c r="I37" s="1587"/>
      <c r="J37" s="1592" t="e">
        <f t="shared" si="0"/>
        <v>#N/A</v>
      </c>
      <c r="K37" s="1592" t="e">
        <f>+VLOOKUP(C37,'BẢNG LƯƠNG KT'!C38:L38,10,0)</f>
        <v>#N/A</v>
      </c>
      <c r="L37" s="1592" t="e">
        <f>VLOOKUP(C37,'BẢNG LƯƠNG KT'!C38:S38,15,0)</f>
        <v>#N/A</v>
      </c>
      <c r="M37" s="1592" t="e">
        <f t="shared" si="1"/>
        <v>#N/A</v>
      </c>
      <c r="N37" s="1592"/>
      <c r="O37" s="1592" t="e">
        <f t="shared" si="2"/>
        <v>#N/A</v>
      </c>
      <c r="P37" s="1702"/>
    </row>
    <row r="38" spans="1:16" ht="22.5">
      <c r="A38" s="1580">
        <v>21</v>
      </c>
      <c r="B38" s="1602" t="s">
        <v>468</v>
      </c>
      <c r="C38" s="1611" t="str">
        <f>'Chấm công công nhân'!L34</f>
        <v>Thong La</v>
      </c>
      <c r="D38" s="1589"/>
      <c r="E38" s="2014" t="s">
        <v>40</v>
      </c>
      <c r="F38" s="1587"/>
      <c r="G38" s="1587" t="s">
        <v>272</v>
      </c>
      <c r="H38" s="1601" t="e">
        <f>VLOOKUP(C38,'BẢNG LƯƠNG KT'!C39:G81,5,0)</f>
        <v>#N/A</v>
      </c>
      <c r="I38" s="1587"/>
      <c r="J38" s="1592" t="e">
        <f t="shared" si="0"/>
        <v>#N/A</v>
      </c>
      <c r="K38" s="1592" t="e">
        <f>+VLOOKUP(C38,'BẢNG LƯƠNG KT'!C39:L39,10,0)</f>
        <v>#N/A</v>
      </c>
      <c r="L38" s="1592" t="e">
        <f>VLOOKUP(C38,'BẢNG LƯƠNG KT'!C39:S39,15,0)</f>
        <v>#N/A</v>
      </c>
      <c r="M38" s="1592" t="e">
        <f t="shared" si="1"/>
        <v>#N/A</v>
      </c>
      <c r="N38" s="1592"/>
      <c r="O38" s="1592" t="e">
        <f t="shared" si="2"/>
        <v>#N/A</v>
      </c>
      <c r="P38" s="1702"/>
    </row>
    <row r="39" spans="1:16" ht="22.5">
      <c r="A39" s="1587">
        <v>22</v>
      </c>
      <c r="B39" s="1602" t="s">
        <v>470</v>
      </c>
      <c r="C39" s="1611" t="str">
        <f>'Chấm công công nhân'!L35</f>
        <v>Thảo Cum Pha</v>
      </c>
      <c r="D39" s="1589"/>
      <c r="E39" s="2014" t="s">
        <v>40</v>
      </c>
      <c r="F39" s="1587"/>
      <c r="G39" s="1587" t="s">
        <v>272</v>
      </c>
      <c r="H39" s="1601" t="e">
        <f>VLOOKUP(C39,'BẢNG LƯƠNG KT'!C40:G82,5,0)</f>
        <v>#N/A</v>
      </c>
      <c r="I39" s="1587"/>
      <c r="J39" s="1592" t="e">
        <f t="shared" si="0"/>
        <v>#N/A</v>
      </c>
      <c r="K39" s="1592" t="e">
        <f>+VLOOKUP(C39,'BẢNG LƯƠNG KT'!C40:L40,10,0)</f>
        <v>#N/A</v>
      </c>
      <c r="L39" s="1592" t="e">
        <f>VLOOKUP(C39,'BẢNG LƯƠNG KT'!C40:S40,15,0)</f>
        <v>#N/A</v>
      </c>
      <c r="M39" s="1592" t="e">
        <f t="shared" si="1"/>
        <v>#N/A</v>
      </c>
      <c r="N39" s="1592"/>
      <c r="O39" s="1592" t="e">
        <f t="shared" si="2"/>
        <v>#N/A</v>
      </c>
      <c r="P39" s="1702"/>
    </row>
    <row r="40" spans="1:16" ht="22.5">
      <c r="A40" s="1580">
        <v>23</v>
      </c>
      <c r="B40" s="1602" t="s">
        <v>420</v>
      </c>
      <c r="C40" s="1611" t="str">
        <f>'Chấm công công nhân'!L36</f>
        <v>T Ô Vên</v>
      </c>
      <c r="D40" s="1589"/>
      <c r="E40" s="2014" t="s">
        <v>40</v>
      </c>
      <c r="F40" s="1587"/>
      <c r="G40" s="1587" t="s">
        <v>272</v>
      </c>
      <c r="H40" s="1601" t="e">
        <f>VLOOKUP(C40,'BẢNG LƯƠNG KT'!C41:G83,5,0)</f>
        <v>#N/A</v>
      </c>
      <c r="I40" s="1587"/>
      <c r="J40" s="1592" t="e">
        <f t="shared" si="0"/>
        <v>#N/A</v>
      </c>
      <c r="K40" s="1592" t="e">
        <f>+VLOOKUP(C40,'BẢNG LƯƠNG KT'!C41:L41,10,0)</f>
        <v>#N/A</v>
      </c>
      <c r="L40" s="1592" t="e">
        <f>VLOOKUP(C40,'BẢNG LƯƠNG KT'!C41:S41,15,0)</f>
        <v>#N/A</v>
      </c>
      <c r="M40" s="1592" t="e">
        <f t="shared" si="1"/>
        <v>#N/A</v>
      </c>
      <c r="N40" s="1592"/>
      <c r="O40" s="1592" t="e">
        <f t="shared" si="2"/>
        <v>#N/A</v>
      </c>
      <c r="P40" s="1702"/>
    </row>
    <row r="41" spans="1:16" ht="22.5">
      <c r="A41" s="1580">
        <v>24</v>
      </c>
      <c r="B41" s="1602" t="s">
        <v>436</v>
      </c>
      <c r="C41" s="1611" t="str">
        <f>'Chấm công công nhân'!L37</f>
        <v>Nàng Lam</v>
      </c>
      <c r="D41" s="1589"/>
      <c r="E41" s="2014" t="s">
        <v>40</v>
      </c>
      <c r="F41" s="1587"/>
      <c r="G41" s="1587" t="s">
        <v>272</v>
      </c>
      <c r="H41" s="1601" t="e">
        <f>VLOOKUP(C41,'BẢNG LƯƠNG KT'!C42:G83,5,0)</f>
        <v>#N/A</v>
      </c>
      <c r="I41" s="1587"/>
      <c r="J41" s="1592" t="e">
        <f t="shared" si="0"/>
        <v>#N/A</v>
      </c>
      <c r="K41" s="1592" t="e">
        <f>+VLOOKUP(C41,'BẢNG LƯƠNG KT'!C42:L42,10,0)</f>
        <v>#N/A</v>
      </c>
      <c r="L41" s="1592" t="e">
        <f>VLOOKUP(C41,'BẢNG LƯƠNG KT'!C42:S42,15,0)</f>
        <v>#N/A</v>
      </c>
      <c r="M41" s="1592" t="e">
        <f t="shared" si="1"/>
        <v>#N/A</v>
      </c>
      <c r="N41" s="1592"/>
      <c r="O41" s="1592" t="e">
        <f t="shared" si="2"/>
        <v>#N/A</v>
      </c>
      <c r="P41" s="1702"/>
    </row>
    <row r="42" spans="1:16" ht="22.5">
      <c r="A42" s="1587">
        <v>25</v>
      </c>
      <c r="B42" s="1602" t="s">
        <v>473</v>
      </c>
      <c r="C42" s="1611" t="str">
        <f>'Chấm công công nhân'!L38</f>
        <v>Nàng Hđao</v>
      </c>
      <c r="D42" s="1589"/>
      <c r="E42" s="2014" t="s">
        <v>40</v>
      </c>
      <c r="F42" s="1587"/>
      <c r="G42" s="1587" t="s">
        <v>272</v>
      </c>
      <c r="H42" s="1601" t="e">
        <f>VLOOKUP(C42,'BẢNG LƯƠNG KT'!C43:G83,5,0)</f>
        <v>#N/A</v>
      </c>
      <c r="I42" s="1587"/>
      <c r="J42" s="1592" t="e">
        <f t="shared" si="0"/>
        <v>#N/A</v>
      </c>
      <c r="K42" s="1592" t="e">
        <f>+VLOOKUP(C42,'BẢNG LƯƠNG KT'!C43:L43,10,0)</f>
        <v>#N/A</v>
      </c>
      <c r="L42" s="1592" t="e">
        <f>VLOOKUP(C42,'BẢNG LƯƠNG KT'!C43:S43,15,0)</f>
        <v>#N/A</v>
      </c>
      <c r="M42" s="1592" t="e">
        <f t="shared" si="1"/>
        <v>#N/A</v>
      </c>
      <c r="N42" s="1592"/>
      <c r="O42" s="1592" t="e">
        <f t="shared" si="2"/>
        <v>#N/A</v>
      </c>
      <c r="P42" s="1702"/>
    </row>
    <row r="43" spans="1:16" ht="22.5">
      <c r="A43" s="1580">
        <v>26</v>
      </c>
      <c r="B43" s="1602" t="s">
        <v>454</v>
      </c>
      <c r="C43" s="1611" t="str">
        <f>'Chấm công công nhân'!L39</f>
        <v>Thảo Tong</v>
      </c>
      <c r="D43" s="1589"/>
      <c r="E43" s="2014" t="s">
        <v>40</v>
      </c>
      <c r="F43" s="1587"/>
      <c r="G43" s="1587" t="s">
        <v>272</v>
      </c>
      <c r="H43" s="1601" t="e">
        <f>VLOOKUP(C43,'BẢNG LƯƠNG KT'!C44:G83,5,0)</f>
        <v>#N/A</v>
      </c>
      <c r="I43" s="1587"/>
      <c r="J43" s="1592" t="e">
        <f t="shared" si="0"/>
        <v>#N/A</v>
      </c>
      <c r="K43" s="1592" t="e">
        <f>+VLOOKUP(C43,'BẢNG LƯƠNG KT'!C44:L44,10,0)</f>
        <v>#N/A</v>
      </c>
      <c r="L43" s="1592" t="e">
        <f>VLOOKUP(C43,'BẢNG LƯƠNG KT'!C44:S44,15,0)</f>
        <v>#N/A</v>
      </c>
      <c r="M43" s="1592" t="e">
        <f t="shared" si="1"/>
        <v>#N/A</v>
      </c>
      <c r="N43" s="1592"/>
      <c r="O43" s="1592" t="e">
        <f t="shared" si="2"/>
        <v>#N/A</v>
      </c>
      <c r="P43" s="1702"/>
    </row>
    <row r="44" spans="1:16" ht="22.5">
      <c r="A44" s="1580">
        <v>27</v>
      </c>
      <c r="B44" s="1602" t="s">
        <v>464</v>
      </c>
      <c r="C44" s="1611" t="str">
        <f>'Chấm công công nhân'!L40</f>
        <v>Thảo Khốc</v>
      </c>
      <c r="D44" s="1589"/>
      <c r="E44" s="2014" t="s">
        <v>40</v>
      </c>
      <c r="F44" s="1587"/>
      <c r="G44" s="1587" t="s">
        <v>272</v>
      </c>
      <c r="H44" s="1601" t="e">
        <f>VLOOKUP(C44,'BẢNG LƯƠNG KT'!C45:G83,5,0)</f>
        <v>#N/A</v>
      </c>
      <c r="I44" s="1587"/>
      <c r="J44" s="1592" t="e">
        <f t="shared" si="0"/>
        <v>#N/A</v>
      </c>
      <c r="K44" s="1592" t="e">
        <f>+VLOOKUP(C44,'BẢNG LƯƠNG KT'!C45:L45,10,0)</f>
        <v>#N/A</v>
      </c>
      <c r="L44" s="1592" t="e">
        <f>VLOOKUP(C44,'BẢNG LƯƠNG KT'!C45:S45,15,0)</f>
        <v>#N/A</v>
      </c>
      <c r="M44" s="1592" t="e">
        <f t="shared" si="1"/>
        <v>#N/A</v>
      </c>
      <c r="N44" s="1592"/>
      <c r="O44" s="1592" t="e">
        <f t="shared" si="2"/>
        <v>#N/A</v>
      </c>
      <c r="P44" s="1702"/>
    </row>
    <row r="45" spans="1:16" ht="22.5" hidden="1">
      <c r="A45" s="1587">
        <v>28</v>
      </c>
      <c r="B45" s="1602" t="s">
        <v>466</v>
      </c>
      <c r="C45" s="1611" t="str">
        <f>'Chấm công công nhân'!L41</f>
        <v>Thảo Sợt</v>
      </c>
      <c r="D45" s="1589"/>
      <c r="E45" s="2014" t="s">
        <v>40</v>
      </c>
      <c r="F45" s="1587"/>
      <c r="G45" s="1587" t="s">
        <v>272</v>
      </c>
      <c r="H45" s="1601" t="e">
        <f>VLOOKUP(C45,'BẢNG LƯƠNG KT'!C46:G83,5,0)</f>
        <v>#N/A</v>
      </c>
      <c r="I45" s="1587"/>
      <c r="J45" s="1592" t="e">
        <f t="shared" si="0"/>
        <v>#N/A</v>
      </c>
      <c r="K45" s="1592" t="e">
        <f>+VLOOKUP(C45,'BẢNG LƯƠNG KT'!C46:L46,10,0)</f>
        <v>#N/A</v>
      </c>
      <c r="L45" s="1592" t="e">
        <f>VLOOKUP(C45,'BẢNG LƯƠNG KT'!C46:S46,15,0)</f>
        <v>#N/A</v>
      </c>
      <c r="M45" s="1592" t="e">
        <f t="shared" si="1"/>
        <v>#N/A</v>
      </c>
      <c r="N45" s="1592"/>
      <c r="O45" s="1592" t="e">
        <f t="shared" si="2"/>
        <v>#N/A</v>
      </c>
      <c r="P45" s="1702"/>
    </row>
    <row r="46" spans="1:16" ht="22.5">
      <c r="A46" s="1580">
        <v>28</v>
      </c>
      <c r="B46" s="1602"/>
      <c r="C46" s="1611" t="str">
        <f>'Chấm công công nhân'!L42</f>
        <v>Thảo Văn</v>
      </c>
      <c r="D46" s="1589"/>
      <c r="E46" s="2014" t="s">
        <v>40</v>
      </c>
      <c r="F46" s="1587"/>
      <c r="G46" s="1587" t="s">
        <v>272</v>
      </c>
      <c r="H46" s="1601">
        <f>VLOOKUP(C46,'BẢNG LƯƠNG KT'!C47:G83,5,0)</f>
        <v>0</v>
      </c>
      <c r="I46" s="1587"/>
      <c r="J46" s="1592">
        <f t="shared" si="0"/>
        <v>0</v>
      </c>
      <c r="K46" s="1592" t="e">
        <f>+VLOOKUP(C46,'BẢNG LƯƠNG KT'!C47:L47,10,0)</f>
        <v>#N/A</v>
      </c>
      <c r="L46" s="1592" t="e">
        <f>VLOOKUP(C46,'BẢNG LƯƠNG KT'!C47:S47,15,0)</f>
        <v>#N/A</v>
      </c>
      <c r="M46" s="1592" t="e">
        <f t="shared" si="1"/>
        <v>#N/A</v>
      </c>
      <c r="N46" s="1592"/>
      <c r="O46" s="1592" t="e">
        <f t="shared" si="2"/>
        <v>#N/A</v>
      </c>
      <c r="P46" s="1702"/>
    </row>
    <row r="47" spans="1:16" ht="22.5">
      <c r="A47" s="1587">
        <v>29</v>
      </c>
      <c r="B47" s="1602" t="s">
        <v>473</v>
      </c>
      <c r="C47" s="1611" t="str">
        <f>'Chấm công công nhân'!L43</f>
        <v>Nàng Túc</v>
      </c>
      <c r="D47" s="1589"/>
      <c r="E47" s="2014" t="s">
        <v>40</v>
      </c>
      <c r="F47" s="1587"/>
      <c r="G47" s="1587" t="s">
        <v>272</v>
      </c>
      <c r="H47" s="1601" t="e">
        <f>VLOOKUP(C47,'BẢNG LƯƠNG KT'!C48:G83,5,0)</f>
        <v>#N/A</v>
      </c>
      <c r="I47" s="1587"/>
      <c r="J47" s="1592" t="e">
        <f t="shared" si="0"/>
        <v>#N/A</v>
      </c>
      <c r="K47" s="1592" t="e">
        <f>+VLOOKUP(C47,'BẢNG LƯƠNG KT'!C48:L48,10,0)</f>
        <v>#N/A</v>
      </c>
      <c r="L47" s="1592" t="e">
        <f>VLOOKUP(C47,'BẢNG LƯƠNG KT'!C48:S48,15,0)</f>
        <v>#N/A</v>
      </c>
      <c r="M47" s="1592" t="e">
        <f t="shared" ref="M47:M52" si="3">SUM(J47:L47)</f>
        <v>#N/A</v>
      </c>
      <c r="N47" s="1592"/>
      <c r="O47" s="1592" t="e">
        <f t="shared" si="2"/>
        <v>#N/A</v>
      </c>
      <c r="P47" s="1702"/>
    </row>
    <row r="48" spans="1:16" ht="22.5">
      <c r="A48" s="1580">
        <v>30</v>
      </c>
      <c r="B48" s="1602" t="s">
        <v>454</v>
      </c>
      <c r="C48" s="1611" t="str">
        <f>'Chấm công công nhân'!L44</f>
        <v>Nàng Chon</v>
      </c>
      <c r="D48" s="1589"/>
      <c r="E48" s="2014" t="s">
        <v>40</v>
      </c>
      <c r="F48" s="1587"/>
      <c r="G48" s="1587" t="s">
        <v>272</v>
      </c>
      <c r="H48" s="1601" t="e">
        <f>VLOOKUP(C48,'BẢNG LƯƠNG KT'!C49:G83,5,0)</f>
        <v>#N/A</v>
      </c>
      <c r="I48" s="1587"/>
      <c r="J48" s="1592" t="e">
        <f t="shared" si="0"/>
        <v>#N/A</v>
      </c>
      <c r="K48" s="1592" t="e">
        <f>+VLOOKUP(C48,'BẢNG LƯƠNG KT'!C49:L49,10,0)</f>
        <v>#N/A</v>
      </c>
      <c r="L48" s="1592" t="e">
        <f>VLOOKUP(C48,'BẢNG LƯƠNG KT'!C49:S49,15,0)</f>
        <v>#N/A</v>
      </c>
      <c r="M48" s="1592" t="e">
        <f t="shared" si="3"/>
        <v>#N/A</v>
      </c>
      <c r="N48" s="1592"/>
      <c r="O48" s="1592" t="e">
        <f t="shared" si="2"/>
        <v>#N/A</v>
      </c>
      <c r="P48" s="1702"/>
    </row>
    <row r="49" spans="1:24" ht="22.5" hidden="1">
      <c r="A49" s="1587">
        <v>31</v>
      </c>
      <c r="B49" s="1602" t="s">
        <v>464</v>
      </c>
      <c r="C49" s="1611" t="str">
        <f>'Chấm công công nhân'!L45</f>
        <v>Thảo Hơ Phơ</v>
      </c>
      <c r="D49" s="1589"/>
      <c r="E49" s="2014" t="s">
        <v>40</v>
      </c>
      <c r="F49" s="1587"/>
      <c r="G49" s="1587" t="s">
        <v>272</v>
      </c>
      <c r="H49" s="1601" t="e">
        <f>VLOOKUP(C49,'BẢNG LƯƠNG KT'!C50:G83,5,0)</f>
        <v>#N/A</v>
      </c>
      <c r="I49" s="1587"/>
      <c r="J49" s="1592" t="e">
        <f t="shared" si="0"/>
        <v>#N/A</v>
      </c>
      <c r="K49" s="1592" t="e">
        <f>+VLOOKUP(C49,'BẢNG LƯƠNG KT'!C50:L50,10,0)</f>
        <v>#N/A</v>
      </c>
      <c r="L49" s="1592" t="e">
        <f>VLOOKUP(C49,'BẢNG LƯƠNG KT'!C50:S50,15,0)</f>
        <v>#N/A</v>
      </c>
      <c r="M49" s="1592" t="e">
        <f t="shared" si="3"/>
        <v>#N/A</v>
      </c>
      <c r="N49" s="1592"/>
      <c r="O49" s="1592" t="e">
        <f t="shared" si="2"/>
        <v>#N/A</v>
      </c>
      <c r="P49" s="1702"/>
    </row>
    <row r="50" spans="1:24" ht="22.5">
      <c r="A50" s="1580">
        <v>31</v>
      </c>
      <c r="B50" s="1602" t="s">
        <v>466</v>
      </c>
      <c r="C50" s="1611" t="str">
        <f>'Chấm công công nhân'!L46</f>
        <v>Thảo Phét</v>
      </c>
      <c r="D50" s="1589"/>
      <c r="E50" s="2014" t="s">
        <v>40</v>
      </c>
      <c r="F50" s="1587"/>
      <c r="G50" s="1587" t="s">
        <v>272</v>
      </c>
      <c r="H50" s="1601" t="e">
        <f>VLOOKUP(C50,'BẢNG LƯƠNG KT'!C51:G93,5,0)</f>
        <v>#N/A</v>
      </c>
      <c r="I50" s="1587"/>
      <c r="J50" s="1592" t="e">
        <f t="shared" si="0"/>
        <v>#N/A</v>
      </c>
      <c r="K50" s="1592" t="e">
        <f>+VLOOKUP(C50,'BẢNG LƯƠNG KT'!C51:L51,10,0)</f>
        <v>#N/A</v>
      </c>
      <c r="L50" s="1592" t="e">
        <f>VLOOKUP(C50,'BẢNG LƯƠNG KT'!C51:S51,15,0)</f>
        <v>#N/A</v>
      </c>
      <c r="M50" s="1592" t="e">
        <f t="shared" si="3"/>
        <v>#N/A</v>
      </c>
      <c r="N50" s="1592"/>
      <c r="O50" s="1592" t="e">
        <f t="shared" si="2"/>
        <v>#N/A</v>
      </c>
      <c r="P50" s="1702"/>
    </row>
    <row r="51" spans="1:24" ht="22.5">
      <c r="A51" s="1587">
        <v>32</v>
      </c>
      <c r="B51" s="1602"/>
      <c r="C51" s="1611" t="str">
        <f>'Chấm công công nhân'!L47</f>
        <v>Hăn</v>
      </c>
      <c r="D51" s="1589"/>
      <c r="E51" s="2014" t="s">
        <v>40</v>
      </c>
      <c r="F51" s="1587"/>
      <c r="G51" s="1587" t="s">
        <v>272</v>
      </c>
      <c r="H51" s="1601" t="e">
        <f>VLOOKUP(C51,'BẢNG LƯƠNG KT'!C52:G93,5,0)</f>
        <v>#N/A</v>
      </c>
      <c r="I51" s="1587"/>
      <c r="J51" s="1592" t="e">
        <f t="shared" si="0"/>
        <v>#N/A</v>
      </c>
      <c r="K51" s="1592" t="e">
        <f>+VLOOKUP(C51,'BẢNG LƯƠNG KT'!C52:L52,10,0)</f>
        <v>#N/A</v>
      </c>
      <c r="L51" s="1592" t="e">
        <f>VLOOKUP(C51,'BẢNG LƯƠNG KT'!C52:S52,15,0)</f>
        <v>#N/A</v>
      </c>
      <c r="M51" s="1592" t="e">
        <f t="shared" si="3"/>
        <v>#N/A</v>
      </c>
      <c r="N51" s="1592"/>
      <c r="O51" s="1592" t="e">
        <f t="shared" si="2"/>
        <v>#N/A</v>
      </c>
      <c r="P51" s="1702"/>
    </row>
    <row r="52" spans="1:24" ht="22.5">
      <c r="A52" s="2016">
        <v>33</v>
      </c>
      <c r="B52" s="1961"/>
      <c r="C52" s="2017" t="str">
        <f>'Tong hop cong'!C50</f>
        <v>Thảo e</v>
      </c>
      <c r="D52" s="1955"/>
      <c r="E52" s="2018" t="s">
        <v>1139</v>
      </c>
      <c r="F52" s="1956"/>
      <c r="G52" s="1956"/>
      <c r="H52" s="1962">
        <f>'BẢNG LƯƠNG KT'!G54</f>
        <v>0</v>
      </c>
      <c r="I52" s="1956"/>
      <c r="J52" s="1957">
        <f t="shared" si="0"/>
        <v>0</v>
      </c>
      <c r="K52" s="1957">
        <f>+VLOOKUP(C52,'BẢNG LƯƠNG KT'!C54:L54,10,0)</f>
        <v>0</v>
      </c>
      <c r="L52" s="1957">
        <f>VLOOKUP(C52,'BẢNG LƯƠNG KT'!C54:S54,15,0)</f>
        <v>0</v>
      </c>
      <c r="M52" s="1957">
        <f t="shared" si="3"/>
        <v>0</v>
      </c>
      <c r="N52" s="1957"/>
      <c r="O52" s="1957">
        <f t="shared" si="2"/>
        <v>0</v>
      </c>
      <c r="P52" s="1702"/>
    </row>
    <row r="53" spans="1:24">
      <c r="A53" s="4286" t="s">
        <v>184</v>
      </c>
      <c r="B53" s="4287"/>
      <c r="C53" s="4287"/>
      <c r="D53" s="4287"/>
      <c r="E53" s="4287"/>
      <c r="F53" s="4287"/>
      <c r="G53" s="4288"/>
      <c r="H53" s="1573" t="e">
        <f>SUM(H16:H52)</f>
        <v>#N/A</v>
      </c>
      <c r="I53" s="1557">
        <f t="shared" ref="I53" si="4">SUM(I16:I51)</f>
        <v>0</v>
      </c>
      <c r="J53" s="1557" t="e">
        <f>SUM(J16:J52)</f>
        <v>#N/A</v>
      </c>
      <c r="K53" s="1557" t="e">
        <f t="shared" ref="K53:O53" si="5">SUM(K16:K52)</f>
        <v>#N/A</v>
      </c>
      <c r="L53" s="1557" t="e">
        <f t="shared" si="5"/>
        <v>#N/A</v>
      </c>
      <c r="M53" s="1557" t="e">
        <f t="shared" si="5"/>
        <v>#N/A</v>
      </c>
      <c r="N53" s="1557">
        <f t="shared" si="5"/>
        <v>0</v>
      </c>
      <c r="O53" s="1557" t="e">
        <f t="shared" si="5"/>
        <v>#N/A</v>
      </c>
      <c r="P53" s="1703"/>
    </row>
    <row r="54" spans="1:24" ht="24" customHeight="1">
      <c r="A54" s="4289" t="s">
        <v>1134</v>
      </c>
      <c r="B54" s="4289"/>
      <c r="C54" s="4289"/>
      <c r="D54" s="4289"/>
      <c r="E54" s="4289"/>
      <c r="F54" s="4289"/>
      <c r="G54" s="4289"/>
      <c r="H54" s="4289"/>
      <c r="I54" s="4289"/>
      <c r="J54" s="4289"/>
      <c r="K54" s="4289"/>
      <c r="L54" s="4289"/>
      <c r="M54" s="4289"/>
      <c r="N54" s="4289"/>
      <c r="O54" s="4289"/>
      <c r="P54" s="1697"/>
      <c r="Q54" s="684"/>
      <c r="S54" s="156" t="s">
        <v>720</v>
      </c>
      <c r="T54" s="798">
        <f>'CV KHAC'!M45</f>
        <v>0</v>
      </c>
      <c r="V54" s="895">
        <v>648</v>
      </c>
      <c r="W54" s="895">
        <v>304</v>
      </c>
      <c r="X54" s="894">
        <f>+V54-W54</f>
        <v>344</v>
      </c>
    </row>
    <row r="55" spans="1:24" ht="29.25" customHeight="1">
      <c r="A55" s="1527"/>
      <c r="B55" s="1527"/>
      <c r="C55" s="1527"/>
      <c r="D55" s="1527"/>
      <c r="E55" s="1527"/>
      <c r="F55" s="1932"/>
      <c r="G55" s="1527"/>
      <c r="H55" s="949"/>
      <c r="I55" s="1527"/>
      <c r="J55" s="1527"/>
      <c r="K55" s="1527"/>
      <c r="L55" s="4273" t="s">
        <v>1011</v>
      </c>
      <c r="M55" s="4273"/>
      <c r="N55" s="4273"/>
      <c r="O55" s="4273"/>
      <c r="P55" s="1698"/>
      <c r="R55" s="684"/>
      <c r="S55" s="156" t="s">
        <v>721</v>
      </c>
      <c r="T55" s="798">
        <v>150000</v>
      </c>
      <c r="V55" s="895">
        <v>875</v>
      </c>
      <c r="W55" s="895">
        <v>395</v>
      </c>
      <c r="X55" s="894">
        <f>+V55-W55</f>
        <v>480</v>
      </c>
    </row>
    <row r="56" spans="1:24" s="1332" customFormat="1" ht="29.25" customHeight="1">
      <c r="C56" s="3954" t="s">
        <v>613</v>
      </c>
      <c r="D56" s="3954"/>
      <c r="E56" s="3954"/>
      <c r="F56" s="1989"/>
      <c r="G56" s="1743"/>
      <c r="H56" s="3954" t="s">
        <v>257</v>
      </c>
      <c r="I56" s="3954"/>
      <c r="J56" s="3954"/>
      <c r="K56" s="3954"/>
      <c r="M56" s="3954" t="s">
        <v>1104</v>
      </c>
      <c r="N56" s="3954"/>
      <c r="O56" s="3954"/>
      <c r="T56" s="1862">
        <v>1500000</v>
      </c>
      <c r="V56" s="1863">
        <f>SUM(V54:V55)</f>
        <v>1523</v>
      </c>
      <c r="W56" s="1863">
        <f>SUM(W54:W55)</f>
        <v>699</v>
      </c>
      <c r="X56" s="894">
        <f>+V56-W56</f>
        <v>824</v>
      </c>
    </row>
    <row r="58" spans="1:24">
      <c r="H58" s="386"/>
    </row>
  </sheetData>
  <mergeCells count="25">
    <mergeCell ref="A53:G53"/>
    <mergeCell ref="A54:O54"/>
    <mergeCell ref="A12:A14"/>
    <mergeCell ref="K13:K14"/>
    <mergeCell ref="L13:L14"/>
    <mergeCell ref="M12:M14"/>
    <mergeCell ref="O12:O14"/>
    <mergeCell ref="E12:E14"/>
    <mergeCell ref="F12:F14"/>
    <mergeCell ref="H56:K56"/>
    <mergeCell ref="A8:O8"/>
    <mergeCell ref="A1:O1"/>
    <mergeCell ref="A2:O2"/>
    <mergeCell ref="A7:O7"/>
    <mergeCell ref="A3:O3"/>
    <mergeCell ref="A4:H4"/>
    <mergeCell ref="A5:H5"/>
    <mergeCell ref="L55:O55"/>
    <mergeCell ref="C56:E56"/>
    <mergeCell ref="H12:L12"/>
    <mergeCell ref="N12:N13"/>
    <mergeCell ref="M56:O56"/>
    <mergeCell ref="B12:C14"/>
    <mergeCell ref="H13:J13"/>
    <mergeCell ref="G12:G14"/>
  </mergeCells>
  <pageMargins left="0.19685039370078741" right="0.26" top="0.43307086614173229" bottom="0.39370078740157483" header="0.31496062992125984" footer="0.31496062992125984"/>
  <pageSetup paperSize="9" scale="7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34"/>
  <sheetViews>
    <sheetView zoomScale="85" zoomScaleNormal="85" workbookViewId="0">
      <selection activeCell="H34" sqref="H34:K34"/>
    </sheetView>
  </sheetViews>
  <sheetFormatPr defaultColWidth="9.375" defaultRowHeight="29.25" customHeight="1"/>
  <cols>
    <col min="1" max="1" width="4.375" style="156" customWidth="1"/>
    <col min="2" max="2" width="5.375" style="156" hidden="1" customWidth="1"/>
    <col min="3" max="3" width="16.25" style="280" customWidth="1"/>
    <col min="4" max="4" width="8.375" style="156" hidden="1" customWidth="1"/>
    <col min="5" max="5" width="10.625" style="280" customWidth="1"/>
    <col min="6" max="6" width="10.625" style="1995" customWidth="1"/>
    <col min="7" max="7" width="10.375" style="280" customWidth="1"/>
    <col min="8" max="9" width="17.375" style="1861" customWidth="1"/>
    <col min="10" max="10" width="12.25" style="156" hidden="1" customWidth="1"/>
    <col min="11" max="11" width="14.875" style="156" customWidth="1"/>
    <col min="12" max="12" width="16.375" style="156" customWidth="1"/>
    <col min="13" max="13" width="19.875" style="156" customWidth="1"/>
    <col min="14" max="14" width="6.125" style="156" hidden="1" customWidth="1"/>
    <col min="15" max="15" width="17.875" style="156" customWidth="1"/>
    <col min="16" max="16" width="19.25" style="156" bestFit="1" customWidth="1"/>
    <col min="17" max="17" width="13.375" style="156" customWidth="1"/>
    <col min="18" max="18" width="18.25" style="156" customWidth="1"/>
    <col min="19" max="19" width="16.125" style="156" customWidth="1"/>
    <col min="20" max="20" width="16.25" style="156" bestFit="1" customWidth="1"/>
    <col min="21" max="21" width="14.625" style="156" customWidth="1"/>
    <col min="22" max="22" width="15" style="156" customWidth="1"/>
    <col min="23" max="23" width="20.25" style="156" customWidth="1"/>
    <col min="24" max="16384" width="9.375" style="156"/>
  </cols>
  <sheetData>
    <row r="1" spans="1:19" ht="22.5" customHeight="1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  <c r="O1" s="3945"/>
    </row>
    <row r="2" spans="1:19" ht="22.5" customHeight="1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  <c r="O2" s="3945"/>
    </row>
    <row r="3" spans="1:19" ht="22.5" customHeight="1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3950"/>
      <c r="M3" s="3950"/>
      <c r="N3" s="3950"/>
      <c r="O3" s="3950"/>
    </row>
    <row r="4" spans="1:19" ht="22.5" customHeight="1">
      <c r="A4" s="3949" t="s">
        <v>574</v>
      </c>
      <c r="B4" s="3949"/>
      <c r="C4" s="3949"/>
      <c r="D4" s="3949"/>
      <c r="E4" s="3949"/>
      <c r="F4" s="3949"/>
      <c r="G4" s="3949"/>
      <c r="H4" s="3949"/>
      <c r="J4" s="1532"/>
    </row>
    <row r="5" spans="1:19" ht="16.5" customHeight="1">
      <c r="A5" s="3945" t="s">
        <v>541</v>
      </c>
      <c r="B5" s="3945"/>
      <c r="C5" s="3945"/>
      <c r="D5" s="3945"/>
      <c r="E5" s="3945"/>
      <c r="F5" s="3945"/>
      <c r="G5" s="3945"/>
      <c r="H5" s="3945"/>
      <c r="I5" s="1994"/>
      <c r="J5" s="1533"/>
    </row>
    <row r="6" spans="1:19" ht="22.5" customHeight="1">
      <c r="A6" s="693"/>
      <c r="B6" s="693"/>
      <c r="C6" s="693"/>
      <c r="D6" s="693"/>
      <c r="E6" s="693"/>
      <c r="F6" s="1993"/>
      <c r="G6" s="693"/>
      <c r="H6" s="1994"/>
      <c r="I6" s="1994"/>
      <c r="J6" s="693"/>
      <c r="K6" s="693"/>
      <c r="L6" s="693"/>
      <c r="M6" s="693"/>
      <c r="N6" s="693"/>
      <c r="O6" s="693"/>
    </row>
    <row r="7" spans="1:19" ht="22.5" customHeight="1">
      <c r="A7" s="3951" t="s">
        <v>1009</v>
      </c>
      <c r="B7" s="3951"/>
      <c r="C7" s="3951"/>
      <c r="D7" s="3951"/>
      <c r="E7" s="3951"/>
      <c r="F7" s="3951"/>
      <c r="G7" s="3951"/>
      <c r="H7" s="3951"/>
      <c r="I7" s="3951"/>
      <c r="J7" s="3951"/>
      <c r="K7" s="3951"/>
      <c r="L7" s="3951"/>
      <c r="M7" s="3951"/>
      <c r="N7" s="3951"/>
      <c r="O7" s="3951"/>
    </row>
    <row r="8" spans="1:19" ht="22.5" customHeight="1">
      <c r="A8" s="3951" t="s">
        <v>322</v>
      </c>
      <c r="B8" s="3951"/>
      <c r="C8" s="3951"/>
      <c r="D8" s="3951"/>
      <c r="E8" s="3951"/>
      <c r="F8" s="3951"/>
      <c r="G8" s="3951"/>
      <c r="H8" s="3951"/>
      <c r="I8" s="3951"/>
      <c r="J8" s="3951"/>
      <c r="K8" s="3951"/>
      <c r="L8" s="3951"/>
      <c r="M8" s="3951"/>
      <c r="N8" s="3951"/>
      <c r="O8" s="3951"/>
    </row>
    <row r="9" spans="1:19" ht="13.5" hidden="1" customHeight="1">
      <c r="A9" s="1378"/>
      <c r="B9" s="1378"/>
      <c r="C9" s="1388" t="s">
        <v>847</v>
      </c>
      <c r="D9" s="1388"/>
      <c r="E9" s="1388">
        <f>'Tổ 1'!E9</f>
        <v>21178</v>
      </c>
      <c r="F9" s="1388"/>
      <c r="G9" s="1378"/>
      <c r="H9" s="2001"/>
      <c r="I9" s="2001"/>
      <c r="J9" s="1378"/>
      <c r="K9" s="1378"/>
      <c r="L9" s="1378"/>
      <c r="M9" s="1378"/>
      <c r="N9" s="1378"/>
      <c r="O9" s="1378"/>
    </row>
    <row r="10" spans="1:19" ht="13.5" hidden="1" customHeight="1">
      <c r="C10" s="1389" t="s">
        <v>848</v>
      </c>
      <c r="D10" s="1390"/>
      <c r="E10" s="1558">
        <f>'Tổ 1'!E10</f>
        <v>0.98919999999999997</v>
      </c>
      <c r="F10" s="1558"/>
    </row>
    <row r="11" spans="1:19" ht="13.5" hidden="1" customHeight="1">
      <c r="C11" s="1389" t="s">
        <v>894</v>
      </c>
      <c r="D11" s="1390"/>
      <c r="E11" s="1388">
        <f>'Tổ 1'!E11</f>
        <v>653.07000000000005</v>
      </c>
      <c r="F11" s="1388"/>
    </row>
    <row r="12" spans="1:19" ht="29.25" customHeight="1">
      <c r="A12" s="4138" t="s">
        <v>1</v>
      </c>
      <c r="B12" s="4274" t="s">
        <v>2</v>
      </c>
      <c r="C12" s="4275"/>
      <c r="D12" s="1521"/>
      <c r="E12" s="4138" t="s">
        <v>5</v>
      </c>
      <c r="F12" s="4283" t="s">
        <v>9</v>
      </c>
      <c r="G12" s="4283" t="s">
        <v>853</v>
      </c>
      <c r="H12" s="4138" t="s">
        <v>6</v>
      </c>
      <c r="I12" s="4138"/>
      <c r="J12" s="4138"/>
      <c r="K12" s="4138"/>
      <c r="L12" s="4138"/>
      <c r="M12" s="4138" t="s">
        <v>233</v>
      </c>
      <c r="N12" s="4138" t="s">
        <v>8</v>
      </c>
      <c r="O12" s="4132" t="s">
        <v>1152</v>
      </c>
    </row>
    <row r="13" spans="1:19" ht="36" customHeight="1">
      <c r="A13" s="4138"/>
      <c r="B13" s="4276"/>
      <c r="C13" s="4277"/>
      <c r="D13" s="1997"/>
      <c r="E13" s="4138"/>
      <c r="F13" s="4284"/>
      <c r="G13" s="4284"/>
      <c r="H13" s="4280" t="s">
        <v>1158</v>
      </c>
      <c r="I13" s="4281"/>
      <c r="J13" s="4282"/>
      <c r="K13" s="4132" t="s">
        <v>56</v>
      </c>
      <c r="L13" s="4132" t="s">
        <v>57</v>
      </c>
      <c r="M13" s="4138"/>
      <c r="N13" s="4138"/>
      <c r="O13" s="4290"/>
    </row>
    <row r="14" spans="1:19" ht="38.25" customHeight="1">
      <c r="A14" s="4138"/>
      <c r="B14" s="4278"/>
      <c r="C14" s="4279"/>
      <c r="D14" s="1521" t="s">
        <v>239</v>
      </c>
      <c r="E14" s="4283"/>
      <c r="F14" s="4284"/>
      <c r="G14" s="4284"/>
      <c r="H14" s="2010" t="s">
        <v>362</v>
      </c>
      <c r="I14" s="2019" t="s">
        <v>24</v>
      </c>
      <c r="J14" s="2019" t="s">
        <v>24</v>
      </c>
      <c r="K14" s="4290"/>
      <c r="L14" s="4290"/>
      <c r="M14" s="4283"/>
      <c r="N14" s="4283"/>
      <c r="O14" s="4290"/>
    </row>
    <row r="15" spans="1:19" ht="29.25" customHeight="1">
      <c r="A15" s="1580">
        <v>1</v>
      </c>
      <c r="B15" s="1599" t="s">
        <v>438</v>
      </c>
      <c r="C15" s="1600" t="str">
        <f>'Chấm công công nhân'!L49</f>
        <v>Thảo Đa Văn</v>
      </c>
      <c r="D15" s="1582"/>
      <c r="E15" s="1587" t="s">
        <v>40</v>
      </c>
      <c r="F15" s="1587"/>
      <c r="G15" s="1587" t="s">
        <v>273</v>
      </c>
      <c r="H15" s="2008" t="e">
        <f>+VLOOKUP(C15,'BẢNG LƯƠNG KT'!C56:G70,5,0)</f>
        <v>#N/A</v>
      </c>
      <c r="I15" s="2025" t="e">
        <f>H15*25000</f>
        <v>#N/A</v>
      </c>
      <c r="J15" s="1587"/>
      <c r="K15" s="1592" t="e">
        <f>+VLOOKUP(C15,'BẢNG LƯƠNG KT'!C56:L56,10,0)</f>
        <v>#N/A</v>
      </c>
      <c r="L15" s="1592" t="e">
        <f>+VLOOKUP(C15,'BẢNG LƯƠNG KT'!C56:S56,15,0)</f>
        <v>#N/A</v>
      </c>
      <c r="M15" s="1592" t="e">
        <f>SUM(I15:L15)</f>
        <v>#N/A</v>
      </c>
      <c r="N15" s="1592"/>
      <c r="O15" s="1592" t="e">
        <f>M15</f>
        <v>#N/A</v>
      </c>
    </row>
    <row r="16" spans="1:19" ht="29.25" customHeight="1">
      <c r="A16" s="1587">
        <v>2</v>
      </c>
      <c r="B16" s="1588" t="s">
        <v>440</v>
      </c>
      <c r="C16" s="1600">
        <f>'Chấm công công nhân'!L50</f>
        <v>0</v>
      </c>
      <c r="D16" s="1589"/>
      <c r="E16" s="1587" t="s">
        <v>40</v>
      </c>
      <c r="F16" s="1587"/>
      <c r="G16" s="1587" t="s">
        <v>273</v>
      </c>
      <c r="H16" s="2008" t="e">
        <f>+VLOOKUP(C16,'BẢNG LƯƠNG KT'!C57:G76,5,0)</f>
        <v>#N/A</v>
      </c>
      <c r="I16" s="2025" t="e">
        <f t="shared" ref="I16:I29" si="0">H16*25000</f>
        <v>#N/A</v>
      </c>
      <c r="J16" s="1587"/>
      <c r="K16" s="1592" t="e">
        <f>+VLOOKUP(C16,'BẢNG LƯƠNG KT'!C57:L57,10,0)</f>
        <v>#N/A</v>
      </c>
      <c r="L16" s="1592" t="e">
        <f>+VLOOKUP(C16,'BẢNG LƯƠNG KT'!C57:S57,15,0)</f>
        <v>#N/A</v>
      </c>
      <c r="M16" s="1592" t="e">
        <f t="shared" ref="M16:M29" si="1">SUM(I16:L16)</f>
        <v>#N/A</v>
      </c>
      <c r="N16" s="1592"/>
      <c r="O16" s="1592" t="e">
        <f t="shared" ref="O16:O29" si="2">M16</f>
        <v>#N/A</v>
      </c>
      <c r="S16" s="798">
        <v>244427</v>
      </c>
    </row>
    <row r="17" spans="1:23" ht="29.25" customHeight="1">
      <c r="A17" s="1587">
        <v>3</v>
      </c>
      <c r="B17" s="1588" t="s">
        <v>442</v>
      </c>
      <c r="C17" s="1600" t="str">
        <f>'Chấm công công nhân'!L51</f>
        <v>Thảo Xa Đết</v>
      </c>
      <c r="D17" s="1589"/>
      <c r="E17" s="1587" t="s">
        <v>40</v>
      </c>
      <c r="F17" s="1587"/>
      <c r="G17" s="1587" t="s">
        <v>273</v>
      </c>
      <c r="H17" s="2008" t="e">
        <f>+VLOOKUP(C17,'BẢNG LƯƠNG KT'!C58:G77,5,0)</f>
        <v>#N/A</v>
      </c>
      <c r="I17" s="2025" t="e">
        <f t="shared" si="0"/>
        <v>#N/A</v>
      </c>
      <c r="J17" s="1587"/>
      <c r="K17" s="1592" t="e">
        <f>+VLOOKUP(C17,'BẢNG LƯƠNG KT'!C58:L58,10,0)</f>
        <v>#N/A</v>
      </c>
      <c r="L17" s="1592" t="e">
        <f>+VLOOKUP(C17,'BẢNG LƯƠNG KT'!C58:S58,15,0)</f>
        <v>#N/A</v>
      </c>
      <c r="M17" s="1592" t="e">
        <f t="shared" si="1"/>
        <v>#N/A</v>
      </c>
      <c r="N17" s="1592"/>
      <c r="O17" s="1592" t="e">
        <f t="shared" si="2"/>
        <v>#N/A</v>
      </c>
      <c r="S17" s="798">
        <v>14473</v>
      </c>
    </row>
    <row r="18" spans="1:23" ht="29.25" customHeight="1">
      <c r="A18" s="1587">
        <v>4</v>
      </c>
      <c r="B18" s="1588" t="s">
        <v>444</v>
      </c>
      <c r="C18" s="1600" t="str">
        <f>'Chấm công công nhân'!L52</f>
        <v>Thảo Sột</v>
      </c>
      <c r="D18" s="1589"/>
      <c r="E18" s="1587" t="s">
        <v>40</v>
      </c>
      <c r="F18" s="1587"/>
      <c r="G18" s="1587" t="s">
        <v>273</v>
      </c>
      <c r="H18" s="2008" t="e">
        <f>+VLOOKUP(C18,'BẢNG LƯƠNG KT'!C59:G78,5,0)</f>
        <v>#N/A</v>
      </c>
      <c r="I18" s="2025" t="e">
        <f t="shared" si="0"/>
        <v>#N/A</v>
      </c>
      <c r="J18" s="1587"/>
      <c r="K18" s="1592" t="e">
        <f>+VLOOKUP(C18,'BẢNG LƯƠNG KT'!C59:L59,10,0)</f>
        <v>#N/A</v>
      </c>
      <c r="L18" s="1592" t="e">
        <f>+VLOOKUP(C18,'BẢNG LƯƠNG KT'!C59:S59,15,0)</f>
        <v>#N/A</v>
      </c>
      <c r="M18" s="1592" t="e">
        <f t="shared" si="1"/>
        <v>#N/A</v>
      </c>
      <c r="N18" s="1592"/>
      <c r="O18" s="1592" t="e">
        <f t="shared" si="2"/>
        <v>#N/A</v>
      </c>
      <c r="S18" s="814">
        <f>+S16+S17</f>
        <v>258900</v>
      </c>
      <c r="T18" s="684"/>
      <c r="U18" s="156">
        <v>3</v>
      </c>
      <c r="V18" s="156">
        <v>50</v>
      </c>
      <c r="W18" s="156">
        <f>+U18*V18</f>
        <v>150</v>
      </c>
    </row>
    <row r="19" spans="1:23" ht="29.25" customHeight="1">
      <c r="A19" s="1587">
        <v>5</v>
      </c>
      <c r="B19" s="1588" t="s">
        <v>446</v>
      </c>
      <c r="C19" s="1600" t="str">
        <f>'Chấm công công nhân'!L53</f>
        <v>Stoong</v>
      </c>
      <c r="D19" s="1589"/>
      <c r="E19" s="1587" t="s">
        <v>40</v>
      </c>
      <c r="F19" s="1587"/>
      <c r="G19" s="1587" t="s">
        <v>273</v>
      </c>
      <c r="H19" s="2008" t="e">
        <f>+VLOOKUP(C19,'BẢNG LƯƠNG KT'!C60:G79,5,0)</f>
        <v>#N/A</v>
      </c>
      <c r="I19" s="2025" t="e">
        <f t="shared" si="0"/>
        <v>#N/A</v>
      </c>
      <c r="J19" s="1587"/>
      <c r="K19" s="1592" t="e">
        <f>+VLOOKUP(C19,'BẢNG LƯƠNG KT'!C60:L60,10,0)</f>
        <v>#N/A</v>
      </c>
      <c r="L19" s="1592" t="e">
        <f>+VLOOKUP(C19,'BẢNG LƯƠNG KT'!C60:S60,15,0)</f>
        <v>#N/A</v>
      </c>
      <c r="M19" s="1592" t="e">
        <f t="shared" si="1"/>
        <v>#N/A</v>
      </c>
      <c r="N19" s="1592"/>
      <c r="O19" s="1592" t="e">
        <f t="shared" si="2"/>
        <v>#N/A</v>
      </c>
      <c r="S19" s="156">
        <v>850</v>
      </c>
      <c r="T19" s="814"/>
      <c r="W19" s="156">
        <v>100</v>
      </c>
    </row>
    <row r="20" spans="1:23" ht="29.25" customHeight="1">
      <c r="A20" s="1587">
        <v>6</v>
      </c>
      <c r="B20" s="1588" t="s">
        <v>448</v>
      </c>
      <c r="C20" s="1600" t="str">
        <f>'Chấm công công nhân'!L54</f>
        <v>Nàng Phắt</v>
      </c>
      <c r="D20" s="1589"/>
      <c r="E20" s="1587" t="s">
        <v>40</v>
      </c>
      <c r="F20" s="1587"/>
      <c r="G20" s="1587" t="s">
        <v>273</v>
      </c>
      <c r="H20" s="2008" t="e">
        <f>+VLOOKUP(C20,'BẢNG LƯƠNG KT'!C61:G80,5,0)</f>
        <v>#N/A</v>
      </c>
      <c r="I20" s="2025" t="e">
        <f t="shared" si="0"/>
        <v>#N/A</v>
      </c>
      <c r="J20" s="1587"/>
      <c r="K20" s="1592" t="e">
        <f>+VLOOKUP(C20,'BẢNG LƯƠNG KT'!C61:L61,10,0)</f>
        <v>#N/A</v>
      </c>
      <c r="L20" s="1592" t="e">
        <f>+VLOOKUP(C20,'BẢNG LƯƠNG KT'!C61:S61,15,0)</f>
        <v>#N/A</v>
      </c>
      <c r="M20" s="1592" t="e">
        <f t="shared" si="1"/>
        <v>#N/A</v>
      </c>
      <c r="N20" s="1592"/>
      <c r="O20" s="1592" t="e">
        <f t="shared" si="2"/>
        <v>#N/A</v>
      </c>
      <c r="S20" s="814">
        <f>+S18-S19</f>
        <v>258050</v>
      </c>
    </row>
    <row r="21" spans="1:23" ht="29.25" customHeight="1">
      <c r="A21" s="1587">
        <v>7</v>
      </c>
      <c r="B21" s="1588" t="s">
        <v>452</v>
      </c>
      <c r="C21" s="1600" t="str">
        <f>'Chấm công công nhân'!L55</f>
        <v>Nàng May</v>
      </c>
      <c r="D21" s="1589"/>
      <c r="E21" s="1587" t="s">
        <v>40</v>
      </c>
      <c r="F21" s="1587"/>
      <c r="G21" s="1587" t="s">
        <v>273</v>
      </c>
      <c r="H21" s="2008" t="e">
        <f>+VLOOKUP(C21,'BẢNG LƯƠNG KT'!C62:G81,5,0)</f>
        <v>#N/A</v>
      </c>
      <c r="I21" s="2025" t="e">
        <f t="shared" si="0"/>
        <v>#N/A</v>
      </c>
      <c r="J21" s="1587"/>
      <c r="K21" s="1592" t="e">
        <f>+VLOOKUP(C21,'BẢNG LƯƠNG KT'!C62:L62,10,0)</f>
        <v>#N/A</v>
      </c>
      <c r="L21" s="1592" t="e">
        <f>+VLOOKUP(C21,'BẢNG LƯƠNG KT'!C62:S62,15,0)</f>
        <v>#N/A</v>
      </c>
      <c r="M21" s="1592" t="e">
        <f t="shared" si="1"/>
        <v>#N/A</v>
      </c>
      <c r="N21" s="1592"/>
      <c r="O21" s="1592" t="e">
        <f t="shared" si="2"/>
        <v>#N/A</v>
      </c>
    </row>
    <row r="22" spans="1:23" ht="29.25" customHeight="1">
      <c r="A22" s="1587">
        <v>8</v>
      </c>
      <c r="B22" s="1588" t="s">
        <v>456</v>
      </c>
      <c r="C22" s="1600" t="str">
        <f>'Chấm công công nhân'!L56</f>
        <v>Thảo Bênh</v>
      </c>
      <c r="D22" s="1589"/>
      <c r="E22" s="1587" t="s">
        <v>40</v>
      </c>
      <c r="F22" s="1587"/>
      <c r="G22" s="1587" t="s">
        <v>273</v>
      </c>
      <c r="H22" s="2008" t="e">
        <f>+VLOOKUP(C22,'BẢNG LƯƠNG KT'!C63:G82,5,0)</f>
        <v>#N/A</v>
      </c>
      <c r="I22" s="2025" t="e">
        <f t="shared" si="0"/>
        <v>#N/A</v>
      </c>
      <c r="J22" s="1587"/>
      <c r="K22" s="1592" t="e">
        <f>+VLOOKUP(C22,'BẢNG LƯƠNG KT'!C63:L63,10,0)</f>
        <v>#N/A</v>
      </c>
      <c r="L22" s="1592" t="e">
        <f>+VLOOKUP(C22,'BẢNG LƯƠNG KT'!C63:S63,15,0)</f>
        <v>#N/A</v>
      </c>
      <c r="M22" s="1592" t="e">
        <f t="shared" si="1"/>
        <v>#N/A</v>
      </c>
      <c r="N22" s="1592"/>
      <c r="O22" s="1592" t="e">
        <f t="shared" si="2"/>
        <v>#N/A</v>
      </c>
    </row>
    <row r="23" spans="1:23" ht="29.25" customHeight="1">
      <c r="A23" s="1587">
        <v>9</v>
      </c>
      <c r="B23" s="1588" t="s">
        <v>475</v>
      </c>
      <c r="C23" s="1600" t="str">
        <f>'Chấm công công nhân'!L57</f>
        <v>Thảo Đinh</v>
      </c>
      <c r="D23" s="1589"/>
      <c r="E23" s="1587" t="s">
        <v>40</v>
      </c>
      <c r="F23" s="1587"/>
      <c r="G23" s="1587" t="s">
        <v>273</v>
      </c>
      <c r="H23" s="2008" t="e">
        <f>+VLOOKUP(C23,'BẢNG LƯƠNG KT'!C64:G83,5,0)</f>
        <v>#N/A</v>
      </c>
      <c r="I23" s="2025" t="e">
        <f t="shared" si="0"/>
        <v>#N/A</v>
      </c>
      <c r="J23" s="1587"/>
      <c r="K23" s="1592" t="e">
        <f>+VLOOKUP(C23,'BẢNG LƯƠNG KT'!C64:L64,10,0)</f>
        <v>#N/A</v>
      </c>
      <c r="L23" s="1592" t="e">
        <f>+VLOOKUP(C23,'BẢNG LƯƠNG KT'!C64:S64,15,0)</f>
        <v>#N/A</v>
      </c>
      <c r="M23" s="1592" t="e">
        <f t="shared" si="1"/>
        <v>#N/A</v>
      </c>
      <c r="N23" s="1592"/>
      <c r="O23" s="1592" t="e">
        <f t="shared" si="2"/>
        <v>#N/A</v>
      </c>
    </row>
    <row r="24" spans="1:23" ht="29.25" customHeight="1">
      <c r="A24" s="1587">
        <v>10</v>
      </c>
      <c r="B24" s="1588" t="s">
        <v>477</v>
      </c>
      <c r="C24" s="1600" t="str">
        <f>'Chấm công công nhân'!L58</f>
        <v>Thảo Vi</v>
      </c>
      <c r="D24" s="1589"/>
      <c r="E24" s="1587" t="s">
        <v>40</v>
      </c>
      <c r="F24" s="1587"/>
      <c r="G24" s="1587" t="s">
        <v>273</v>
      </c>
      <c r="H24" s="2008" t="e">
        <f>+VLOOKUP(C24,'BẢNG LƯƠNG KT'!C65:G83,5,0)</f>
        <v>#N/A</v>
      </c>
      <c r="I24" s="2025" t="e">
        <f t="shared" si="0"/>
        <v>#N/A</v>
      </c>
      <c r="J24" s="1587"/>
      <c r="K24" s="1592" t="e">
        <f>+VLOOKUP(C24,'BẢNG LƯƠNG KT'!C65:L65,10,0)</f>
        <v>#N/A</v>
      </c>
      <c r="L24" s="1592" t="e">
        <f>+VLOOKUP(C24,'BẢNG LƯƠNG KT'!C65:S65,15,0)</f>
        <v>#N/A</v>
      </c>
      <c r="M24" s="1592" t="e">
        <f t="shared" si="1"/>
        <v>#N/A</v>
      </c>
      <c r="N24" s="1592"/>
      <c r="O24" s="1592" t="e">
        <f t="shared" si="2"/>
        <v>#N/A</v>
      </c>
    </row>
    <row r="25" spans="1:23" ht="29.25" customHeight="1">
      <c r="A25" s="1587">
        <v>11</v>
      </c>
      <c r="B25" s="1588"/>
      <c r="C25" s="1600" t="str">
        <f>'Chấm công công nhân'!L59</f>
        <v>Thảo Văn</v>
      </c>
      <c r="D25" s="1589"/>
      <c r="E25" s="1587" t="s">
        <v>40</v>
      </c>
      <c r="F25" s="1587"/>
      <c r="G25" s="1587" t="s">
        <v>273</v>
      </c>
      <c r="H25" s="2008" t="e">
        <f>+VLOOKUP(C25,'BẢNG LƯƠNG KT'!C66:G83,5,0)</f>
        <v>#N/A</v>
      </c>
      <c r="I25" s="2025" t="e">
        <f t="shared" si="0"/>
        <v>#N/A</v>
      </c>
      <c r="J25" s="1587"/>
      <c r="K25" s="1592" t="e">
        <f>+VLOOKUP(C25,'BẢNG LƯƠNG KT'!C66:L66,10,0)</f>
        <v>#N/A</v>
      </c>
      <c r="L25" s="1592" t="e">
        <f>+VLOOKUP(C25,'BẢNG LƯƠNG KT'!C66:S66,15,0)</f>
        <v>#N/A</v>
      </c>
      <c r="M25" s="1592" t="e">
        <f t="shared" si="1"/>
        <v>#N/A</v>
      </c>
      <c r="N25" s="1592"/>
      <c r="O25" s="1592" t="e">
        <f t="shared" si="2"/>
        <v>#N/A</v>
      </c>
    </row>
    <row r="26" spans="1:23" ht="29.25" customHeight="1">
      <c r="A26" s="1587">
        <v>12</v>
      </c>
      <c r="B26" s="1588"/>
      <c r="C26" s="1600" t="str">
        <f>'Chấm công công nhân'!L60</f>
        <v>Nàng Phìn</v>
      </c>
      <c r="D26" s="1589"/>
      <c r="E26" s="1587" t="s">
        <v>40</v>
      </c>
      <c r="F26" s="1587"/>
      <c r="G26" s="1587" t="s">
        <v>273</v>
      </c>
      <c r="H26" s="2008" t="e">
        <f>+VLOOKUP(C26,'BẢNG LƯƠNG KT'!C67:G83,5,0)</f>
        <v>#N/A</v>
      </c>
      <c r="I26" s="2025" t="e">
        <f t="shared" si="0"/>
        <v>#N/A</v>
      </c>
      <c r="J26" s="1587"/>
      <c r="K26" s="1592" t="e">
        <f>+VLOOKUP(C26,'BẢNG LƯƠNG KT'!C67:L67,10,0)</f>
        <v>#N/A</v>
      </c>
      <c r="L26" s="1592" t="e">
        <f>+VLOOKUP(C26,'BẢNG LƯƠNG KT'!C67:S67,15,0)</f>
        <v>#N/A</v>
      </c>
      <c r="M26" s="1592" t="e">
        <f t="shared" si="1"/>
        <v>#N/A</v>
      </c>
      <c r="N26" s="1592"/>
      <c r="O26" s="1592" t="e">
        <f t="shared" si="2"/>
        <v>#N/A</v>
      </c>
    </row>
    <row r="27" spans="1:23" ht="29.25" customHeight="1">
      <c r="A27" s="1587">
        <v>13</v>
      </c>
      <c r="B27" s="1588"/>
      <c r="C27" s="1600" t="str">
        <f>'Chấm công công nhân'!L61</f>
        <v>Mẹ Sột</v>
      </c>
      <c r="D27" s="1589"/>
      <c r="E27" s="1587" t="s">
        <v>40</v>
      </c>
      <c r="F27" s="1587"/>
      <c r="G27" s="1587" t="s">
        <v>273</v>
      </c>
      <c r="H27" s="2008" t="e">
        <f>+VLOOKUP(C27,'BẢNG LƯƠNG KT'!C68:G83,5,0)</f>
        <v>#N/A</v>
      </c>
      <c r="I27" s="2025" t="e">
        <f t="shared" si="0"/>
        <v>#N/A</v>
      </c>
      <c r="J27" s="1587"/>
      <c r="K27" s="1592" t="e">
        <f>+VLOOKUP(C27,'BẢNG LƯƠNG KT'!C68:L68,10,0)</f>
        <v>#N/A</v>
      </c>
      <c r="L27" s="1592" t="e">
        <f>+VLOOKUP(C27,'BẢNG LƯƠNG KT'!C68:S68,15,0)</f>
        <v>#N/A</v>
      </c>
      <c r="M27" s="1592" t="e">
        <f t="shared" si="1"/>
        <v>#N/A</v>
      </c>
      <c r="N27" s="1592"/>
      <c r="O27" s="1592" t="e">
        <f t="shared" si="2"/>
        <v>#N/A</v>
      </c>
    </row>
    <row r="28" spans="1:23" ht="29.25" customHeight="1">
      <c r="A28" s="1587">
        <v>14</v>
      </c>
      <c r="B28" s="1588"/>
      <c r="C28" s="1600" t="str">
        <f>'Chấm công công nhân'!L62</f>
        <v>Nàng Heo</v>
      </c>
      <c r="D28" s="1589"/>
      <c r="E28" s="1587" t="s">
        <v>40</v>
      </c>
      <c r="F28" s="1587"/>
      <c r="G28" s="1587" t="s">
        <v>273</v>
      </c>
      <c r="H28" s="2008" t="e">
        <f>+VLOOKUP(C28,'BẢNG LƯƠNG KT'!C69:G83,5,0)</f>
        <v>#N/A</v>
      </c>
      <c r="I28" s="2025" t="e">
        <f t="shared" si="0"/>
        <v>#N/A</v>
      </c>
      <c r="J28" s="1587"/>
      <c r="K28" s="1592" t="e">
        <f>+VLOOKUP(C28,'BẢNG LƯƠNG KT'!C69:L69,10,0)</f>
        <v>#N/A</v>
      </c>
      <c r="L28" s="1592" t="e">
        <f>+VLOOKUP(C28,'BẢNG LƯƠNG KT'!C69:S69,15,0)</f>
        <v>#N/A</v>
      </c>
      <c r="M28" s="1592" t="e">
        <f t="shared" si="1"/>
        <v>#N/A</v>
      </c>
      <c r="N28" s="1592"/>
      <c r="O28" s="1592" t="e">
        <f t="shared" si="2"/>
        <v>#N/A</v>
      </c>
    </row>
    <row r="29" spans="1:23" ht="21" customHeight="1">
      <c r="A29" s="1594">
        <v>15</v>
      </c>
      <c r="B29" s="1595"/>
      <c r="C29" s="1600" t="str">
        <f>'Chấm công công nhân'!L63</f>
        <v>Thảo Chăn Ti</v>
      </c>
      <c r="D29" s="1596"/>
      <c r="E29" s="2020" t="s">
        <v>40</v>
      </c>
      <c r="F29" s="2020"/>
      <c r="G29" s="2020" t="s">
        <v>273</v>
      </c>
      <c r="H29" s="2021" t="e">
        <f>+VLOOKUP(C29,'BẢNG LƯƠNG KT'!C70:G83,5,0)</f>
        <v>#N/A</v>
      </c>
      <c r="I29" s="2022" t="e">
        <f t="shared" si="0"/>
        <v>#N/A</v>
      </c>
      <c r="J29" s="2020"/>
      <c r="K29" s="2023" t="e">
        <f>+VLOOKUP(C29,'BẢNG LƯƠNG KT'!C70:L70,10,0)</f>
        <v>#N/A</v>
      </c>
      <c r="L29" s="2023" t="e">
        <f>+VLOOKUP(C29,'BẢNG LƯƠNG KT'!C70:S70,15,0)</f>
        <v>#N/A</v>
      </c>
      <c r="M29" s="2024" t="e">
        <f t="shared" si="1"/>
        <v>#N/A</v>
      </c>
      <c r="N29" s="2023"/>
      <c r="O29" s="2024" t="e">
        <f t="shared" si="2"/>
        <v>#N/A</v>
      </c>
    </row>
    <row r="30" spans="1:23" s="801" customFormat="1" ht="29.25" customHeight="1">
      <c r="A30" s="4291" t="s">
        <v>184</v>
      </c>
      <c r="B30" s="4292"/>
      <c r="C30" s="4292"/>
      <c r="D30" s="4292"/>
      <c r="E30" s="4292"/>
      <c r="F30" s="4292"/>
      <c r="G30" s="4293"/>
      <c r="H30" s="2009" t="e">
        <f>SUM(H15:H29)</f>
        <v>#N/A</v>
      </c>
      <c r="I30" s="2009" t="e">
        <f t="shared" ref="I30:N30" si="3">SUM(I15:I29)</f>
        <v>#N/A</v>
      </c>
      <c r="J30" s="2005">
        <f t="shared" si="3"/>
        <v>0</v>
      </c>
      <c r="K30" s="2011" t="e">
        <f>SUM(K15:K29)</f>
        <v>#N/A</v>
      </c>
      <c r="L30" s="2011" t="e">
        <f t="shared" si="3"/>
        <v>#N/A</v>
      </c>
      <c r="M30" s="2012" t="e">
        <f t="shared" si="3"/>
        <v>#N/A</v>
      </c>
      <c r="N30" s="2012">
        <f t="shared" si="3"/>
        <v>0</v>
      </c>
      <c r="O30" s="2012" t="e">
        <f>SUM(O15:O29)</f>
        <v>#N/A</v>
      </c>
    </row>
    <row r="31" spans="1:23" ht="9" customHeight="1">
      <c r="C31" s="1520"/>
      <c r="E31" s="1520"/>
      <c r="G31" s="1520"/>
    </row>
    <row r="32" spans="1:23" ht="29.25" customHeight="1">
      <c r="A32" s="4289" t="s">
        <v>1135</v>
      </c>
      <c r="B32" s="4289"/>
      <c r="C32" s="4289"/>
      <c r="D32" s="4289"/>
      <c r="E32" s="4289"/>
      <c r="F32" s="4289"/>
      <c r="G32" s="4289"/>
      <c r="H32" s="4289"/>
      <c r="I32" s="4289"/>
      <c r="J32" s="4289"/>
      <c r="K32" s="4289"/>
      <c r="L32" s="4289"/>
      <c r="M32" s="4289"/>
      <c r="N32" s="4289"/>
      <c r="O32" s="4289"/>
    </row>
    <row r="33" spans="1:17" ht="29.25" customHeight="1">
      <c r="A33" s="1527"/>
      <c r="B33" s="1527"/>
      <c r="C33" s="1527"/>
      <c r="D33" s="1527"/>
      <c r="E33" s="1527"/>
      <c r="F33" s="1932"/>
      <c r="G33" s="1527"/>
      <c r="H33" s="2006"/>
      <c r="I33" s="2007"/>
      <c r="J33" s="1527"/>
      <c r="K33" s="1527"/>
      <c r="L33" s="4273" t="s">
        <v>1011</v>
      </c>
      <c r="M33" s="4273"/>
      <c r="N33" s="4273"/>
      <c r="O33" s="4273"/>
    </row>
    <row r="34" spans="1:17" s="1861" customFormat="1" ht="29.25" customHeight="1">
      <c r="A34" s="1743"/>
      <c r="B34" s="1743"/>
      <c r="C34" s="3954" t="s">
        <v>613</v>
      </c>
      <c r="D34" s="3954"/>
      <c r="E34" s="3954"/>
      <c r="F34" s="1994"/>
      <c r="G34" s="1743"/>
      <c r="H34" s="3954" t="s">
        <v>257</v>
      </c>
      <c r="I34" s="3954"/>
      <c r="J34" s="3954"/>
      <c r="K34" s="3954"/>
      <c r="L34" s="1743"/>
      <c r="M34" s="3954" t="s">
        <v>1104</v>
      </c>
      <c r="N34" s="3954"/>
      <c r="O34" s="3954"/>
      <c r="P34" s="1743"/>
      <c r="Q34" s="1743"/>
    </row>
  </sheetData>
  <mergeCells count="25">
    <mergeCell ref="A12:A14"/>
    <mergeCell ref="E12:E14"/>
    <mergeCell ref="G12:G14"/>
    <mergeCell ref="H12:L12"/>
    <mergeCell ref="F12:F14"/>
    <mergeCell ref="B12:C14"/>
    <mergeCell ref="H13:J13"/>
    <mergeCell ref="K13:K14"/>
    <mergeCell ref="L13:L14"/>
    <mergeCell ref="H34:K34"/>
    <mergeCell ref="M34:O34"/>
    <mergeCell ref="A8:O8"/>
    <mergeCell ref="A1:O1"/>
    <mergeCell ref="A2:O2"/>
    <mergeCell ref="A7:O7"/>
    <mergeCell ref="A4:H4"/>
    <mergeCell ref="A5:H5"/>
    <mergeCell ref="A3:O3"/>
    <mergeCell ref="M12:M14"/>
    <mergeCell ref="L33:O33"/>
    <mergeCell ref="C34:E34"/>
    <mergeCell ref="A30:G30"/>
    <mergeCell ref="A32:O32"/>
    <mergeCell ref="N12:N14"/>
    <mergeCell ref="O12:O14"/>
  </mergeCells>
  <pageMargins left="0.23622047244094491" right="0.15748031496062992" top="0.74803149606299213" bottom="0.74803149606299213" header="0.31496062992125984" footer="0.31496062992125984"/>
  <pageSetup paperSize="9" scale="8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O28"/>
  <sheetViews>
    <sheetView workbookViewId="0">
      <selection activeCell="J21" sqref="J21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18.25" style="280" customWidth="1"/>
    <col min="4" max="4" width="8.375" style="156" hidden="1" customWidth="1"/>
    <col min="5" max="5" width="13.125" style="280" customWidth="1"/>
    <col min="6" max="6" width="13.125" style="1995" customWidth="1"/>
    <col min="7" max="7" width="11.25" style="280" customWidth="1"/>
    <col min="8" max="8" width="18.125" style="156" customWidth="1"/>
    <col min="9" max="9" width="20.625" style="798" customWidth="1"/>
    <col min="10" max="10" width="16.125" style="156" customWidth="1"/>
    <col min="11" max="11" width="17" style="156" customWidth="1"/>
    <col min="12" max="12" width="16.375" style="156" customWidth="1"/>
    <col min="13" max="13" width="0.125" style="156" customWidth="1"/>
    <col min="14" max="14" width="16.125" style="156" customWidth="1"/>
    <col min="15" max="15" width="19.25" style="156" bestFit="1" customWidth="1"/>
    <col min="16" max="16" width="13.375" style="156" customWidth="1"/>
    <col min="17" max="17" width="18.25" style="156" customWidth="1"/>
    <col min="18" max="18" width="16.125" style="156" customWidth="1"/>
    <col min="19" max="19" width="16.25" style="156" bestFit="1" customWidth="1"/>
    <col min="20" max="20" width="14.625" style="156" customWidth="1"/>
    <col min="21" max="21" width="15" style="156" customWidth="1"/>
    <col min="22" max="22" width="20.25" style="156" customWidth="1"/>
    <col min="23" max="16384" width="9.375" style="156"/>
  </cols>
  <sheetData>
    <row r="1" spans="1:41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</row>
    <row r="2" spans="1:41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</row>
    <row r="3" spans="1:41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3950"/>
      <c r="M3" s="3950"/>
      <c r="N3" s="3950"/>
      <c r="O3" s="1472"/>
      <c r="P3" s="1472"/>
      <c r="Q3" s="1472"/>
      <c r="R3" s="1472"/>
      <c r="S3" s="1472"/>
      <c r="T3" s="1472"/>
      <c r="U3" s="1472"/>
      <c r="V3" s="1472"/>
      <c r="W3" s="1472"/>
      <c r="X3" s="1472"/>
      <c r="Y3" s="1472"/>
      <c r="Z3" s="1472"/>
      <c r="AA3" s="1472"/>
      <c r="AB3" s="1472"/>
      <c r="AC3" s="1472"/>
      <c r="AD3" s="1472"/>
      <c r="AE3" s="1472"/>
      <c r="AF3" s="1472"/>
      <c r="AG3" s="1472"/>
      <c r="AH3" s="1472"/>
      <c r="AI3" s="1472"/>
      <c r="AJ3" s="1472"/>
      <c r="AK3" s="1472"/>
      <c r="AL3" s="1472"/>
      <c r="AM3" s="1472"/>
      <c r="AN3" s="1472"/>
      <c r="AO3" s="1472"/>
    </row>
    <row r="4" spans="1:41">
      <c r="A4" s="3949" t="s">
        <v>574</v>
      </c>
      <c r="B4" s="3949"/>
      <c r="C4" s="3949"/>
      <c r="D4" s="3949"/>
      <c r="E4" s="3949"/>
      <c r="F4" s="3949"/>
      <c r="G4" s="3949"/>
      <c r="H4" s="1532"/>
      <c r="I4" s="1532"/>
    </row>
    <row r="5" spans="1:41">
      <c r="A5" s="3945" t="s">
        <v>541</v>
      </c>
      <c r="B5" s="3945"/>
      <c r="C5" s="3945"/>
      <c r="D5" s="3945"/>
      <c r="E5" s="3945"/>
      <c r="F5" s="3945"/>
      <c r="G5" s="3945"/>
      <c r="H5" s="1533"/>
      <c r="I5" s="1533"/>
    </row>
    <row r="6" spans="1:41">
      <c r="A6" s="693"/>
      <c r="B6" s="693"/>
      <c r="C6" s="693"/>
      <c r="D6" s="693"/>
      <c r="E6" s="693"/>
      <c r="F6" s="1993"/>
      <c r="G6" s="693"/>
      <c r="H6" s="693"/>
      <c r="I6" s="693"/>
      <c r="J6" s="1931"/>
      <c r="K6" s="693"/>
      <c r="L6" s="693"/>
      <c r="M6" s="693"/>
      <c r="N6" s="693"/>
    </row>
    <row r="7" spans="1:41" ht="18.75">
      <c r="A7" s="3951" t="s">
        <v>1009</v>
      </c>
      <c r="B7" s="3951"/>
      <c r="C7" s="3951"/>
      <c r="D7" s="3951"/>
      <c r="E7" s="3951"/>
      <c r="F7" s="3951"/>
      <c r="G7" s="3951"/>
      <c r="H7" s="3951"/>
      <c r="I7" s="3951"/>
      <c r="J7" s="3951"/>
      <c r="K7" s="3951"/>
      <c r="L7" s="3951"/>
      <c r="M7" s="3951"/>
      <c r="N7" s="3951"/>
    </row>
    <row r="8" spans="1:41" ht="18.75">
      <c r="A8" s="3951" t="s">
        <v>371</v>
      </c>
      <c r="B8" s="3951"/>
      <c r="C8" s="3951"/>
      <c r="D8" s="3951"/>
      <c r="E8" s="3951"/>
      <c r="F8" s="3951"/>
      <c r="G8" s="3951"/>
      <c r="H8" s="3951"/>
      <c r="I8" s="3951"/>
      <c r="J8" s="3951"/>
      <c r="K8" s="3951"/>
      <c r="L8" s="3951"/>
      <c r="M8" s="3951"/>
      <c r="N8" s="3951"/>
    </row>
    <row r="9" spans="1:41" ht="18.75" hidden="1">
      <c r="A9" s="1378"/>
      <c r="B9" s="1378"/>
      <c r="C9" s="1388" t="s">
        <v>847</v>
      </c>
      <c r="D9" s="1388"/>
      <c r="E9" s="1388">
        <v>20939</v>
      </c>
      <c r="F9" s="1388"/>
      <c r="G9" s="1378"/>
      <c r="H9" s="1378"/>
      <c r="I9" s="1378"/>
      <c r="J9" s="1930"/>
      <c r="K9" s="1378"/>
      <c r="L9" s="1378"/>
      <c r="M9" s="1378"/>
      <c r="N9" s="1378"/>
    </row>
    <row r="10" spans="1:41" hidden="1">
      <c r="C10" s="1389" t="s">
        <v>848</v>
      </c>
      <c r="D10" s="1390"/>
      <c r="E10" s="1392">
        <v>0.99009999999999998</v>
      </c>
      <c r="F10" s="1392"/>
    </row>
    <row r="11" spans="1:41" hidden="1">
      <c r="C11" s="1389" t="s">
        <v>894</v>
      </c>
      <c r="D11" s="1390"/>
      <c r="E11" s="1391">
        <v>653.23</v>
      </c>
      <c r="F11" s="1391"/>
    </row>
    <row r="12" spans="1:41" ht="16.5" customHeight="1">
      <c r="A12" s="4283" t="s">
        <v>1</v>
      </c>
      <c r="B12" s="4274" t="s">
        <v>2</v>
      </c>
      <c r="C12" s="4275"/>
      <c r="D12" s="1521"/>
      <c r="E12" s="4283" t="s">
        <v>5</v>
      </c>
      <c r="F12" s="4283" t="s">
        <v>9</v>
      </c>
      <c r="G12" s="4283" t="s">
        <v>853</v>
      </c>
      <c r="H12" s="4291" t="s">
        <v>6</v>
      </c>
      <c r="I12" s="4292"/>
      <c r="J12" s="4292"/>
      <c r="K12" s="4293"/>
      <c r="L12" s="4283" t="s">
        <v>233</v>
      </c>
      <c r="M12" s="4283" t="s">
        <v>8</v>
      </c>
      <c r="N12" s="4132" t="s">
        <v>16</v>
      </c>
    </row>
    <row r="13" spans="1:41" ht="22.5" customHeight="1">
      <c r="A13" s="4284"/>
      <c r="B13" s="4276"/>
      <c r="C13" s="4277"/>
      <c r="D13" s="1521" t="s">
        <v>239</v>
      </c>
      <c r="E13" s="4284"/>
      <c r="F13" s="4284"/>
      <c r="G13" s="4284"/>
      <c r="H13" s="4280" t="s">
        <v>1159</v>
      </c>
      <c r="I13" s="4282"/>
      <c r="J13" s="4132" t="s">
        <v>56</v>
      </c>
      <c r="K13" s="4132" t="s">
        <v>57</v>
      </c>
      <c r="L13" s="4284"/>
      <c r="M13" s="4285"/>
      <c r="N13" s="4290"/>
      <c r="U13" s="798">
        <f>20*100</f>
        <v>2000</v>
      </c>
    </row>
    <row r="14" spans="1:41" ht="23.25" customHeight="1">
      <c r="A14" s="4285"/>
      <c r="B14" s="4278"/>
      <c r="C14" s="4279"/>
      <c r="D14" s="1997"/>
      <c r="E14" s="4285"/>
      <c r="F14" s="4285"/>
      <c r="G14" s="4285"/>
      <c r="H14" s="1996" t="s">
        <v>362</v>
      </c>
      <c r="I14" s="800" t="s">
        <v>24</v>
      </c>
      <c r="J14" s="4133"/>
      <c r="K14" s="4133"/>
      <c r="L14" s="4285"/>
      <c r="M14" s="1999"/>
      <c r="N14" s="4133"/>
      <c r="U14" s="798"/>
    </row>
    <row r="15" spans="1:41" ht="27" hidden="1" customHeight="1">
      <c r="A15" s="1521">
        <v>1</v>
      </c>
      <c r="B15" s="1521">
        <v>2</v>
      </c>
      <c r="C15" s="1521">
        <v>3</v>
      </c>
      <c r="D15" s="1521">
        <v>4</v>
      </c>
      <c r="E15" s="1521">
        <v>5</v>
      </c>
      <c r="F15" s="1998"/>
      <c r="G15" s="1998"/>
      <c r="H15" s="1998">
        <v>6</v>
      </c>
      <c r="I15" s="1998">
        <v>9</v>
      </c>
      <c r="J15" s="1998">
        <v>11</v>
      </c>
      <c r="K15" s="1998">
        <v>12</v>
      </c>
      <c r="L15" s="1998">
        <v>13</v>
      </c>
      <c r="M15" s="1998">
        <v>14</v>
      </c>
      <c r="N15" s="1998">
        <v>15</v>
      </c>
      <c r="Q15" s="156">
        <f>421.47*25000</f>
        <v>10536750</v>
      </c>
    </row>
    <row r="16" spans="1:41" ht="18" customHeight="1">
      <c r="A16" s="1580">
        <v>1</v>
      </c>
      <c r="B16" s="1581" t="s">
        <v>482</v>
      </c>
      <c r="C16" s="1612" t="str">
        <f>'Chấm công công nhân'!L65</f>
        <v>Nàng Phết</v>
      </c>
      <c r="D16" s="1582"/>
      <c r="E16" s="1580" t="s">
        <v>40</v>
      </c>
      <c r="F16" s="1587"/>
      <c r="G16" s="1587" t="s">
        <v>790</v>
      </c>
      <c r="H16" s="1590" t="e">
        <f>+VLOOKUP(C16,'BẢNG LƯƠNG KT'!C77:G93,5,0)</f>
        <v>#N/A</v>
      </c>
      <c r="I16" s="1592" t="e">
        <f>+H16*25000</f>
        <v>#N/A</v>
      </c>
      <c r="J16" s="1592" t="e">
        <f>+VLOOKUP(C16,'BẢNG LƯƠNG KT'!C77:L77,10,0)</f>
        <v>#N/A</v>
      </c>
      <c r="K16" s="1592" t="e">
        <f>+VLOOKUP(C16,'BẢNG LƯƠNG KT'!C77:S77,15,0)</f>
        <v>#N/A</v>
      </c>
      <c r="L16" s="1592" t="e">
        <f t="shared" ref="L16:L23" si="0">SUM(I16:K16)</f>
        <v>#N/A</v>
      </c>
      <c r="M16" s="1592"/>
      <c r="N16" s="1592" t="e">
        <f>L16</f>
        <v>#N/A</v>
      </c>
    </row>
    <row r="17" spans="1:16" ht="18" customHeight="1">
      <c r="A17" s="1587">
        <v>2</v>
      </c>
      <c r="B17" s="1588" t="s">
        <v>484</v>
      </c>
      <c r="C17" s="1612" t="str">
        <f>'Chấm công công nhân'!L66</f>
        <v>Thảo On</v>
      </c>
      <c r="D17" s="1589"/>
      <c r="E17" s="1587" t="s">
        <v>40</v>
      </c>
      <c r="F17" s="1587"/>
      <c r="G17" s="1587" t="s">
        <v>790</v>
      </c>
      <c r="H17" s="1590" t="e">
        <f>+VLOOKUP(C17,'BẢNG LƯƠNG KT'!C78:G93,5,0)</f>
        <v>#N/A</v>
      </c>
      <c r="I17" s="1592" t="e">
        <f t="shared" ref="I17:I23" si="1">+H17*25000</f>
        <v>#N/A</v>
      </c>
      <c r="J17" s="1592" t="e">
        <f>+VLOOKUP(C17,'BẢNG LƯƠNG KT'!C78:L78,10,0)</f>
        <v>#N/A</v>
      </c>
      <c r="K17" s="1592" t="e">
        <f>+VLOOKUP(C17,'BẢNG LƯƠNG KT'!C78:S78,15,0)</f>
        <v>#N/A</v>
      </c>
      <c r="L17" s="1592" t="e">
        <f t="shared" si="0"/>
        <v>#N/A</v>
      </c>
      <c r="M17" s="1592"/>
      <c r="N17" s="1592" t="e">
        <f t="shared" ref="N17:N23" si="2">L17</f>
        <v>#N/A</v>
      </c>
    </row>
    <row r="18" spans="1:16" ht="18" customHeight="1">
      <c r="A18" s="1587">
        <v>3</v>
      </c>
      <c r="B18" s="1588" t="s">
        <v>486</v>
      </c>
      <c r="C18" s="1612" t="str">
        <f>'Chấm công công nhân'!L67</f>
        <v>Thảo Sum</v>
      </c>
      <c r="D18" s="1589"/>
      <c r="E18" s="1587" t="s">
        <v>40</v>
      </c>
      <c r="F18" s="1587"/>
      <c r="G18" s="1587" t="s">
        <v>790</v>
      </c>
      <c r="H18" s="1590" t="e">
        <f>+VLOOKUP(C18,'BẢNG LƯƠNG KT'!C79:G94,5,0)</f>
        <v>#N/A</v>
      </c>
      <c r="I18" s="1592" t="e">
        <f t="shared" si="1"/>
        <v>#N/A</v>
      </c>
      <c r="J18" s="1592" t="e">
        <f>+VLOOKUP(C18,'BẢNG LƯƠNG KT'!C79:L79,10,0)</f>
        <v>#N/A</v>
      </c>
      <c r="K18" s="1592" t="e">
        <f>+VLOOKUP(C18,'BẢNG LƯƠNG KT'!C79:S79,15,0)</f>
        <v>#N/A</v>
      </c>
      <c r="L18" s="1592" t="e">
        <f t="shared" si="0"/>
        <v>#N/A</v>
      </c>
      <c r="M18" s="1592"/>
      <c r="N18" s="1592" t="e">
        <f t="shared" si="2"/>
        <v>#N/A</v>
      </c>
    </row>
    <row r="19" spans="1:16" ht="18" customHeight="1">
      <c r="A19" s="1587">
        <v>4</v>
      </c>
      <c r="B19" s="1588" t="s">
        <v>488</v>
      </c>
      <c r="C19" s="1612" t="str">
        <f>'Chấm công công nhân'!L68</f>
        <v>Cha La</v>
      </c>
      <c r="D19" s="1589"/>
      <c r="E19" s="1587" t="s">
        <v>40</v>
      </c>
      <c r="F19" s="1587"/>
      <c r="G19" s="1587" t="s">
        <v>790</v>
      </c>
      <c r="H19" s="1590" t="e">
        <f>+VLOOKUP(C19,'BẢNG LƯƠNG KT'!C80:G95,5,0)</f>
        <v>#N/A</v>
      </c>
      <c r="I19" s="1592" t="e">
        <f t="shared" si="1"/>
        <v>#N/A</v>
      </c>
      <c r="J19" s="1592" t="e">
        <f>+VLOOKUP(C19,'BẢNG LƯƠNG KT'!C80:L80,10,0)</f>
        <v>#N/A</v>
      </c>
      <c r="K19" s="1592" t="e">
        <f>+VLOOKUP(C19,'BẢNG LƯƠNG KT'!C80:S80,15,0)</f>
        <v>#N/A</v>
      </c>
      <c r="L19" s="1592" t="e">
        <f t="shared" si="0"/>
        <v>#N/A</v>
      </c>
      <c r="M19" s="1592"/>
      <c r="N19" s="1592" t="e">
        <f t="shared" si="2"/>
        <v>#N/A</v>
      </c>
    </row>
    <row r="20" spans="1:16" ht="18" customHeight="1">
      <c r="A20" s="1587">
        <v>5</v>
      </c>
      <c r="B20" s="1588" t="s">
        <v>490</v>
      </c>
      <c r="C20" s="1612" t="str">
        <f>'Chấm công công nhân'!L69</f>
        <v>Nàng Binh</v>
      </c>
      <c r="D20" s="1589"/>
      <c r="E20" s="1587" t="s">
        <v>40</v>
      </c>
      <c r="F20" s="1587"/>
      <c r="G20" s="1587" t="s">
        <v>790</v>
      </c>
      <c r="H20" s="1590" t="e">
        <f>+VLOOKUP(C20,'BẢNG LƯƠNG KT'!C81:G96,5,0)</f>
        <v>#N/A</v>
      </c>
      <c r="I20" s="1592" t="e">
        <f t="shared" si="1"/>
        <v>#N/A</v>
      </c>
      <c r="J20" s="1592" t="e">
        <f>+VLOOKUP(C20,'BẢNG LƯƠNG KT'!C81:L81,10,0)</f>
        <v>#N/A</v>
      </c>
      <c r="K20" s="1592" t="e">
        <f>+VLOOKUP(C20,'BẢNG LƯƠNG KT'!C81:S81,15,0)</f>
        <v>#N/A</v>
      </c>
      <c r="L20" s="1592" t="e">
        <f t="shared" si="0"/>
        <v>#N/A</v>
      </c>
      <c r="M20" s="1592"/>
      <c r="N20" s="1592" t="e">
        <f t="shared" si="2"/>
        <v>#N/A</v>
      </c>
    </row>
    <row r="21" spans="1:16" ht="18" customHeight="1">
      <c r="A21" s="1587">
        <v>6</v>
      </c>
      <c r="B21" s="1588" t="s">
        <v>492</v>
      </c>
      <c r="C21" s="1612">
        <f>'Chấm công công nhân'!L70</f>
        <v>0</v>
      </c>
      <c r="D21" s="1589"/>
      <c r="E21" s="1587" t="s">
        <v>40</v>
      </c>
      <c r="F21" s="1587"/>
      <c r="G21" s="1587" t="s">
        <v>790</v>
      </c>
      <c r="H21" s="1590" t="e">
        <f>+VLOOKUP(C21,'BẢNG LƯƠNG KT'!C82:G97,5,0)</f>
        <v>#N/A</v>
      </c>
      <c r="I21" s="1592" t="e">
        <f t="shared" si="1"/>
        <v>#N/A</v>
      </c>
      <c r="J21" s="1592" t="e">
        <f>+VLOOKUP(C21,'BẢNG LƯƠNG KT'!C82:L82,10,0)</f>
        <v>#N/A</v>
      </c>
      <c r="K21" s="1592" t="e">
        <f>+VLOOKUP(C21,'BẢNG LƯƠNG KT'!C82:S82,15,0)</f>
        <v>#N/A</v>
      </c>
      <c r="L21" s="1592" t="e">
        <f t="shared" si="0"/>
        <v>#N/A</v>
      </c>
      <c r="M21" s="1592"/>
      <c r="N21" s="1592" t="e">
        <f t="shared" si="2"/>
        <v>#N/A</v>
      </c>
    </row>
    <row r="22" spans="1:16" ht="18" customHeight="1">
      <c r="A22" s="1587">
        <v>7</v>
      </c>
      <c r="B22" s="1588" t="s">
        <v>494</v>
      </c>
      <c r="C22" s="1612" t="str">
        <f>'Chấm công công nhân'!L71</f>
        <v>Thảo Bun</v>
      </c>
      <c r="D22" s="1589"/>
      <c r="E22" s="1587" t="s">
        <v>40</v>
      </c>
      <c r="F22" s="1587"/>
      <c r="G22" s="1587" t="s">
        <v>790</v>
      </c>
      <c r="H22" s="1590" t="e">
        <f>+VLOOKUP(C22,'BẢNG LƯƠNG KT'!C83:G98,5,0)</f>
        <v>#N/A</v>
      </c>
      <c r="I22" s="1592" t="e">
        <f t="shared" si="1"/>
        <v>#N/A</v>
      </c>
      <c r="J22" s="1592" t="e">
        <f>+VLOOKUP(C22,'BẢNG LƯƠNG KT'!C83:L83,10,0)</f>
        <v>#N/A</v>
      </c>
      <c r="K22" s="1592" t="e">
        <f>+VLOOKUP(C22,'BẢNG LƯƠNG KT'!C83:S83,15,0)</f>
        <v>#N/A</v>
      </c>
      <c r="L22" s="1592" t="e">
        <f t="shared" si="0"/>
        <v>#N/A</v>
      </c>
      <c r="M22" s="1592"/>
      <c r="N22" s="1592" t="e">
        <f t="shared" si="2"/>
        <v>#N/A</v>
      </c>
    </row>
    <row r="23" spans="1:16" ht="18" customHeight="1">
      <c r="A23" s="1953">
        <v>8</v>
      </c>
      <c r="B23" s="1954"/>
      <c r="C23" s="1667" t="str">
        <f>'Tong hop cong'!C82</f>
        <v>Thảo Lay</v>
      </c>
      <c r="D23" s="1596"/>
      <c r="E23" s="1594" t="s">
        <v>1139</v>
      </c>
      <c r="F23" s="1594"/>
      <c r="G23" s="1594"/>
      <c r="H23" s="1597">
        <f>'BẢNG LƯƠNG KT'!G93</f>
        <v>0</v>
      </c>
      <c r="I23" s="2024">
        <f t="shared" si="1"/>
        <v>0</v>
      </c>
      <c r="J23" s="2024"/>
      <c r="K23" s="1598"/>
      <c r="L23" s="1592">
        <f t="shared" si="0"/>
        <v>0</v>
      </c>
      <c r="M23" s="1598"/>
      <c r="N23" s="1592">
        <f t="shared" si="2"/>
        <v>0</v>
      </c>
    </row>
    <row r="24" spans="1:16">
      <c r="A24" s="4294" t="s">
        <v>184</v>
      </c>
      <c r="B24" s="4295"/>
      <c r="C24" s="4295"/>
      <c r="D24" s="4295"/>
      <c r="E24" s="4295"/>
      <c r="F24" s="4295"/>
      <c r="G24" s="4296"/>
      <c r="H24" s="1556" t="e">
        <f t="shared" ref="H24:N24" si="3">SUM(H16:H23)</f>
        <v>#N/A</v>
      </c>
      <c r="I24" s="1557" t="e">
        <f t="shared" si="3"/>
        <v>#N/A</v>
      </c>
      <c r="J24" s="1557" t="e">
        <f t="shared" si="3"/>
        <v>#N/A</v>
      </c>
      <c r="K24" s="1557" t="e">
        <f t="shared" si="3"/>
        <v>#N/A</v>
      </c>
      <c r="L24" s="1557" t="e">
        <f t="shared" si="3"/>
        <v>#N/A</v>
      </c>
      <c r="M24" s="1557">
        <f t="shared" si="3"/>
        <v>0</v>
      </c>
      <c r="N24" s="1557" t="e">
        <f t="shared" si="3"/>
        <v>#N/A</v>
      </c>
    </row>
    <row r="25" spans="1:16" ht="8.25" customHeight="1"/>
    <row r="26" spans="1:16" ht="15.75" customHeight="1">
      <c r="A26" s="4289" t="s">
        <v>1136</v>
      </c>
      <c r="B26" s="4289"/>
      <c r="C26" s="4289"/>
      <c r="D26" s="4289"/>
      <c r="E26" s="4289"/>
      <c r="F26" s="4289"/>
      <c r="G26" s="4289"/>
      <c r="H26" s="4289"/>
      <c r="I26" s="4289"/>
      <c r="J26" s="4289"/>
      <c r="K26" s="4289"/>
      <c r="L26" s="4289"/>
      <c r="M26" s="4289"/>
      <c r="N26" s="4289"/>
    </row>
    <row r="27" spans="1:16" ht="29.25" customHeight="1">
      <c r="A27" s="1527"/>
      <c r="B27" s="1527"/>
      <c r="C27" s="1527"/>
      <c r="D27" s="1527"/>
      <c r="E27" s="1527"/>
      <c r="F27" s="1932"/>
      <c r="G27" s="1527"/>
      <c r="H27" s="949"/>
      <c r="I27" s="1527"/>
      <c r="J27" s="1932"/>
      <c r="K27" s="4273" t="s">
        <v>1034</v>
      </c>
      <c r="L27" s="4273"/>
      <c r="M27" s="4273"/>
      <c r="N27" s="4273"/>
    </row>
    <row r="28" spans="1:16" s="801" customFormat="1" ht="29.25" customHeight="1">
      <c r="A28" s="1332"/>
      <c r="B28" s="1332"/>
      <c r="C28" s="3954" t="s">
        <v>613</v>
      </c>
      <c r="D28" s="3954"/>
      <c r="E28" s="3954"/>
      <c r="F28" s="1994"/>
      <c r="G28" s="1994"/>
      <c r="H28" s="3954" t="s">
        <v>257</v>
      </c>
      <c r="I28" s="3954"/>
      <c r="J28" s="1332"/>
      <c r="K28" s="1332"/>
      <c r="L28" s="3954" t="s">
        <v>1104</v>
      </c>
      <c r="M28" s="3954"/>
      <c r="N28" s="3954"/>
      <c r="O28" s="1332"/>
      <c r="P28" s="1332"/>
    </row>
  </sheetData>
  <mergeCells count="25">
    <mergeCell ref="K13:K14"/>
    <mergeCell ref="L12:L14"/>
    <mergeCell ref="A8:N8"/>
    <mergeCell ref="A1:N1"/>
    <mergeCell ref="A2:N2"/>
    <mergeCell ref="A7:N7"/>
    <mergeCell ref="A3:N3"/>
    <mergeCell ref="A4:G4"/>
    <mergeCell ref="A5:G5"/>
    <mergeCell ref="H28:I28"/>
    <mergeCell ref="B12:C14"/>
    <mergeCell ref="L28:N28"/>
    <mergeCell ref="A26:N26"/>
    <mergeCell ref="K27:N27"/>
    <mergeCell ref="C28:E28"/>
    <mergeCell ref="A24:G24"/>
    <mergeCell ref="A12:A14"/>
    <mergeCell ref="E12:E14"/>
    <mergeCell ref="G12:G14"/>
    <mergeCell ref="F12:F14"/>
    <mergeCell ref="N12:N14"/>
    <mergeCell ref="M12:M13"/>
    <mergeCell ref="H12:K12"/>
    <mergeCell ref="H13:I13"/>
    <mergeCell ref="J13:J14"/>
  </mergeCells>
  <pageMargins left="0.15748031496062992" right="0.27559055118110237" top="0.74803149606299213" bottom="0.48" header="0.31496062992125984" footer="0.31496062992125984"/>
  <pageSetup paperSize="9" scale="8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"/>
  <sheetViews>
    <sheetView topLeftCell="A10" zoomScale="55" zoomScaleNormal="55" workbookViewId="0">
      <selection activeCell="AF30" sqref="AF30"/>
    </sheetView>
  </sheetViews>
  <sheetFormatPr defaultColWidth="9.25" defaultRowHeight="15.75"/>
  <cols>
    <col min="1" max="1" width="4.375" style="2634" customWidth="1"/>
    <col min="2" max="2" width="4.375" style="2633" customWidth="1"/>
    <col min="3" max="3" width="15.375" style="2633" customWidth="1"/>
    <col min="4" max="27" width="6.25" style="2641" customWidth="1"/>
    <col min="28" max="33" width="7.75" style="2641" customWidth="1"/>
    <col min="34" max="34" width="7.75" style="2633" customWidth="1"/>
    <col min="35" max="36" width="9.375" style="3140" customWidth="1"/>
    <col min="37" max="38" width="9.375" style="2633" customWidth="1"/>
    <col min="39" max="39" width="10" style="2633" hidden="1" customWidth="1"/>
    <col min="40" max="41" width="0" style="2633" hidden="1" customWidth="1"/>
    <col min="42" max="42" width="14.875" style="2633" hidden="1" customWidth="1"/>
    <col min="43" max="48" width="0" style="2633" hidden="1" customWidth="1"/>
    <col min="49" max="49" width="9.25" style="2633"/>
    <col min="50" max="50" width="22.25" style="2633" bestFit="1" customWidth="1"/>
    <col min="51" max="16384" width="9.25" style="2633"/>
  </cols>
  <sheetData>
    <row r="1" spans="1:52" ht="59.25" customHeight="1">
      <c r="A1" s="3982" t="s">
        <v>165</v>
      </c>
      <c r="B1" s="3982"/>
      <c r="C1" s="3982"/>
      <c r="D1" s="3982"/>
      <c r="E1" s="3982"/>
      <c r="F1" s="3982"/>
      <c r="G1" s="3982"/>
      <c r="H1" s="3982"/>
      <c r="I1" s="3982"/>
      <c r="J1" s="3982"/>
      <c r="K1" s="3982"/>
      <c r="L1" s="3982"/>
      <c r="M1" s="3982"/>
      <c r="N1" s="3982"/>
      <c r="O1" s="3982"/>
      <c r="P1" s="3982"/>
      <c r="Q1" s="3982"/>
      <c r="R1" s="3982"/>
      <c r="S1" s="3982"/>
      <c r="T1" s="3982"/>
      <c r="U1" s="3982"/>
      <c r="V1" s="3982"/>
      <c r="W1" s="3982"/>
      <c r="X1" s="3982"/>
      <c r="Y1" s="3982"/>
      <c r="Z1" s="3982"/>
      <c r="AA1" s="3982"/>
      <c r="AB1" s="3982"/>
      <c r="AC1" s="3982"/>
      <c r="AD1" s="3982"/>
      <c r="AE1" s="3982"/>
      <c r="AF1" s="3982"/>
      <c r="AG1" s="3982"/>
      <c r="AH1" s="3982"/>
      <c r="AI1" s="3982"/>
      <c r="AJ1" s="3982"/>
      <c r="AK1" s="3982"/>
      <c r="AL1" s="3982"/>
      <c r="AM1" s="2632"/>
      <c r="AN1" s="2632"/>
      <c r="AO1" s="2632"/>
      <c r="AP1" s="2632"/>
      <c r="AQ1" s="2632"/>
      <c r="AR1" s="2632"/>
      <c r="AS1" s="2632"/>
      <c r="AT1" s="2632"/>
      <c r="AU1" s="2632"/>
      <c r="AV1" s="2632"/>
      <c r="AW1" s="2632"/>
      <c r="AX1" s="2632"/>
      <c r="AY1" s="2632"/>
    </row>
    <row r="2" spans="1:52" ht="22.5" customHeight="1">
      <c r="A2" s="3982" t="s">
        <v>171</v>
      </c>
      <c r="B2" s="3982"/>
      <c r="C2" s="3982"/>
      <c r="D2" s="3982"/>
      <c r="E2" s="3982"/>
      <c r="F2" s="3982"/>
      <c r="G2" s="3982"/>
      <c r="H2" s="3982"/>
      <c r="I2" s="3982"/>
      <c r="J2" s="3982"/>
      <c r="K2" s="3982"/>
      <c r="L2" s="3982"/>
      <c r="M2" s="3982"/>
      <c r="N2" s="3982"/>
      <c r="O2" s="3982"/>
      <c r="P2" s="3982"/>
      <c r="Q2" s="3982"/>
      <c r="R2" s="3982"/>
      <c r="S2" s="3982"/>
      <c r="T2" s="3982"/>
      <c r="U2" s="3982"/>
      <c r="V2" s="3982"/>
      <c r="W2" s="3982"/>
      <c r="X2" s="3982"/>
      <c r="Y2" s="3982"/>
      <c r="Z2" s="3982"/>
      <c r="AA2" s="3982"/>
      <c r="AB2" s="3982"/>
      <c r="AC2" s="3982"/>
      <c r="AD2" s="3982"/>
      <c r="AE2" s="3982"/>
      <c r="AF2" s="3982"/>
      <c r="AG2" s="3982"/>
      <c r="AH2" s="3982"/>
      <c r="AI2" s="3982"/>
      <c r="AJ2" s="3982"/>
      <c r="AK2" s="3982"/>
      <c r="AL2" s="3982"/>
      <c r="AM2" s="2632"/>
      <c r="AN2" s="2632"/>
      <c r="AO2" s="2632"/>
      <c r="AP2" s="2632"/>
      <c r="AQ2" s="2632"/>
      <c r="AR2" s="2632"/>
      <c r="AS2" s="2632"/>
      <c r="AT2" s="2632"/>
      <c r="AU2" s="2632"/>
      <c r="AV2" s="2632"/>
      <c r="AW2" s="2632"/>
      <c r="AX2" s="2632"/>
      <c r="AY2" s="2632"/>
    </row>
    <row r="3" spans="1:52" ht="12.75" customHeight="1">
      <c r="A3" s="3981" t="s">
        <v>726</v>
      </c>
      <c r="B3" s="3981"/>
      <c r="C3" s="3981"/>
      <c r="D3" s="3981"/>
      <c r="E3" s="3981"/>
      <c r="F3" s="3981"/>
      <c r="G3" s="3981"/>
      <c r="H3" s="3981"/>
      <c r="I3" s="3981"/>
      <c r="J3" s="3981"/>
      <c r="K3" s="3981"/>
      <c r="L3" s="3981"/>
      <c r="M3" s="3981"/>
      <c r="N3" s="3981"/>
      <c r="O3" s="3981"/>
      <c r="P3" s="3981"/>
      <c r="Q3" s="3981"/>
      <c r="R3" s="3981"/>
      <c r="S3" s="3981"/>
      <c r="T3" s="3981"/>
      <c r="U3" s="3981"/>
      <c r="V3" s="3981"/>
      <c r="W3" s="3981"/>
      <c r="X3" s="3981"/>
      <c r="Y3" s="3981"/>
      <c r="Z3" s="3981"/>
      <c r="AA3" s="3981"/>
      <c r="AB3" s="3981"/>
      <c r="AC3" s="3981"/>
      <c r="AD3" s="3981"/>
      <c r="AE3" s="3981"/>
      <c r="AF3" s="3981"/>
      <c r="AG3" s="3981"/>
      <c r="AH3" s="3981"/>
      <c r="AI3" s="3981"/>
      <c r="AJ3" s="3981"/>
      <c r="AK3" s="3981"/>
      <c r="AL3" s="3981"/>
      <c r="AM3" s="2632"/>
      <c r="AN3" s="2632"/>
      <c r="AO3" s="2632"/>
      <c r="AP3" s="2632"/>
      <c r="AQ3" s="2632"/>
      <c r="AR3" s="2632"/>
      <c r="AS3" s="2632"/>
      <c r="AT3" s="2632"/>
      <c r="AU3" s="2632"/>
      <c r="AV3" s="2632"/>
      <c r="AW3" s="2632"/>
      <c r="AX3" s="2632"/>
      <c r="AY3" s="2632"/>
    </row>
    <row r="4" spans="1:52" ht="24.75" customHeight="1">
      <c r="B4" s="2635"/>
      <c r="C4" s="2635"/>
      <c r="D4" s="2635"/>
      <c r="E4" s="2635"/>
      <c r="F4" s="2635"/>
      <c r="G4" s="2635"/>
      <c r="H4" s="3250"/>
      <c r="I4" s="3250"/>
      <c r="J4" s="3250"/>
      <c r="K4" s="3250"/>
      <c r="L4" s="3250"/>
      <c r="M4" s="3250"/>
      <c r="N4" s="3250"/>
      <c r="O4" s="3250"/>
      <c r="P4" s="3250"/>
      <c r="Q4" s="3250"/>
      <c r="R4" s="3250"/>
      <c r="S4" s="3250"/>
      <c r="T4" s="3250"/>
      <c r="U4" s="2633"/>
      <c r="V4" s="2633"/>
      <c r="W4" s="2633"/>
      <c r="X4" s="2633"/>
      <c r="Y4" s="2633"/>
      <c r="Z4" s="2633"/>
      <c r="AA4" s="2633"/>
      <c r="AB4" s="2633"/>
      <c r="AC4" s="2633"/>
      <c r="AD4" s="2633"/>
      <c r="AE4" s="2633"/>
      <c r="AF4" s="2633"/>
      <c r="AG4" s="2633"/>
    </row>
    <row r="5" spans="1:52" ht="21.75" customHeight="1">
      <c r="A5" s="3980" t="s">
        <v>602</v>
      </c>
      <c r="B5" s="3980"/>
      <c r="C5" s="3980"/>
      <c r="D5" s="3980"/>
      <c r="E5" s="3980"/>
      <c r="F5" s="3980"/>
      <c r="G5" s="3980"/>
      <c r="H5" s="3980"/>
      <c r="I5" s="3980"/>
      <c r="J5" s="3980"/>
      <c r="K5" s="3980"/>
      <c r="L5" s="3980"/>
      <c r="M5" s="3980"/>
      <c r="N5" s="3980"/>
      <c r="O5" s="2635"/>
      <c r="P5" s="2635"/>
      <c r="Q5" s="2635"/>
      <c r="R5" s="2635"/>
      <c r="S5" s="2635"/>
      <c r="T5" s="2635"/>
      <c r="U5" s="2635"/>
      <c r="V5" s="2635"/>
      <c r="W5" s="2633"/>
      <c r="X5" s="2633"/>
      <c r="Y5" s="2633"/>
      <c r="Z5" s="2633"/>
      <c r="AA5" s="2633"/>
      <c r="AB5" s="2633"/>
      <c r="AC5" s="2633"/>
      <c r="AD5" s="2633"/>
      <c r="AE5" s="2633"/>
      <c r="AF5" s="2633"/>
      <c r="AG5" s="2633"/>
    </row>
    <row r="6" spans="1:52" s="2637" customFormat="1" ht="15" customHeight="1">
      <c r="A6" s="3981" t="s">
        <v>541</v>
      </c>
      <c r="B6" s="3981"/>
      <c r="C6" s="3981"/>
      <c r="D6" s="3981"/>
      <c r="E6" s="3981"/>
      <c r="F6" s="3981"/>
      <c r="G6" s="3981"/>
      <c r="H6" s="3981"/>
      <c r="I6" s="3981"/>
      <c r="J6" s="3981"/>
      <c r="K6" s="3981"/>
      <c r="L6" s="3981"/>
      <c r="M6" s="3981"/>
      <c r="N6" s="3981"/>
      <c r="O6" s="2636"/>
      <c r="P6" s="2636"/>
      <c r="Q6" s="2636"/>
      <c r="R6" s="2636"/>
      <c r="S6" s="2636"/>
      <c r="T6" s="2636"/>
      <c r="U6" s="2636"/>
      <c r="V6" s="2636"/>
      <c r="AI6" s="3141"/>
      <c r="AJ6" s="3141"/>
    </row>
    <row r="7" spans="1:52" ht="17.25" customHeight="1">
      <c r="B7" s="2638"/>
      <c r="C7" s="2638"/>
      <c r="D7" s="2638"/>
      <c r="E7" s="2638"/>
      <c r="F7" s="2638"/>
      <c r="G7" s="2638"/>
      <c r="H7" s="2638"/>
      <c r="I7" s="2638"/>
      <c r="J7" s="2639"/>
      <c r="K7" s="2639"/>
      <c r="L7" s="2640"/>
      <c r="N7" s="2639"/>
      <c r="O7" s="2639"/>
      <c r="P7" s="2639"/>
      <c r="Q7" s="2639"/>
      <c r="R7" s="2639"/>
      <c r="S7" s="2639"/>
      <c r="T7" s="2639"/>
      <c r="U7" s="2639"/>
      <c r="V7" s="2639"/>
      <c r="W7" s="2639"/>
      <c r="X7" s="2639"/>
      <c r="Y7" s="2639"/>
      <c r="Z7" s="2639"/>
      <c r="AA7" s="2639"/>
      <c r="AB7" s="2639"/>
      <c r="AC7" s="2639"/>
      <c r="AD7" s="2639"/>
      <c r="AE7" s="2639"/>
      <c r="AF7" s="2639"/>
      <c r="AG7" s="2639"/>
      <c r="AH7" s="2639"/>
      <c r="AI7" s="3142"/>
      <c r="AJ7" s="3143"/>
      <c r="AK7" s="2639"/>
      <c r="AL7" s="2639"/>
    </row>
    <row r="8" spans="1:52" s="2637" customFormat="1" ht="21" customHeight="1">
      <c r="A8" s="4187" t="s">
        <v>1581</v>
      </c>
      <c r="B8" s="4187"/>
      <c r="C8" s="4187"/>
      <c r="D8" s="4187"/>
      <c r="E8" s="4187"/>
      <c r="F8" s="4187"/>
      <c r="G8" s="4187"/>
      <c r="H8" s="4187"/>
      <c r="I8" s="4187"/>
      <c r="J8" s="4187"/>
      <c r="K8" s="4187"/>
      <c r="L8" s="4187"/>
      <c r="M8" s="4187"/>
      <c r="N8" s="4187"/>
      <c r="O8" s="4187"/>
      <c r="P8" s="4187"/>
      <c r="Q8" s="4187"/>
      <c r="R8" s="4187"/>
      <c r="S8" s="4187"/>
      <c r="T8" s="4187"/>
      <c r="U8" s="4187"/>
      <c r="V8" s="4187"/>
      <c r="W8" s="4187"/>
      <c r="X8" s="4187"/>
      <c r="Y8" s="4187"/>
      <c r="Z8" s="4187"/>
      <c r="AA8" s="4187"/>
      <c r="AB8" s="4187"/>
      <c r="AC8" s="4187"/>
      <c r="AD8" s="4187"/>
      <c r="AE8" s="4187"/>
      <c r="AF8" s="4187"/>
      <c r="AG8" s="4187"/>
      <c r="AH8" s="4187"/>
      <c r="AI8" s="4187"/>
      <c r="AJ8" s="4187"/>
      <c r="AK8" s="4187"/>
      <c r="AL8" s="4187"/>
    </row>
    <row r="9" spans="1:52" ht="32.25" customHeight="1">
      <c r="A9" s="2638"/>
      <c r="B9" s="2638"/>
      <c r="C9" s="2638"/>
      <c r="D9" s="2638"/>
      <c r="E9" s="2638"/>
      <c r="F9" s="2638"/>
      <c r="G9" s="2638"/>
      <c r="H9" s="2638"/>
      <c r="I9" s="2638"/>
      <c r="J9" s="2638"/>
      <c r="K9" s="2638"/>
      <c r="L9" s="2638"/>
      <c r="M9" s="2638"/>
      <c r="N9" s="2638"/>
      <c r="O9" s="2638"/>
      <c r="P9" s="2638"/>
      <c r="Q9" s="2638"/>
      <c r="R9" s="2638"/>
      <c r="S9" s="2638"/>
      <c r="T9" s="2638"/>
      <c r="U9" s="2638"/>
      <c r="V9" s="2638"/>
      <c r="W9" s="2638"/>
      <c r="X9" s="2638"/>
      <c r="Y9" s="2638"/>
      <c r="Z9" s="2638"/>
      <c r="AA9" s="2638"/>
      <c r="AB9" s="2638"/>
      <c r="AC9" s="2638"/>
      <c r="AD9" s="2638"/>
      <c r="AE9" s="2638"/>
      <c r="AF9" s="2638"/>
      <c r="AG9" s="2638"/>
      <c r="AH9" s="2638"/>
      <c r="AI9" s="3144"/>
      <c r="AJ9" s="3145"/>
      <c r="AK9" s="2638"/>
      <c r="AL9" s="2638"/>
    </row>
    <row r="10" spans="1:52">
      <c r="A10" s="4192" t="s">
        <v>1</v>
      </c>
      <c r="B10" s="4192" t="s">
        <v>1</v>
      </c>
      <c r="C10" s="4192" t="s">
        <v>805</v>
      </c>
      <c r="D10" s="3961" t="s">
        <v>1157</v>
      </c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  <c r="Y10" s="3962"/>
      <c r="Z10" s="3962"/>
      <c r="AA10" s="3962"/>
      <c r="AB10" s="3962"/>
      <c r="AC10" s="3962"/>
      <c r="AD10" s="3962"/>
      <c r="AE10" s="3962"/>
      <c r="AF10" s="3962"/>
      <c r="AG10" s="3962"/>
      <c r="AH10" s="3963"/>
      <c r="AI10" s="4194" t="s">
        <v>806</v>
      </c>
      <c r="AJ10" s="4196" t="s">
        <v>1582</v>
      </c>
      <c r="AK10" s="4189" t="s">
        <v>1145</v>
      </c>
      <c r="AL10" s="4189" t="s">
        <v>1156</v>
      </c>
    </row>
    <row r="11" spans="1:52" ht="58.5" customHeight="1">
      <c r="A11" s="4193"/>
      <c r="B11" s="4193"/>
      <c r="C11" s="4193"/>
      <c r="D11" s="2642">
        <v>1</v>
      </c>
      <c r="E11" s="2642">
        <v>2</v>
      </c>
      <c r="F11" s="2642">
        <v>3</v>
      </c>
      <c r="G11" s="2642">
        <v>4</v>
      </c>
      <c r="H11" s="2642">
        <v>5</v>
      </c>
      <c r="I11" s="2642">
        <v>6</v>
      </c>
      <c r="J11" s="2642">
        <v>7</v>
      </c>
      <c r="K11" s="2642">
        <v>8</v>
      </c>
      <c r="L11" s="2642">
        <v>9</v>
      </c>
      <c r="M11" s="2642">
        <v>10</v>
      </c>
      <c r="N11" s="2642">
        <v>11</v>
      </c>
      <c r="O11" s="2642">
        <v>12</v>
      </c>
      <c r="P11" s="2642">
        <v>13</v>
      </c>
      <c r="Q11" s="2642">
        <v>14</v>
      </c>
      <c r="R11" s="2642">
        <v>15</v>
      </c>
      <c r="S11" s="2642">
        <v>16</v>
      </c>
      <c r="T11" s="2642">
        <v>17</v>
      </c>
      <c r="U11" s="2642">
        <v>18</v>
      </c>
      <c r="V11" s="2642">
        <v>19</v>
      </c>
      <c r="W11" s="2642">
        <v>20</v>
      </c>
      <c r="X11" s="2642">
        <v>21</v>
      </c>
      <c r="Y11" s="2642">
        <v>22</v>
      </c>
      <c r="Z11" s="2642">
        <v>23</v>
      </c>
      <c r="AA11" s="2642">
        <v>24</v>
      </c>
      <c r="AB11" s="2642">
        <v>25</v>
      </c>
      <c r="AC11" s="2642">
        <v>26</v>
      </c>
      <c r="AD11" s="2642">
        <v>27</v>
      </c>
      <c r="AE11" s="2642">
        <v>28</v>
      </c>
      <c r="AF11" s="2642">
        <v>29</v>
      </c>
      <c r="AG11" s="2642">
        <v>30</v>
      </c>
      <c r="AH11" s="3251">
        <v>31</v>
      </c>
      <c r="AI11" s="4195"/>
      <c r="AJ11" s="4197"/>
      <c r="AK11" s="4190"/>
      <c r="AL11" s="4191"/>
      <c r="AN11" s="2633" t="s">
        <v>977</v>
      </c>
    </row>
    <row r="12" spans="1:52" ht="26.25" customHeight="1">
      <c r="A12" s="2644">
        <v>52</v>
      </c>
      <c r="B12" s="2644">
        <v>1</v>
      </c>
      <c r="C12" s="2651" t="str">
        <f>'[13]Chấm công công nhân'!L66</f>
        <v>Phò Đăm</v>
      </c>
      <c r="D12" s="3148"/>
      <c r="E12" s="3148"/>
      <c r="F12" s="3148"/>
      <c r="G12" s="3148"/>
      <c r="H12" s="3148"/>
      <c r="I12" s="3148"/>
      <c r="J12" s="3148"/>
      <c r="K12" s="3148"/>
      <c r="L12" s="3148"/>
      <c r="M12" s="3148"/>
      <c r="N12" s="3148"/>
      <c r="O12" s="3148"/>
      <c r="P12" s="3148"/>
      <c r="Q12" s="3148"/>
      <c r="R12" s="3148"/>
      <c r="S12" s="3148"/>
      <c r="T12" s="3148"/>
      <c r="U12" s="3148"/>
      <c r="V12" s="3148"/>
      <c r="W12" s="3148"/>
      <c r="X12" s="3148"/>
      <c r="Y12" s="3148"/>
      <c r="Z12" s="3148"/>
      <c r="AA12" s="3148"/>
      <c r="AB12" s="3148">
        <v>167</v>
      </c>
      <c r="AC12" s="3148">
        <v>206</v>
      </c>
      <c r="AD12" s="3149"/>
      <c r="AE12" s="3149"/>
      <c r="AF12" s="3149"/>
      <c r="AG12" s="3149">
        <v>0</v>
      </c>
      <c r="AH12" s="3150"/>
      <c r="AI12" s="3146">
        <f>SUM(D12:AH12)</f>
        <v>373</v>
      </c>
      <c r="AJ12" s="3147">
        <f>AI12*$AX$12/100</f>
        <v>195.5447385740402</v>
      </c>
      <c r="AK12" s="3165" t="str">
        <f>'[13]Kỷ thuật'!M64</f>
        <v>A</v>
      </c>
      <c r="AL12" s="2645"/>
      <c r="AM12" s="2646">
        <f>IF(AJ12&gt;=2790,700000,IF(AJ12&gt;=2425,500000,IF(AJ12&gt;2110,300000,IF(AJ12&gt;=2110,0,0))))</f>
        <v>0</v>
      </c>
      <c r="AN12" s="2633" t="e">
        <f>+#REF!-#REF!</f>
        <v>#REF!</v>
      </c>
      <c r="AP12" s="3140"/>
      <c r="AT12" s="2633">
        <f>+AI12+[10]Mủ!AI13</f>
        <v>1418</v>
      </c>
      <c r="AX12" s="2708">
        <v>52.424862888482629</v>
      </c>
      <c r="AZ12" s="2633">
        <v>1335.9741484121841</v>
      </c>
    </row>
    <row r="13" spans="1:52" ht="27" customHeight="1">
      <c r="A13" s="2644">
        <v>53</v>
      </c>
      <c r="B13" s="2644">
        <v>2</v>
      </c>
      <c r="C13" s="2651" t="str">
        <f>'[13]Chấm công công nhân'!L67</f>
        <v>Thảo Mai</v>
      </c>
      <c r="D13" s="3148"/>
      <c r="E13" s="3148"/>
      <c r="F13" s="3148"/>
      <c r="G13" s="3148"/>
      <c r="H13" s="3148"/>
      <c r="I13" s="3148"/>
      <c r="J13" s="3148"/>
      <c r="K13" s="3148"/>
      <c r="L13" s="3148"/>
      <c r="M13" s="3148"/>
      <c r="N13" s="3148"/>
      <c r="O13" s="3148"/>
      <c r="P13" s="3148"/>
      <c r="Q13" s="3148"/>
      <c r="R13" s="3148"/>
      <c r="S13" s="3148"/>
      <c r="T13" s="3148"/>
      <c r="U13" s="3148"/>
      <c r="V13" s="3148"/>
      <c r="W13" s="3148"/>
      <c r="X13" s="3148"/>
      <c r="Y13" s="3148"/>
      <c r="Z13" s="3148"/>
      <c r="AA13" s="3148"/>
      <c r="AB13" s="3148">
        <v>147</v>
      </c>
      <c r="AC13" s="3148">
        <v>187</v>
      </c>
      <c r="AD13" s="3149"/>
      <c r="AE13" s="3149"/>
      <c r="AF13" s="3149"/>
      <c r="AG13" s="3149">
        <v>0</v>
      </c>
      <c r="AH13" s="3150"/>
      <c r="AI13" s="3146">
        <f t="shared" ref="AI13:AI25" si="0">SUM(D13:AH13)</f>
        <v>334</v>
      </c>
      <c r="AJ13" s="3147">
        <f t="shared" ref="AJ13:AJ26" si="1">AI13*$AX$12/100</f>
        <v>175.09904204753198</v>
      </c>
      <c r="AK13" s="3165" t="str">
        <f>'[13]Kỷ thuật'!M65</f>
        <v>B</v>
      </c>
      <c r="AL13" s="2645"/>
      <c r="AM13" s="2646">
        <f t="shared" ref="AM13:AM26" si="2">IF(AJ13&gt;=2790,700000,IF(AJ13&gt;=2425,500000,IF(AJ13&gt;2110,300000,IF(AJ13&gt;=2110,0,0))))</f>
        <v>0</v>
      </c>
      <c r="AT13" s="2633">
        <f>+AI13+[10]Mủ!AI14</f>
        <v>1138</v>
      </c>
      <c r="AX13" s="2706" t="e">
        <f>AX12/#REF!*100</f>
        <v>#REF!</v>
      </c>
      <c r="AZ13" s="2633">
        <v>785.20360191186001</v>
      </c>
    </row>
    <row r="14" spans="1:52" ht="27" customHeight="1">
      <c r="A14" s="2644">
        <v>54</v>
      </c>
      <c r="B14" s="2644">
        <v>3</v>
      </c>
      <c r="C14" s="2651" t="str">
        <f>'[13]Chấm công công nhân'!L68</f>
        <v>Thảo Tưng</v>
      </c>
      <c r="D14" s="3148"/>
      <c r="E14" s="3148"/>
      <c r="F14" s="3148"/>
      <c r="G14" s="3148"/>
      <c r="H14" s="3148"/>
      <c r="I14" s="3148"/>
      <c r="J14" s="3148"/>
      <c r="K14" s="3148"/>
      <c r="L14" s="3148"/>
      <c r="M14" s="3148"/>
      <c r="N14" s="3148"/>
      <c r="O14" s="3148"/>
      <c r="P14" s="3148"/>
      <c r="Q14" s="3148"/>
      <c r="R14" s="3148"/>
      <c r="S14" s="3148"/>
      <c r="T14" s="3148"/>
      <c r="U14" s="3148"/>
      <c r="V14" s="3148"/>
      <c r="W14" s="3148"/>
      <c r="X14" s="3148"/>
      <c r="Y14" s="3148"/>
      <c r="Z14" s="3148"/>
      <c r="AA14" s="3148"/>
      <c r="AB14" s="3148">
        <v>0</v>
      </c>
      <c r="AC14" s="3148">
        <v>0</v>
      </c>
      <c r="AD14" s="3149"/>
      <c r="AE14" s="3149"/>
      <c r="AF14" s="3149"/>
      <c r="AG14" s="3149">
        <v>91</v>
      </c>
      <c r="AH14" s="3150"/>
      <c r="AI14" s="3146">
        <f t="shared" si="0"/>
        <v>91</v>
      </c>
      <c r="AJ14" s="3147">
        <f t="shared" si="1"/>
        <v>47.706625228519194</v>
      </c>
      <c r="AK14" s="3165" t="str">
        <f>'[13]Kỷ thuật'!M66</f>
        <v>B</v>
      </c>
      <c r="AL14" s="2645"/>
      <c r="AM14" s="2646">
        <f t="shared" si="2"/>
        <v>0</v>
      </c>
      <c r="AT14" s="2633">
        <f>+AI14+[10]Mủ!AI15</f>
        <v>1676</v>
      </c>
      <c r="AX14" s="2941"/>
      <c r="AZ14" s="2633">
        <v>832.28639128321458</v>
      </c>
    </row>
    <row r="15" spans="1:52" ht="27" customHeight="1">
      <c r="A15" s="2644">
        <v>55</v>
      </c>
      <c r="B15" s="2644">
        <v>4</v>
      </c>
      <c r="C15" s="2651" t="str">
        <f>'[13]Chấm công công nhân'!L69</f>
        <v>Thảo Xay</v>
      </c>
      <c r="D15" s="3148"/>
      <c r="E15" s="3148"/>
      <c r="F15" s="3148"/>
      <c r="G15" s="3148"/>
      <c r="H15" s="3148"/>
      <c r="I15" s="3148"/>
      <c r="J15" s="3148"/>
      <c r="K15" s="3148"/>
      <c r="L15" s="3148"/>
      <c r="M15" s="3148"/>
      <c r="N15" s="3148"/>
      <c r="O15" s="3148"/>
      <c r="P15" s="3148"/>
      <c r="Q15" s="3148"/>
      <c r="R15" s="3148"/>
      <c r="S15" s="3148"/>
      <c r="T15" s="3148"/>
      <c r="U15" s="3148"/>
      <c r="V15" s="3148"/>
      <c r="W15" s="3148"/>
      <c r="X15" s="3148"/>
      <c r="Y15" s="3148"/>
      <c r="Z15" s="3148"/>
      <c r="AA15" s="3148"/>
      <c r="AB15" s="3148">
        <v>66</v>
      </c>
      <c r="AC15" s="3148">
        <v>77</v>
      </c>
      <c r="AD15" s="3149"/>
      <c r="AE15" s="3149"/>
      <c r="AF15" s="3149"/>
      <c r="AG15" s="3149">
        <v>151</v>
      </c>
      <c r="AH15" s="3150"/>
      <c r="AI15" s="3146">
        <f t="shared" si="0"/>
        <v>294</v>
      </c>
      <c r="AJ15" s="3147">
        <f t="shared" si="1"/>
        <v>154.12909689213893</v>
      </c>
      <c r="AK15" s="3165" t="str">
        <f>'[13]Kỷ thuật'!M67</f>
        <v>A</v>
      </c>
      <c r="AL15" s="2645"/>
      <c r="AM15" s="2646">
        <f t="shared" si="2"/>
        <v>0</v>
      </c>
      <c r="AT15" s="2633">
        <f>+AI15+[10]Mủ!AI16</f>
        <v>1529</v>
      </c>
      <c r="AX15" s="2942">
        <f>SUM(AI12:AI16)</f>
        <v>1383</v>
      </c>
      <c r="AZ15" s="2633">
        <v>1005.9041770900843</v>
      </c>
    </row>
    <row r="16" spans="1:52" ht="27" customHeight="1">
      <c r="A16" s="2644">
        <v>56</v>
      </c>
      <c r="B16" s="2644">
        <v>5</v>
      </c>
      <c r="C16" s="2651" t="str">
        <f>'[13]Chấm công công nhân'!L70</f>
        <v>Nàng Nọi</v>
      </c>
      <c r="D16" s="3148"/>
      <c r="E16" s="3148"/>
      <c r="F16" s="3148"/>
      <c r="G16" s="3148"/>
      <c r="H16" s="3148"/>
      <c r="I16" s="3148"/>
      <c r="J16" s="3148"/>
      <c r="K16" s="3148"/>
      <c r="L16" s="3148"/>
      <c r="M16" s="3148"/>
      <c r="N16" s="3148"/>
      <c r="O16" s="3148"/>
      <c r="P16" s="3148"/>
      <c r="Q16" s="3148"/>
      <c r="R16" s="3148"/>
      <c r="S16" s="3148"/>
      <c r="T16" s="3148"/>
      <c r="U16" s="3148"/>
      <c r="V16" s="3148"/>
      <c r="W16" s="3148"/>
      <c r="X16" s="3148"/>
      <c r="Y16" s="3148"/>
      <c r="Z16" s="3148"/>
      <c r="AA16" s="3148"/>
      <c r="AB16" s="3148">
        <v>64</v>
      </c>
      <c r="AC16" s="3148">
        <v>78</v>
      </c>
      <c r="AD16" s="3149"/>
      <c r="AE16" s="3149"/>
      <c r="AF16" s="3149"/>
      <c r="AG16" s="3149">
        <v>149</v>
      </c>
      <c r="AH16" s="3150"/>
      <c r="AI16" s="3146">
        <f t="shared" si="0"/>
        <v>291</v>
      </c>
      <c r="AJ16" s="3147">
        <f t="shared" si="1"/>
        <v>152.55635100548446</v>
      </c>
      <c r="AK16" s="3165" t="str">
        <f>'[13]Kỷ thuật'!M68</f>
        <v>B</v>
      </c>
      <c r="AL16" s="2645"/>
      <c r="AM16" s="2646">
        <f t="shared" si="2"/>
        <v>0</v>
      </c>
      <c r="AT16" s="2633">
        <f>+AI16+[10]Mủ!AI17</f>
        <v>1522</v>
      </c>
      <c r="AX16" s="2633">
        <f>SUM(AJ12:AJ16)</f>
        <v>725.03585374771478</v>
      </c>
      <c r="AY16" s="2633">
        <f>AX16/AX15*100</f>
        <v>52.424862888482629</v>
      </c>
      <c r="AZ16" s="2633">
        <v>851.41377446532726</v>
      </c>
    </row>
    <row r="17" spans="1:51" ht="27" customHeight="1">
      <c r="A17" s="2644">
        <v>57</v>
      </c>
      <c r="B17" s="2644">
        <v>6</v>
      </c>
      <c r="C17" s="2651" t="str">
        <f>'[13]Chấm công công nhân'!L71</f>
        <v>Thảo Đăm</v>
      </c>
      <c r="D17" s="3148"/>
      <c r="E17" s="3148"/>
      <c r="F17" s="3148"/>
      <c r="G17" s="3148"/>
      <c r="H17" s="3148"/>
      <c r="I17" s="3148"/>
      <c r="J17" s="3148"/>
      <c r="K17" s="3148"/>
      <c r="L17" s="3148"/>
      <c r="M17" s="3148"/>
      <c r="N17" s="3148"/>
      <c r="O17" s="3148"/>
      <c r="P17" s="3148"/>
      <c r="Q17" s="3148"/>
      <c r="R17" s="3148"/>
      <c r="S17" s="3148"/>
      <c r="T17" s="3148"/>
      <c r="U17" s="3148"/>
      <c r="V17" s="3148"/>
      <c r="W17" s="3148"/>
      <c r="X17" s="3148"/>
      <c r="Y17" s="3148"/>
      <c r="Z17" s="3148"/>
      <c r="AA17" s="3148"/>
      <c r="AB17" s="3148">
        <v>92</v>
      </c>
      <c r="AC17" s="3148">
        <v>170</v>
      </c>
      <c r="AD17" s="3149"/>
      <c r="AE17" s="3149"/>
      <c r="AF17" s="3149"/>
      <c r="AG17" s="3149">
        <v>0</v>
      </c>
      <c r="AH17" s="3150"/>
      <c r="AI17" s="3146">
        <f t="shared" si="0"/>
        <v>262</v>
      </c>
      <c r="AJ17" s="3147">
        <f t="shared" si="1"/>
        <v>137.35314076782447</v>
      </c>
      <c r="AK17" s="3165" t="str">
        <f>'[13]Kỷ thuật'!M69</f>
        <v>B</v>
      </c>
      <c r="AL17" s="2645"/>
      <c r="AM17" s="2646">
        <f t="shared" si="2"/>
        <v>0</v>
      </c>
      <c r="AT17" s="2633">
        <f>+AI17+[10]Mủ!AI18</f>
        <v>1035</v>
      </c>
      <c r="AX17" s="2945">
        <f>AX16-523</f>
        <v>202.03585374771478</v>
      </c>
      <c r="AY17" s="2633">
        <f>AX17/AX15*100</f>
        <v>14.608521601425508</v>
      </c>
    </row>
    <row r="18" spans="1:51" ht="27" customHeight="1">
      <c r="A18" s="2644">
        <v>58</v>
      </c>
      <c r="B18" s="2644">
        <v>7</v>
      </c>
      <c r="C18" s="2651" t="str">
        <f>'[13]Chấm công công nhân'!L72</f>
        <v>Thảo Chăn</v>
      </c>
      <c r="D18" s="3148"/>
      <c r="E18" s="3148"/>
      <c r="F18" s="3148"/>
      <c r="G18" s="3148"/>
      <c r="H18" s="3148"/>
      <c r="I18" s="3148"/>
      <c r="J18" s="3148"/>
      <c r="K18" s="3148"/>
      <c r="L18" s="3148"/>
      <c r="M18" s="3148"/>
      <c r="N18" s="3148"/>
      <c r="O18" s="3148"/>
      <c r="P18" s="3148"/>
      <c r="Q18" s="3148"/>
      <c r="R18" s="3148"/>
      <c r="S18" s="3148"/>
      <c r="T18" s="3148"/>
      <c r="U18" s="3148"/>
      <c r="V18" s="3148"/>
      <c r="W18" s="3148"/>
      <c r="X18" s="3148"/>
      <c r="Y18" s="3148"/>
      <c r="Z18" s="3148"/>
      <c r="AA18" s="3148"/>
      <c r="AB18" s="3148">
        <v>112</v>
      </c>
      <c r="AC18" s="3148">
        <v>165</v>
      </c>
      <c r="AD18" s="3149"/>
      <c r="AE18" s="3149"/>
      <c r="AF18" s="3149"/>
      <c r="AG18" s="3149">
        <v>0</v>
      </c>
      <c r="AH18" s="3150"/>
      <c r="AI18" s="3146">
        <f t="shared" si="0"/>
        <v>277</v>
      </c>
      <c r="AJ18" s="3147">
        <f t="shared" si="1"/>
        <v>145.21687020109687</v>
      </c>
      <c r="AK18" s="3165" t="str">
        <f>'[13]Kỷ thuật'!M70</f>
        <v>A</v>
      </c>
      <c r="AL18" s="2645"/>
      <c r="AM18" s="2646">
        <f t="shared" si="2"/>
        <v>0</v>
      </c>
      <c r="AT18" s="2633">
        <f>+AI18+[10]Mủ!AI19</f>
        <v>1026</v>
      </c>
      <c r="AY18" s="2633">
        <v>43.712734153967482</v>
      </c>
    </row>
    <row r="19" spans="1:51" ht="27" customHeight="1">
      <c r="A19" s="2644">
        <v>59</v>
      </c>
      <c r="B19" s="2644">
        <v>8</v>
      </c>
      <c r="C19" s="2651" t="str">
        <f>'[13]Chấm công công nhân'!L73</f>
        <v>Thảo Cô</v>
      </c>
      <c r="D19" s="3148"/>
      <c r="E19" s="3148"/>
      <c r="F19" s="3148"/>
      <c r="G19" s="3148"/>
      <c r="H19" s="3148"/>
      <c r="I19" s="3148"/>
      <c r="J19" s="3148"/>
      <c r="K19" s="3148"/>
      <c r="L19" s="3148"/>
      <c r="M19" s="3148"/>
      <c r="N19" s="3148"/>
      <c r="O19" s="3148"/>
      <c r="P19" s="3148"/>
      <c r="Q19" s="3148"/>
      <c r="R19" s="3148"/>
      <c r="S19" s="3148"/>
      <c r="T19" s="3148"/>
      <c r="U19" s="3148"/>
      <c r="V19" s="3148"/>
      <c r="W19" s="3148"/>
      <c r="X19" s="3148"/>
      <c r="Y19" s="3148"/>
      <c r="Z19" s="3148"/>
      <c r="AA19" s="3148"/>
      <c r="AB19" s="3148">
        <v>0</v>
      </c>
      <c r="AC19" s="3148">
        <v>0</v>
      </c>
      <c r="AD19" s="3149"/>
      <c r="AE19" s="3149"/>
      <c r="AF19" s="3149"/>
      <c r="AG19" s="3149">
        <v>0</v>
      </c>
      <c r="AH19" s="3150"/>
      <c r="AI19" s="3146">
        <f t="shared" si="0"/>
        <v>0</v>
      </c>
      <c r="AJ19" s="3147">
        <f t="shared" si="1"/>
        <v>0</v>
      </c>
      <c r="AK19" s="3165" t="str">
        <f>'[13]Kỷ thuật'!M71</f>
        <v>B</v>
      </c>
      <c r="AL19" s="2645"/>
      <c r="AM19" s="2646">
        <f t="shared" si="2"/>
        <v>0</v>
      </c>
    </row>
    <row r="20" spans="1:51" ht="33.75" customHeight="1">
      <c r="A20" s="2644">
        <v>60</v>
      </c>
      <c r="B20" s="2644">
        <v>9</v>
      </c>
      <c r="C20" s="2651" t="str">
        <f>'[13]Chấm công công nhân'!L74</f>
        <v>Thảo Nha</v>
      </c>
      <c r="D20" s="3148"/>
      <c r="E20" s="3148"/>
      <c r="F20" s="3148"/>
      <c r="G20" s="3148"/>
      <c r="H20" s="3148"/>
      <c r="I20" s="3148"/>
      <c r="J20" s="3148"/>
      <c r="K20" s="3148"/>
      <c r="L20" s="3148"/>
      <c r="M20" s="3148"/>
      <c r="N20" s="3148"/>
      <c r="O20" s="3148"/>
      <c r="P20" s="3148"/>
      <c r="Q20" s="3148"/>
      <c r="R20" s="3148"/>
      <c r="S20" s="3148"/>
      <c r="T20" s="3148"/>
      <c r="U20" s="3148"/>
      <c r="V20" s="3148"/>
      <c r="W20" s="3148"/>
      <c r="X20" s="3148"/>
      <c r="Y20" s="3148"/>
      <c r="Z20" s="3148"/>
      <c r="AA20" s="3148"/>
      <c r="AB20" s="3148">
        <v>0</v>
      </c>
      <c r="AC20" s="3148">
        <v>0</v>
      </c>
      <c r="AD20" s="3149"/>
      <c r="AE20" s="3149"/>
      <c r="AF20" s="3149"/>
      <c r="AG20" s="3149">
        <v>0</v>
      </c>
      <c r="AH20" s="3150"/>
      <c r="AI20" s="3146">
        <f t="shared" si="0"/>
        <v>0</v>
      </c>
      <c r="AJ20" s="3147">
        <f t="shared" si="1"/>
        <v>0</v>
      </c>
      <c r="AK20" s="3165" t="str">
        <f>'[13]Kỷ thuật'!M72</f>
        <v>A</v>
      </c>
      <c r="AL20" s="2645"/>
      <c r="AM20" s="2646">
        <f t="shared" si="2"/>
        <v>0</v>
      </c>
    </row>
    <row r="21" spans="1:51" ht="33.75" customHeight="1">
      <c r="A21" s="2644">
        <v>61</v>
      </c>
      <c r="B21" s="2644">
        <v>10</v>
      </c>
      <c r="C21" s="2651" t="str">
        <f>'[13]Chấm công công nhân'!L75</f>
        <v>Thảo Đăm 2</v>
      </c>
      <c r="D21" s="3148"/>
      <c r="E21" s="3148"/>
      <c r="F21" s="3148"/>
      <c r="G21" s="3148"/>
      <c r="H21" s="3148"/>
      <c r="I21" s="3148"/>
      <c r="J21" s="3148"/>
      <c r="K21" s="3148"/>
      <c r="L21" s="3148"/>
      <c r="M21" s="3148"/>
      <c r="N21" s="3148"/>
      <c r="O21" s="3148"/>
      <c r="P21" s="3148"/>
      <c r="Q21" s="3148"/>
      <c r="R21" s="3148"/>
      <c r="S21" s="3148"/>
      <c r="T21" s="3148"/>
      <c r="U21" s="3148"/>
      <c r="V21" s="3148"/>
      <c r="W21" s="3148"/>
      <c r="X21" s="3148"/>
      <c r="Y21" s="3148"/>
      <c r="Z21" s="3148"/>
      <c r="AA21" s="3148"/>
      <c r="AB21" s="3148">
        <v>0</v>
      </c>
      <c r="AC21" s="3148">
        <v>0</v>
      </c>
      <c r="AD21" s="3149"/>
      <c r="AE21" s="3149"/>
      <c r="AF21" s="3149"/>
      <c r="AG21" s="3149">
        <v>0</v>
      </c>
      <c r="AH21" s="3150"/>
      <c r="AI21" s="3146">
        <f t="shared" si="0"/>
        <v>0</v>
      </c>
      <c r="AJ21" s="3147">
        <f t="shared" si="1"/>
        <v>0</v>
      </c>
      <c r="AK21" s="3165" t="str">
        <f>'[13]Kỷ thuật'!M73</f>
        <v>B</v>
      </c>
      <c r="AL21" s="2645"/>
      <c r="AM21" s="2646">
        <f t="shared" si="2"/>
        <v>0</v>
      </c>
    </row>
    <row r="22" spans="1:51" ht="33.75" customHeight="1">
      <c r="A22" s="2644">
        <v>62</v>
      </c>
      <c r="B22" s="2644">
        <v>11</v>
      </c>
      <c r="C22" s="2651" t="str">
        <f>'[13]Chấm công công nhân'!L76</f>
        <v>Thảo Lay</v>
      </c>
      <c r="D22" s="3148"/>
      <c r="E22" s="3148"/>
      <c r="F22" s="3148"/>
      <c r="G22" s="3148"/>
      <c r="H22" s="3148"/>
      <c r="I22" s="3148"/>
      <c r="J22" s="3148"/>
      <c r="K22" s="3148"/>
      <c r="L22" s="3148"/>
      <c r="M22" s="3148"/>
      <c r="N22" s="3148"/>
      <c r="O22" s="3148"/>
      <c r="P22" s="3148"/>
      <c r="Q22" s="3148"/>
      <c r="R22" s="3148"/>
      <c r="S22" s="3148"/>
      <c r="T22" s="3148"/>
      <c r="U22" s="3148"/>
      <c r="V22" s="3148"/>
      <c r="W22" s="3148"/>
      <c r="X22" s="3148"/>
      <c r="Y22" s="3148"/>
      <c r="Z22" s="3148"/>
      <c r="AA22" s="3148"/>
      <c r="AB22" s="3148">
        <v>0</v>
      </c>
      <c r="AC22" s="3148">
        <v>109</v>
      </c>
      <c r="AD22" s="3149"/>
      <c r="AE22" s="3149"/>
      <c r="AF22" s="3149"/>
      <c r="AG22" s="3149">
        <v>0</v>
      </c>
      <c r="AH22" s="3150"/>
      <c r="AI22" s="3146">
        <f t="shared" si="0"/>
        <v>109</v>
      </c>
      <c r="AJ22" s="3147">
        <f t="shared" si="1"/>
        <v>57.143100548446064</v>
      </c>
      <c r="AK22" s="3165" t="str">
        <f>'[13]Kỷ thuật'!M74</f>
        <v>B</v>
      </c>
      <c r="AL22" s="2645"/>
      <c r="AM22" s="2646">
        <f t="shared" si="2"/>
        <v>0</v>
      </c>
    </row>
    <row r="23" spans="1:51" ht="33.75" customHeight="1">
      <c r="A23" s="2644">
        <v>63</v>
      </c>
      <c r="B23" s="2644">
        <v>12</v>
      </c>
      <c r="C23" s="2651" t="str">
        <f>'[13]Chấm công công nhân'!L77</f>
        <v>Thảo Khên</v>
      </c>
      <c r="D23" s="3148"/>
      <c r="E23" s="3148"/>
      <c r="F23" s="3148"/>
      <c r="G23" s="3148"/>
      <c r="H23" s="3148"/>
      <c r="I23" s="3148"/>
      <c r="J23" s="3148"/>
      <c r="K23" s="3148"/>
      <c r="L23" s="3148"/>
      <c r="M23" s="3148"/>
      <c r="N23" s="3148"/>
      <c r="O23" s="3148"/>
      <c r="P23" s="3148"/>
      <c r="Q23" s="3148"/>
      <c r="R23" s="3148"/>
      <c r="S23" s="3148"/>
      <c r="T23" s="3148"/>
      <c r="U23" s="3148"/>
      <c r="V23" s="3148"/>
      <c r="W23" s="3148"/>
      <c r="X23" s="3148"/>
      <c r="Y23" s="3148"/>
      <c r="Z23" s="3148"/>
      <c r="AA23" s="3148"/>
      <c r="AB23" s="3148">
        <v>135</v>
      </c>
      <c r="AC23" s="3148">
        <v>193</v>
      </c>
      <c r="AD23" s="3149"/>
      <c r="AE23" s="3149"/>
      <c r="AF23" s="3149"/>
      <c r="AG23" s="3149">
        <v>0</v>
      </c>
      <c r="AH23" s="3150"/>
      <c r="AI23" s="3146">
        <f t="shared" si="0"/>
        <v>328</v>
      </c>
      <c r="AJ23" s="3147">
        <f t="shared" si="1"/>
        <v>171.95355027422301</v>
      </c>
      <c r="AK23" s="3165" t="str">
        <f>'[13]Kỷ thuật'!M75</f>
        <v>A</v>
      </c>
      <c r="AL23" s="2645"/>
      <c r="AM23" s="2646">
        <f t="shared" si="2"/>
        <v>0</v>
      </c>
    </row>
    <row r="24" spans="1:51" ht="33.75" customHeight="1">
      <c r="A24" s="2644">
        <v>64</v>
      </c>
      <c r="B24" s="2644">
        <v>13</v>
      </c>
      <c r="C24" s="2651" t="str">
        <f>'[13]Chấm công công nhân'!L78</f>
        <v>Thảo Khon</v>
      </c>
      <c r="D24" s="3146"/>
      <c r="E24" s="3146"/>
      <c r="F24" s="3146"/>
      <c r="G24" s="3146"/>
      <c r="H24" s="3146"/>
      <c r="I24" s="3150"/>
      <c r="J24" s="3150"/>
      <c r="K24" s="3150"/>
      <c r="L24" s="3150"/>
      <c r="M24" s="3146"/>
      <c r="N24" s="3150"/>
      <c r="O24" s="3150"/>
      <c r="P24" s="3150"/>
      <c r="Q24" s="3150"/>
      <c r="R24" s="3150"/>
      <c r="S24" s="3150"/>
      <c r="T24" s="3146"/>
      <c r="U24" s="3150"/>
      <c r="V24" s="3150"/>
      <c r="W24" s="3150"/>
      <c r="X24" s="3150"/>
      <c r="Y24" s="3150"/>
      <c r="Z24" s="3150"/>
      <c r="AA24" s="3151"/>
      <c r="AB24" s="3150">
        <v>0</v>
      </c>
      <c r="AC24" s="3150">
        <v>74</v>
      </c>
      <c r="AD24" s="3149"/>
      <c r="AE24" s="3149"/>
      <c r="AF24" s="3149"/>
      <c r="AG24" s="3149">
        <v>152</v>
      </c>
      <c r="AH24" s="3150"/>
      <c r="AI24" s="3146">
        <f t="shared" si="0"/>
        <v>226</v>
      </c>
      <c r="AJ24" s="3147">
        <f t="shared" si="1"/>
        <v>118.48019012797074</v>
      </c>
      <c r="AK24" s="3165" t="str">
        <f>'[13]Kỷ thuật'!M76</f>
        <v>A</v>
      </c>
      <c r="AL24" s="2645"/>
      <c r="AM24" s="2646">
        <f t="shared" si="2"/>
        <v>0</v>
      </c>
    </row>
    <row r="25" spans="1:51" ht="33.75" customHeight="1">
      <c r="A25" s="2644">
        <v>65</v>
      </c>
      <c r="B25" s="2644">
        <v>14</v>
      </c>
      <c r="C25" s="2651" t="str">
        <f>'[13]Chấm công công nhân'!L79</f>
        <v>Thảo Nga</v>
      </c>
      <c r="D25" s="3146"/>
      <c r="E25" s="3146"/>
      <c r="F25" s="3146"/>
      <c r="G25" s="3146"/>
      <c r="H25" s="3146"/>
      <c r="I25" s="3150"/>
      <c r="J25" s="3150"/>
      <c r="K25" s="3150"/>
      <c r="L25" s="3150"/>
      <c r="M25" s="3146"/>
      <c r="N25" s="3150"/>
      <c r="O25" s="3150"/>
      <c r="P25" s="3150"/>
      <c r="Q25" s="3150"/>
      <c r="R25" s="3150"/>
      <c r="S25" s="3150"/>
      <c r="T25" s="3146"/>
      <c r="U25" s="3150"/>
      <c r="V25" s="3150"/>
      <c r="W25" s="3150"/>
      <c r="X25" s="3150"/>
      <c r="Y25" s="3150"/>
      <c r="Z25" s="3150"/>
      <c r="AA25" s="3151"/>
      <c r="AB25" s="3150">
        <v>0</v>
      </c>
      <c r="AC25" s="3150">
        <v>0</v>
      </c>
      <c r="AD25" s="3149"/>
      <c r="AE25" s="3149"/>
      <c r="AF25" s="3149"/>
      <c r="AG25" s="3149">
        <v>150</v>
      </c>
      <c r="AH25" s="3150"/>
      <c r="AI25" s="3146">
        <f t="shared" si="0"/>
        <v>150</v>
      </c>
      <c r="AJ25" s="3147">
        <f t="shared" si="1"/>
        <v>78.63729433272394</v>
      </c>
      <c r="AK25" s="3165" t="str">
        <f>'[13]Kỷ thuật'!M77</f>
        <v>B</v>
      </c>
      <c r="AL25" s="2645"/>
      <c r="AM25" s="2646">
        <f t="shared" si="2"/>
        <v>0</v>
      </c>
    </row>
    <row r="26" spans="1:51" ht="24.75" customHeight="1">
      <c r="A26" s="2644">
        <v>62</v>
      </c>
      <c r="B26" s="2644">
        <v>15</v>
      </c>
      <c r="C26" s="2651">
        <f>'[13]Chấm công công nhân'!L80</f>
        <v>0</v>
      </c>
      <c r="D26" s="3147"/>
      <c r="E26" s="3147"/>
      <c r="F26" s="3147"/>
      <c r="G26" s="3147"/>
      <c r="H26" s="3147"/>
      <c r="I26" s="3152"/>
      <c r="J26" s="3152"/>
      <c r="K26" s="3152"/>
      <c r="L26" s="3152"/>
      <c r="M26" s="3147"/>
      <c r="N26" s="3152"/>
      <c r="O26" s="3152"/>
      <c r="P26" s="3152"/>
      <c r="Q26" s="3152"/>
      <c r="R26" s="3152"/>
      <c r="S26" s="3152"/>
      <c r="T26" s="3147"/>
      <c r="U26" s="3152"/>
      <c r="V26" s="3152"/>
      <c r="W26" s="3152"/>
      <c r="X26" s="3152"/>
      <c r="Y26" s="3152"/>
      <c r="Z26" s="3152"/>
      <c r="AA26" s="3153"/>
      <c r="AB26" s="3152">
        <v>0</v>
      </c>
      <c r="AC26" s="3152">
        <v>0</v>
      </c>
      <c r="AD26" s="3154"/>
      <c r="AE26" s="3154"/>
      <c r="AF26" s="3154"/>
      <c r="AG26" s="3154">
        <v>0</v>
      </c>
      <c r="AH26" s="3152"/>
      <c r="AI26" s="3146"/>
      <c r="AJ26" s="3147">
        <f t="shared" si="1"/>
        <v>0</v>
      </c>
      <c r="AK26" s="2645"/>
      <c r="AL26" s="2645"/>
      <c r="AM26" s="2646">
        <f t="shared" si="2"/>
        <v>0</v>
      </c>
    </row>
    <row r="27" spans="1:51" s="3157" customFormat="1" ht="34.5" customHeight="1">
      <c r="A27" s="3972" t="s">
        <v>807</v>
      </c>
      <c r="B27" s="3973"/>
      <c r="C27" s="3974"/>
      <c r="D27" s="3155">
        <f>SUM(D12:D26)</f>
        <v>0</v>
      </c>
      <c r="E27" s="3155">
        <f t="shared" ref="E27:AJ27" si="3">SUM(E12:E26)</f>
        <v>0</v>
      </c>
      <c r="F27" s="3155">
        <f t="shared" si="3"/>
        <v>0</v>
      </c>
      <c r="G27" s="3155">
        <f t="shared" si="3"/>
        <v>0</v>
      </c>
      <c r="H27" s="3155">
        <f t="shared" si="3"/>
        <v>0</v>
      </c>
      <c r="I27" s="3155">
        <f t="shared" si="3"/>
        <v>0</v>
      </c>
      <c r="J27" s="3155">
        <f t="shared" si="3"/>
        <v>0</v>
      </c>
      <c r="K27" s="3155">
        <f t="shared" si="3"/>
        <v>0</v>
      </c>
      <c r="L27" s="3155">
        <f t="shared" si="3"/>
        <v>0</v>
      </c>
      <c r="M27" s="3155">
        <f t="shared" si="3"/>
        <v>0</v>
      </c>
      <c r="N27" s="3155">
        <f t="shared" si="3"/>
        <v>0</v>
      </c>
      <c r="O27" s="3155">
        <f t="shared" si="3"/>
        <v>0</v>
      </c>
      <c r="P27" s="3155">
        <f t="shared" si="3"/>
        <v>0</v>
      </c>
      <c r="Q27" s="3155">
        <f t="shared" si="3"/>
        <v>0</v>
      </c>
      <c r="R27" s="3155">
        <f t="shared" si="3"/>
        <v>0</v>
      </c>
      <c r="S27" s="3155">
        <f t="shared" si="3"/>
        <v>0</v>
      </c>
      <c r="T27" s="3155">
        <f t="shared" si="3"/>
        <v>0</v>
      </c>
      <c r="U27" s="3155">
        <f t="shared" si="3"/>
        <v>0</v>
      </c>
      <c r="V27" s="3155">
        <f t="shared" si="3"/>
        <v>0</v>
      </c>
      <c r="W27" s="3155">
        <f t="shared" si="3"/>
        <v>0</v>
      </c>
      <c r="X27" s="3155">
        <f t="shared" si="3"/>
        <v>0</v>
      </c>
      <c r="Y27" s="3155">
        <f t="shared" si="3"/>
        <v>0</v>
      </c>
      <c r="Z27" s="3155">
        <f t="shared" si="3"/>
        <v>0</v>
      </c>
      <c r="AA27" s="3155">
        <f t="shared" si="3"/>
        <v>0</v>
      </c>
      <c r="AB27" s="3155">
        <f t="shared" si="3"/>
        <v>783</v>
      </c>
      <c r="AC27" s="3155">
        <f t="shared" si="3"/>
        <v>1259</v>
      </c>
      <c r="AD27" s="3155">
        <f t="shared" si="3"/>
        <v>0</v>
      </c>
      <c r="AE27" s="3155">
        <f t="shared" si="3"/>
        <v>0</v>
      </c>
      <c r="AF27" s="3155">
        <f t="shared" si="3"/>
        <v>0</v>
      </c>
      <c r="AG27" s="3155">
        <f t="shared" si="3"/>
        <v>693</v>
      </c>
      <c r="AH27" s="3155">
        <f t="shared" si="3"/>
        <v>0</v>
      </c>
      <c r="AI27" s="3155">
        <f t="shared" si="3"/>
        <v>2735</v>
      </c>
      <c r="AJ27" s="3155">
        <f t="shared" si="3"/>
        <v>1433.82</v>
      </c>
      <c r="AK27" s="3156"/>
      <c r="AL27" s="3156"/>
    </row>
    <row r="28" spans="1:51" ht="15.75" customHeight="1">
      <c r="A28" s="2654"/>
      <c r="B28" s="2655"/>
      <c r="C28" s="2655"/>
      <c r="D28" s="2656"/>
      <c r="E28" s="2656"/>
      <c r="F28" s="2657"/>
      <c r="G28" s="2656"/>
      <c r="H28" s="2656"/>
      <c r="I28" s="2656"/>
      <c r="J28" s="2658"/>
      <c r="K28" s="2658"/>
      <c r="L28" s="2658"/>
      <c r="M28" s="2658"/>
      <c r="N28" s="2658"/>
      <c r="O28" s="2658"/>
      <c r="P28" s="2658"/>
      <c r="Q28" s="2658"/>
      <c r="R28" s="2658"/>
      <c r="S28" s="2658"/>
      <c r="T28" s="2658"/>
      <c r="U28" s="2658"/>
      <c r="V28" s="2658"/>
      <c r="W28" s="2658"/>
      <c r="X28" s="2658"/>
      <c r="Y28" s="2658"/>
      <c r="Z28" s="2658"/>
      <c r="AA28" s="2658"/>
      <c r="AB28" s="2658"/>
      <c r="AC28" s="2658"/>
      <c r="AK28" s="2659"/>
      <c r="AL28" s="2659"/>
    </row>
    <row r="29" spans="1:51" s="2636" customFormat="1" ht="24" customHeight="1">
      <c r="A29" s="3969" t="s">
        <v>1</v>
      </c>
      <c r="B29" s="3970"/>
      <c r="C29" s="3971"/>
      <c r="D29" s="3967" t="s">
        <v>544</v>
      </c>
      <c r="E29" s="3967"/>
      <c r="F29" s="3967"/>
      <c r="G29" s="3967" t="s">
        <v>1146</v>
      </c>
      <c r="H29" s="3967"/>
      <c r="I29" s="3967"/>
      <c r="J29" s="3967" t="s">
        <v>1147</v>
      </c>
      <c r="K29" s="3967"/>
      <c r="L29" s="3967"/>
      <c r="M29" s="3967"/>
      <c r="N29" s="3967"/>
      <c r="O29" s="3967"/>
      <c r="P29" s="3967" t="s">
        <v>1308</v>
      </c>
      <c r="Q29" s="3967"/>
      <c r="R29" s="3967"/>
      <c r="S29" s="3967"/>
      <c r="T29" s="3967"/>
      <c r="U29" s="3967"/>
      <c r="V29" s="3967"/>
      <c r="W29" s="2660"/>
      <c r="X29" s="2660"/>
      <c r="Y29" s="2660"/>
      <c r="Z29" s="2660"/>
      <c r="AA29" s="2660"/>
      <c r="AB29" s="2660"/>
      <c r="AC29" s="2660"/>
      <c r="AD29" s="2660"/>
      <c r="AE29" s="2660"/>
      <c r="AF29" s="2660"/>
      <c r="AG29" s="2660"/>
      <c r="AI29" s="3158"/>
      <c r="AJ29" s="3141"/>
    </row>
    <row r="30" spans="1:51" ht="27" customHeight="1">
      <c r="A30" s="3984">
        <v>1</v>
      </c>
      <c r="B30" s="3985"/>
      <c r="C30" s="3986"/>
      <c r="D30" s="3987"/>
      <c r="E30" s="3987"/>
      <c r="F30" s="3987"/>
      <c r="G30" s="3987" t="s">
        <v>52</v>
      </c>
      <c r="H30" s="3987"/>
      <c r="I30" s="3987"/>
      <c r="J30" s="3988">
        <f>SUMIF($AK$12:$AK$26,"A",$AI$12:$AI$26)</f>
        <v>1498</v>
      </c>
      <c r="K30" s="3988"/>
      <c r="L30" s="3988"/>
      <c r="M30" s="3988"/>
      <c r="N30" s="3988"/>
      <c r="O30" s="3988"/>
      <c r="P30" s="3988">
        <f>SUMIF($AK$12:$AK$26,"A",$AJ$12:$AJ$26)</f>
        <v>785.32444606946979</v>
      </c>
      <c r="Q30" s="3988"/>
      <c r="R30" s="3988"/>
      <c r="S30" s="3988"/>
      <c r="T30" s="3988"/>
      <c r="U30" s="3988"/>
      <c r="V30" s="3988"/>
    </row>
    <row r="31" spans="1:51">
      <c r="A31" s="3984">
        <v>2</v>
      </c>
      <c r="B31" s="3985"/>
      <c r="C31" s="3986"/>
      <c r="D31" s="3987"/>
      <c r="E31" s="3987"/>
      <c r="F31" s="3987"/>
      <c r="G31" s="3987" t="s">
        <v>92</v>
      </c>
      <c r="H31" s="3987"/>
      <c r="I31" s="3987"/>
      <c r="J31" s="3988">
        <f>SUMIF($AK$12:$AK$26,"B",$AI$12:$AI$26)</f>
        <v>1237</v>
      </c>
      <c r="K31" s="3988"/>
      <c r="L31" s="3988"/>
      <c r="M31" s="3988"/>
      <c r="N31" s="3988"/>
      <c r="O31" s="3988"/>
      <c r="P31" s="3988">
        <f>SUMIF($AK$12:$AK$26,"B",$AJ$12:$AJ$26)</f>
        <v>648.49555393053015</v>
      </c>
      <c r="Q31" s="3988"/>
      <c r="R31" s="3988"/>
      <c r="S31" s="3988"/>
      <c r="T31" s="3988"/>
      <c r="U31" s="3988"/>
      <c r="V31" s="3988"/>
      <c r="AB31" s="2932"/>
      <c r="AP31" s="3159">
        <f>97677*43.16</f>
        <v>4215739.3199999994</v>
      </c>
    </row>
    <row r="32" spans="1:51" ht="29.25" customHeight="1">
      <c r="A32" s="3984">
        <v>3</v>
      </c>
      <c r="B32" s="3985"/>
      <c r="C32" s="3986"/>
      <c r="D32" s="3987"/>
      <c r="E32" s="3987"/>
      <c r="F32" s="3987"/>
      <c r="G32" s="3987" t="s">
        <v>53</v>
      </c>
      <c r="H32" s="3987"/>
      <c r="I32" s="3987"/>
      <c r="J32" s="3988">
        <f>SUMIF($AK$12:$AK$26,"C",$AI$12:$AI$26)</f>
        <v>0</v>
      </c>
      <c r="K32" s="3988"/>
      <c r="L32" s="3988"/>
      <c r="M32" s="3988"/>
      <c r="N32" s="3988"/>
      <c r="O32" s="3988"/>
      <c r="P32" s="3988">
        <f>SUMIF($AK$12:$AK$26,"C",$AJ$12:$AJ$26)</f>
        <v>0</v>
      </c>
      <c r="Q32" s="3988"/>
      <c r="R32" s="3988"/>
      <c r="S32" s="3988"/>
      <c r="T32" s="3988"/>
      <c r="U32" s="3988"/>
      <c r="V32" s="3988"/>
    </row>
    <row r="33" spans="1:40" ht="29.25" hidden="1" customHeight="1">
      <c r="A33" s="3984">
        <v>4</v>
      </c>
      <c r="B33" s="3985"/>
      <c r="C33" s="3986"/>
      <c r="D33" s="3987">
        <f>SUM(COUNTIF(AK12:AK21,"D"))</f>
        <v>0</v>
      </c>
      <c r="E33" s="3987"/>
      <c r="F33" s="3987"/>
      <c r="G33" s="3987" t="s">
        <v>93</v>
      </c>
      <c r="H33" s="3987"/>
      <c r="I33" s="3987"/>
      <c r="J33" s="3988">
        <f>SUMIF($AK$12:$AK$18,"D",$AI$12:$AI$18)</f>
        <v>0</v>
      </c>
      <c r="K33" s="3988"/>
      <c r="L33" s="3988"/>
      <c r="M33" s="3988"/>
      <c r="N33" s="3988"/>
      <c r="O33" s="3988"/>
      <c r="P33" s="3988">
        <f>SUMIF($AK$12:$AK$18,"D",$AJ$12:$AJ$18)</f>
        <v>0</v>
      </c>
      <c r="Q33" s="3988"/>
      <c r="R33" s="3988"/>
      <c r="S33" s="3988"/>
      <c r="T33" s="3988"/>
      <c r="U33" s="3988"/>
      <c r="V33" s="3988"/>
    </row>
    <row r="34" spans="1:40" s="2643" customFormat="1" ht="29.25" customHeight="1">
      <c r="A34" s="3969" t="s">
        <v>187</v>
      </c>
      <c r="B34" s="3970"/>
      <c r="C34" s="3971"/>
      <c r="D34" s="3967">
        <f>SUM(D30:F33)</f>
        <v>0</v>
      </c>
      <c r="E34" s="3967"/>
      <c r="F34" s="3967"/>
      <c r="G34" s="3967"/>
      <c r="H34" s="3967"/>
      <c r="I34" s="3967"/>
      <c r="J34" s="3989">
        <f>SUM(J30:O33)</f>
        <v>2735</v>
      </c>
      <c r="K34" s="3989"/>
      <c r="L34" s="3989"/>
      <c r="M34" s="3989"/>
      <c r="N34" s="3989"/>
      <c r="O34" s="3989"/>
      <c r="P34" s="3989">
        <f>SUM(P30:V33)</f>
        <v>1433.82</v>
      </c>
      <c r="Q34" s="3989"/>
      <c r="R34" s="3989"/>
      <c r="S34" s="3989"/>
      <c r="T34" s="3989"/>
      <c r="U34" s="3989"/>
      <c r="V34" s="3989"/>
      <c r="W34" s="2661"/>
      <c r="X34" s="2661"/>
      <c r="Y34" s="2661"/>
      <c r="Z34" s="2661"/>
      <c r="AA34" s="2661"/>
      <c r="AB34" s="2661"/>
      <c r="AC34" s="2661"/>
      <c r="AD34" s="2661"/>
      <c r="AE34" s="2661"/>
      <c r="AF34" s="2661"/>
      <c r="AG34" s="2661"/>
      <c r="AI34" s="3160"/>
      <c r="AJ34" s="3140"/>
    </row>
    <row r="35" spans="1:40" s="2663" customFormat="1" ht="19.5" hidden="1" customHeight="1">
      <c r="A35" s="2662"/>
      <c r="E35" s="3161"/>
      <c r="G35" s="3161"/>
      <c r="H35" s="3161"/>
      <c r="I35" s="3161"/>
      <c r="J35" s="3162"/>
      <c r="K35" s="2664"/>
      <c r="M35" s="2664"/>
      <c r="N35" s="2664"/>
      <c r="O35" s="2664"/>
      <c r="P35" s="2664"/>
      <c r="Q35" s="2664"/>
      <c r="R35" s="2664"/>
      <c r="S35" s="2665"/>
      <c r="T35" s="2665"/>
      <c r="U35" s="2665"/>
      <c r="V35" s="2665"/>
      <c r="W35" s="2665"/>
      <c r="X35" s="2665"/>
      <c r="Y35" s="2665"/>
      <c r="AA35" s="2665"/>
      <c r="AB35" s="3236"/>
      <c r="AC35" s="3236"/>
      <c r="AD35" s="3236"/>
      <c r="AE35" s="4186" t="s">
        <v>1543</v>
      </c>
      <c r="AF35" s="4186"/>
      <c r="AG35" s="4186"/>
      <c r="AH35" s="4186"/>
      <c r="AI35" s="4186"/>
      <c r="AJ35" s="4186"/>
      <c r="AK35" s="4186"/>
      <c r="AL35" s="3248"/>
      <c r="AM35" s="3236"/>
      <c r="AN35" s="3236"/>
    </row>
    <row r="36" spans="1:40" ht="28.5" hidden="1" customHeight="1">
      <c r="B36" s="2666"/>
      <c r="C36" s="2664" t="s">
        <v>46</v>
      </c>
      <c r="D36" s="2666"/>
      <c r="E36" s="3163"/>
      <c r="F36" s="3163"/>
      <c r="G36" s="3164"/>
      <c r="H36" s="3164"/>
      <c r="I36" s="3164"/>
      <c r="J36" s="2667"/>
      <c r="K36" s="2633"/>
      <c r="L36" s="2668"/>
      <c r="M36" s="2668"/>
      <c r="N36" s="2668"/>
      <c r="O36" s="4187" t="s">
        <v>1144</v>
      </c>
      <c r="P36" s="4187"/>
      <c r="Q36" s="4187"/>
      <c r="R36" s="4187"/>
      <c r="S36" s="4187"/>
      <c r="T36" s="4187"/>
      <c r="U36" s="4187"/>
      <c r="V36" s="4187"/>
      <c r="W36" s="2633"/>
      <c r="X36" s="2667"/>
      <c r="Y36" s="2669"/>
      <c r="Z36" s="2669"/>
      <c r="AA36" s="2669"/>
      <c r="AB36" s="2669"/>
      <c r="AC36" s="2633"/>
      <c r="AD36" s="2633"/>
      <c r="AE36" s="4187" t="s">
        <v>1104</v>
      </c>
      <c r="AF36" s="4187"/>
      <c r="AG36" s="4187"/>
      <c r="AH36" s="4187"/>
      <c r="AI36" s="4187"/>
      <c r="AJ36" s="4187"/>
      <c r="AK36" s="4187"/>
      <c r="AL36" s="3249"/>
    </row>
    <row r="37" spans="1:40" ht="29.25" customHeight="1">
      <c r="C37" s="2662"/>
      <c r="D37" s="2663"/>
      <c r="E37" s="2663"/>
      <c r="F37" s="2663"/>
      <c r="G37" s="3161"/>
      <c r="H37" s="2663"/>
      <c r="I37" s="3161"/>
      <c r="J37" s="3161"/>
      <c r="K37" s="3161"/>
      <c r="L37" s="3162"/>
      <c r="M37" s="2664"/>
      <c r="N37" s="2663"/>
      <c r="O37" s="2664"/>
      <c r="P37" s="2664"/>
      <c r="Q37" s="2664"/>
      <c r="R37" s="2664"/>
      <c r="S37" s="2664"/>
      <c r="T37" s="2664"/>
      <c r="U37" s="2665"/>
      <c r="V37" s="2665"/>
      <c r="W37" s="2665"/>
      <c r="X37" s="2665"/>
      <c r="Y37" s="2665"/>
      <c r="Z37" s="2665"/>
      <c r="AA37" s="2665"/>
      <c r="AB37" s="2663"/>
      <c r="AC37" s="2665"/>
      <c r="AD37" s="3236"/>
      <c r="AE37" s="3236"/>
      <c r="AF37" s="3236"/>
      <c r="AG37" s="4186" t="s">
        <v>1573</v>
      </c>
      <c r="AH37" s="4186"/>
      <c r="AI37" s="4186"/>
      <c r="AJ37" s="4186"/>
      <c r="AK37" s="4186"/>
      <c r="AL37" s="4186"/>
      <c r="AM37" s="4186"/>
    </row>
    <row r="38" spans="1:40" ht="20.100000000000001" customHeight="1">
      <c r="C38" s="2634"/>
      <c r="D38" s="2666"/>
      <c r="E38" s="2664" t="s">
        <v>46</v>
      </c>
      <c r="F38" s="2666"/>
      <c r="G38" s="3163"/>
      <c r="H38" s="3163"/>
      <c r="I38" s="3164"/>
      <c r="J38" s="3164"/>
      <c r="K38" s="3164"/>
      <c r="L38" s="2667"/>
      <c r="M38" s="2633"/>
      <c r="N38" s="2668"/>
      <c r="O38" s="2668"/>
      <c r="P38" s="2668"/>
      <c r="Q38" s="4187" t="s">
        <v>1144</v>
      </c>
      <c r="R38" s="4187"/>
      <c r="S38" s="4187"/>
      <c r="T38" s="4187"/>
      <c r="U38" s="4187"/>
      <c r="V38" s="4187"/>
      <c r="W38" s="4187"/>
      <c r="X38" s="4187"/>
      <c r="Y38" s="2633"/>
      <c r="Z38" s="2667"/>
      <c r="AA38" s="2669"/>
      <c r="AB38" s="2669"/>
      <c r="AC38" s="2669"/>
      <c r="AD38" s="2669"/>
      <c r="AE38" s="2633"/>
      <c r="AF38" s="2633"/>
      <c r="AG38" s="4187" t="s">
        <v>1104</v>
      </c>
      <c r="AH38" s="4187"/>
      <c r="AI38" s="4187"/>
      <c r="AJ38" s="4187"/>
      <c r="AK38" s="4187"/>
      <c r="AL38" s="4187"/>
      <c r="AM38" s="4187"/>
    </row>
    <row r="39" spans="1:40" ht="16.5" customHeight="1">
      <c r="C39" s="2634"/>
      <c r="D39" s="2633"/>
      <c r="E39" s="2633"/>
      <c r="AH39" s="2641"/>
      <c r="AI39" s="2641"/>
      <c r="AJ39" s="2633"/>
      <c r="AK39" s="3140"/>
      <c r="AL39" s="3140"/>
    </row>
    <row r="40" spans="1:40">
      <c r="C40" s="2634"/>
      <c r="D40" s="2633"/>
      <c r="E40" s="2633"/>
      <c r="AH40" s="2641"/>
      <c r="AI40" s="2641"/>
      <c r="AJ40" s="2633"/>
      <c r="AK40" s="3140"/>
      <c r="AL40" s="3140"/>
    </row>
    <row r="41" spans="1:40">
      <c r="C41" s="2634"/>
      <c r="D41" s="2633"/>
      <c r="E41" s="2633"/>
      <c r="AH41" s="2641"/>
      <c r="AI41" s="2641"/>
      <c r="AJ41" s="2633"/>
      <c r="AK41" s="3140"/>
      <c r="AL41" s="3140"/>
    </row>
    <row r="42" spans="1:40">
      <c r="C42" s="2634"/>
      <c r="D42" s="2633"/>
      <c r="E42" s="2633"/>
      <c r="AH42" s="2641"/>
      <c r="AI42" s="2641"/>
      <c r="AJ42" s="2633"/>
      <c r="AK42" s="3140"/>
      <c r="AL42" s="3140"/>
    </row>
    <row r="43" spans="1:40">
      <c r="C43" s="2634"/>
      <c r="D43" s="2633"/>
      <c r="E43" s="2633"/>
      <c r="AH43" s="2641"/>
      <c r="AI43" s="2641"/>
      <c r="AJ43" s="2633"/>
      <c r="AK43" s="3140"/>
      <c r="AL43" s="3140"/>
    </row>
    <row r="44" spans="1:40">
      <c r="C44" s="2634"/>
      <c r="D44" s="2633"/>
      <c r="E44" s="2633"/>
      <c r="AG44" s="4188" t="s">
        <v>1010</v>
      </c>
      <c r="AH44" s="4188"/>
      <c r="AI44" s="4188"/>
      <c r="AJ44" s="4188"/>
      <c r="AK44" s="4188"/>
      <c r="AL44" s="4188"/>
      <c r="AM44" s="4188"/>
    </row>
    <row r="45" spans="1:40">
      <c r="C45" s="2634"/>
      <c r="D45" s="2633"/>
      <c r="E45" s="2633"/>
      <c r="AH45" s="2641"/>
      <c r="AI45" s="2641"/>
      <c r="AJ45" s="2633"/>
      <c r="AK45" s="3140"/>
      <c r="AL45" s="3140"/>
    </row>
  </sheetData>
  <mergeCells count="52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29:C29"/>
    <mergeCell ref="D29:F29"/>
    <mergeCell ref="G29:I29"/>
    <mergeCell ref="J29:O29"/>
    <mergeCell ref="P29:V29"/>
    <mergeCell ref="A10:A11"/>
    <mergeCell ref="B10:B11"/>
    <mergeCell ref="C10:C11"/>
    <mergeCell ref="D10:AH10"/>
    <mergeCell ref="AI10:AI11"/>
    <mergeCell ref="AJ10:AJ11"/>
    <mergeCell ref="A31:C31"/>
    <mergeCell ref="D31:F31"/>
    <mergeCell ref="G31:I31"/>
    <mergeCell ref="J31:O31"/>
    <mergeCell ref="P31:V31"/>
    <mergeCell ref="A30:C30"/>
    <mergeCell ref="D30:F30"/>
    <mergeCell ref="G30:I30"/>
    <mergeCell ref="J30:O30"/>
    <mergeCell ref="P30:V30"/>
    <mergeCell ref="A33:C33"/>
    <mergeCell ref="D33:F33"/>
    <mergeCell ref="G33:I33"/>
    <mergeCell ref="J33:O33"/>
    <mergeCell ref="P33:V33"/>
    <mergeCell ref="A32:C32"/>
    <mergeCell ref="D32:F32"/>
    <mergeCell ref="G32:I32"/>
    <mergeCell ref="J32:O32"/>
    <mergeCell ref="P32:V32"/>
    <mergeCell ref="AG44:AM44"/>
    <mergeCell ref="A34:C34"/>
    <mergeCell ref="D34:F34"/>
    <mergeCell ref="G34:I34"/>
    <mergeCell ref="J34:O34"/>
    <mergeCell ref="P34:V34"/>
    <mergeCell ref="AE35:AK35"/>
    <mergeCell ref="O36:V36"/>
    <mergeCell ref="AE36:AK36"/>
    <mergeCell ref="AG37:AM37"/>
    <mergeCell ref="Q38:X38"/>
    <mergeCell ref="AG38:AM3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BF51F4-3927-49C5-9E16-893E40F1AFB0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6"/>
  <sheetViews>
    <sheetView workbookViewId="0">
      <selection activeCell="G27" sqref="G27"/>
    </sheetView>
  </sheetViews>
  <sheetFormatPr defaultRowHeight="14.25"/>
  <cols>
    <col min="1" max="1" width="6.875" customWidth="1"/>
    <col min="2" max="2" width="4.875" customWidth="1"/>
    <col min="5" max="5" width="13.875" customWidth="1"/>
    <col min="7" max="7" width="8.375" customWidth="1"/>
    <col min="9" max="9" width="10" customWidth="1"/>
  </cols>
  <sheetData>
    <row r="1" spans="1:9" ht="16.5">
      <c r="A1" s="4309" t="s">
        <v>165</v>
      </c>
      <c r="B1" s="4309"/>
      <c r="C1" s="4309"/>
      <c r="D1" s="4309"/>
      <c r="E1" s="4309"/>
      <c r="F1" s="4309"/>
      <c r="G1" s="4309"/>
      <c r="H1" s="4309"/>
      <c r="I1" s="4309"/>
    </row>
    <row r="2" spans="1:9" ht="16.5">
      <c r="A2" s="4309" t="s">
        <v>1562</v>
      </c>
      <c r="B2" s="4309"/>
      <c r="C2" s="4309"/>
      <c r="D2" s="4309"/>
      <c r="E2" s="4309"/>
      <c r="F2" s="4309"/>
      <c r="G2" s="4309"/>
      <c r="H2" s="4309"/>
      <c r="I2" s="4309"/>
    </row>
    <row r="3" spans="1:9" ht="16.5">
      <c r="A3" s="3572"/>
      <c r="B3" s="3572"/>
      <c r="C3" s="3572"/>
      <c r="D3" s="3572"/>
      <c r="E3" s="3572"/>
      <c r="F3" s="3572"/>
      <c r="G3" s="3572"/>
      <c r="H3" s="3572"/>
      <c r="I3" s="3572"/>
    </row>
    <row r="4" spans="1:9" ht="16.5">
      <c r="A4" s="3573" t="s">
        <v>727</v>
      </c>
      <c r="B4" s="3573"/>
      <c r="C4" s="3573"/>
      <c r="D4" s="3573"/>
      <c r="E4" s="3573"/>
      <c r="F4" s="3573"/>
      <c r="G4" s="767"/>
      <c r="H4" s="767"/>
      <c r="I4" s="767"/>
    </row>
    <row r="5" spans="1:9" ht="16.5">
      <c r="A5" s="767"/>
      <c r="B5" s="3574" t="s">
        <v>1192</v>
      </c>
      <c r="C5" s="3574"/>
      <c r="D5" s="3574"/>
      <c r="E5" s="3574"/>
      <c r="F5" s="3574"/>
      <c r="G5" s="767"/>
      <c r="H5" s="767"/>
      <c r="I5" s="767"/>
    </row>
    <row r="6" spans="1:9" ht="18.75">
      <c r="A6" s="3575"/>
      <c r="B6" s="3575"/>
      <c r="C6" s="3575"/>
      <c r="D6" s="3575"/>
      <c r="E6" s="3575"/>
      <c r="F6" s="3575"/>
      <c r="G6" s="3575"/>
      <c r="H6" s="3575"/>
      <c r="I6" s="3575"/>
    </row>
    <row r="7" spans="1:9" ht="18.75">
      <c r="A7" s="4310" t="s">
        <v>1855</v>
      </c>
      <c r="B7" s="4310"/>
      <c r="C7" s="4310"/>
      <c r="D7" s="4310"/>
      <c r="E7" s="4310"/>
      <c r="F7" s="4310"/>
      <c r="G7" s="4310"/>
      <c r="H7" s="4310"/>
      <c r="I7" s="4310"/>
    </row>
    <row r="8" spans="1:9" ht="18.75">
      <c r="A8" s="3575"/>
      <c r="B8" s="3575"/>
      <c r="C8" s="3575"/>
      <c r="D8" s="3575"/>
      <c r="E8" s="3575"/>
      <c r="F8" s="3575"/>
      <c r="G8" s="3575"/>
      <c r="H8" s="3575"/>
      <c r="I8" s="3575"/>
    </row>
    <row r="9" spans="1:9" ht="18.75">
      <c r="A9" s="4304" t="s">
        <v>1</v>
      </c>
      <c r="B9" s="4306"/>
      <c r="C9" s="4304" t="s">
        <v>509</v>
      </c>
      <c r="D9" s="4306"/>
      <c r="E9" s="3576" t="s">
        <v>543</v>
      </c>
      <c r="F9" s="4304" t="s">
        <v>27</v>
      </c>
      <c r="G9" s="4306"/>
      <c r="H9" s="4304" t="s">
        <v>1563</v>
      </c>
      <c r="I9" s="4306"/>
    </row>
    <row r="10" spans="1:9" ht="18.75">
      <c r="A10" s="4300">
        <v>1</v>
      </c>
      <c r="B10" s="4301"/>
      <c r="C10" s="4300" t="s">
        <v>101</v>
      </c>
      <c r="D10" s="4301"/>
      <c r="E10" s="3577" t="s">
        <v>654</v>
      </c>
      <c r="F10" s="4302">
        <v>1700000</v>
      </c>
      <c r="G10" s="4303"/>
      <c r="H10" s="4302">
        <v>20000</v>
      </c>
      <c r="I10" s="4303"/>
    </row>
    <row r="11" spans="1:9" ht="18.75">
      <c r="A11" s="4304" t="s">
        <v>688</v>
      </c>
      <c r="B11" s="4305"/>
      <c r="C11" s="4305"/>
      <c r="D11" s="4306"/>
      <c r="E11" s="3578"/>
      <c r="F11" s="4307">
        <f>SUM(F10:G10)</f>
        <v>1700000</v>
      </c>
      <c r="G11" s="4308"/>
      <c r="H11" s="4307">
        <f>SUM(H10:I10)</f>
        <v>20000</v>
      </c>
      <c r="I11" s="4308"/>
    </row>
    <row r="12" spans="1:9" ht="18.75">
      <c r="A12" s="3575"/>
      <c r="B12" s="3575"/>
      <c r="C12" s="3575"/>
      <c r="D12" s="3575"/>
      <c r="E12" s="3575"/>
      <c r="F12" s="3575"/>
      <c r="G12" s="3575"/>
      <c r="H12" s="3575"/>
      <c r="I12" s="3575"/>
    </row>
    <row r="13" spans="1:9" ht="18.75">
      <c r="A13" s="4297" t="s">
        <v>1856</v>
      </c>
      <c r="B13" s="4297"/>
      <c r="C13" s="4297"/>
      <c r="D13" s="4297"/>
      <c r="E13" s="4297"/>
      <c r="F13" s="4297"/>
      <c r="G13" s="4297"/>
      <c r="H13" s="4297"/>
      <c r="I13" s="4297"/>
    </row>
    <row r="14" spans="1:9" ht="18.75">
      <c r="A14" s="3575"/>
      <c r="B14" s="3575"/>
      <c r="C14" s="3575"/>
      <c r="D14" s="3575"/>
      <c r="E14" s="3575"/>
      <c r="F14" s="4298" t="s">
        <v>1915</v>
      </c>
      <c r="G14" s="4298"/>
      <c r="H14" s="4298"/>
      <c r="I14" s="4298"/>
    </row>
    <row r="15" spans="1:9" ht="18.75">
      <c r="A15" s="3575"/>
      <c r="B15" s="3575"/>
      <c r="C15" s="3575"/>
      <c r="D15" s="3575"/>
      <c r="E15" s="3575"/>
      <c r="F15" s="3575"/>
      <c r="G15" s="3575"/>
      <c r="H15" s="3575"/>
      <c r="I15" s="3575"/>
    </row>
    <row r="16" spans="1:9" ht="16.5">
      <c r="A16" s="4299" t="s">
        <v>613</v>
      </c>
      <c r="B16" s="4299"/>
      <c r="C16" s="4299"/>
      <c r="D16" s="4299"/>
      <c r="E16" s="4299" t="s">
        <v>257</v>
      </c>
      <c r="F16" s="4299"/>
      <c r="G16" s="4299" t="s">
        <v>615</v>
      </c>
      <c r="H16" s="4299"/>
      <c r="I16" s="4299"/>
    </row>
  </sheetData>
  <mergeCells count="19">
    <mergeCell ref="A1:I1"/>
    <mergeCell ref="A2:I2"/>
    <mergeCell ref="A7:I7"/>
    <mergeCell ref="A9:B9"/>
    <mergeCell ref="C9:D9"/>
    <mergeCell ref="F9:G9"/>
    <mergeCell ref="H9:I9"/>
    <mergeCell ref="A10:B10"/>
    <mergeCell ref="C10:D10"/>
    <mergeCell ref="F10:G10"/>
    <mergeCell ref="H10:I10"/>
    <mergeCell ref="A11:D11"/>
    <mergeCell ref="F11:G11"/>
    <mergeCell ref="H11:I11"/>
    <mergeCell ref="A13:I13"/>
    <mergeCell ref="F14:I14"/>
    <mergeCell ref="A16:D16"/>
    <mergeCell ref="E16:F16"/>
    <mergeCell ref="G16:I1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A100"/>
  <sheetViews>
    <sheetView zoomScale="70" zoomScaleNormal="70" workbookViewId="0">
      <pane ySplit="11" topLeftCell="A36" activePane="bottomLeft" state="frozen"/>
      <selection pane="bottomLeft" activeCell="S97" sqref="S97"/>
    </sheetView>
  </sheetViews>
  <sheetFormatPr defaultColWidth="9.375" defaultRowHeight="16.5"/>
  <cols>
    <col min="1" max="1" width="9.375" style="3879"/>
    <col min="2" max="2" width="7.875" style="156" customWidth="1"/>
    <col min="3" max="3" width="21.75" style="697" customWidth="1"/>
    <col min="4" max="4" width="8.375" style="831" hidden="1" customWidth="1"/>
    <col min="5" max="6" width="9.75" style="831" hidden="1" customWidth="1"/>
    <col min="7" max="7" width="11.75" style="156" hidden="1" customWidth="1"/>
    <col min="8" max="8" width="10.75" style="697" hidden="1" customWidth="1"/>
    <col min="9" max="9" width="11.875" style="836" hidden="1" customWidth="1"/>
    <col min="10" max="10" width="11.875" style="836" customWidth="1"/>
    <col min="11" max="11" width="12.75" style="836" customWidth="1"/>
    <col min="12" max="12" width="11.375" style="836" customWidth="1"/>
    <col min="13" max="13" width="11.875" style="836" hidden="1" customWidth="1"/>
    <col min="14" max="14" width="8.125" style="836" hidden="1" customWidth="1"/>
    <col min="15" max="15" width="9" style="836" hidden="1" customWidth="1"/>
    <col min="16" max="17" width="9.75" style="836" hidden="1" customWidth="1"/>
    <col min="18" max="18" width="14.375" style="843" customWidth="1"/>
    <col min="19" max="19" width="14.625" style="843" customWidth="1"/>
    <col min="20" max="20" width="2" style="838" hidden="1" customWidth="1"/>
    <col min="21" max="21" width="12.75" style="1572" customWidth="1"/>
    <col min="22" max="22" width="11.125" style="838" customWidth="1"/>
    <col min="23" max="25" width="9.375" style="838" customWidth="1"/>
    <col min="26" max="26" width="9.375" style="838" hidden="1" customWidth="1"/>
    <col min="27" max="27" width="19.375" style="838" customWidth="1"/>
    <col min="28" max="28" width="16.375" style="697" customWidth="1"/>
    <col min="29" max="31" width="9.375" style="697"/>
    <col min="32" max="32" width="16" style="697" bestFit="1" customWidth="1"/>
    <col min="33" max="33" width="11.375" style="697" customWidth="1"/>
    <col min="34" max="34" width="15" style="697" customWidth="1"/>
    <col min="35" max="35" width="15.375" style="697" customWidth="1"/>
    <col min="36" max="36" width="19.875" style="697" customWidth="1"/>
    <col min="37" max="16384" width="9.375" style="697"/>
  </cols>
  <sheetData>
    <row r="1" spans="1:53">
      <c r="A1" s="3879">
        <v>1</v>
      </c>
      <c r="B1" s="156">
        <v>2</v>
      </c>
      <c r="C1" s="3879">
        <v>3</v>
      </c>
      <c r="D1" s="156">
        <v>4</v>
      </c>
      <c r="E1" s="3879">
        <v>5</v>
      </c>
      <c r="F1" s="156">
        <v>6</v>
      </c>
      <c r="G1" s="3879">
        <v>7</v>
      </c>
      <c r="H1" s="156">
        <v>8</v>
      </c>
      <c r="I1" s="3879">
        <v>9</v>
      </c>
      <c r="J1" s="156">
        <v>10</v>
      </c>
      <c r="K1" s="3879">
        <v>11</v>
      </c>
      <c r="L1" s="156">
        <v>12</v>
      </c>
      <c r="M1" s="3879">
        <v>13</v>
      </c>
      <c r="N1" s="156">
        <v>14</v>
      </c>
      <c r="O1" s="3879">
        <v>15</v>
      </c>
      <c r="P1" s="156">
        <v>16</v>
      </c>
      <c r="Q1" s="156"/>
      <c r="R1" s="3879">
        <v>17</v>
      </c>
    </row>
    <row r="2" spans="1:53" s="815" customFormat="1" ht="24.75" customHeight="1">
      <c r="A2" s="3945" t="s">
        <v>165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  <c r="O2" s="3945"/>
      <c r="P2" s="3945"/>
      <c r="Q2" s="3945"/>
      <c r="R2" s="3945"/>
      <c r="S2" s="3945"/>
      <c r="T2" s="3945"/>
      <c r="U2" s="3945"/>
      <c r="V2" s="3945"/>
      <c r="W2" s="3945"/>
      <c r="X2" s="3945"/>
      <c r="Y2" s="3945"/>
      <c r="Z2" s="3945"/>
      <c r="AA2" s="3945"/>
      <c r="AB2" s="3945"/>
    </row>
    <row r="3" spans="1:53" ht="21.75" customHeight="1">
      <c r="A3" s="3945" t="s">
        <v>171</v>
      </c>
      <c r="B3" s="3945"/>
      <c r="C3" s="3945"/>
      <c r="D3" s="3945"/>
      <c r="E3" s="3945"/>
      <c r="F3" s="3945"/>
      <c r="G3" s="3945"/>
      <c r="H3" s="3945"/>
      <c r="I3" s="3945"/>
      <c r="J3" s="3945"/>
      <c r="K3" s="3945"/>
      <c r="L3" s="3945"/>
      <c r="M3" s="3945"/>
      <c r="N3" s="3945"/>
      <c r="O3" s="3945"/>
      <c r="P3" s="3945"/>
      <c r="Q3" s="3945"/>
      <c r="R3" s="3945"/>
      <c r="S3" s="3945"/>
      <c r="T3" s="3945"/>
      <c r="U3" s="3945"/>
      <c r="V3" s="3945"/>
      <c r="W3" s="3945"/>
      <c r="X3" s="3945"/>
      <c r="Y3" s="3945"/>
      <c r="Z3" s="3945"/>
      <c r="AA3" s="3945"/>
      <c r="AB3" s="3945"/>
    </row>
    <row r="4" spans="1:53" ht="21.75" customHeight="1">
      <c r="C4" s="2418"/>
      <c r="D4" s="2418"/>
      <c r="E4" s="2418"/>
      <c r="F4" s="2418"/>
      <c r="G4" s="2418"/>
      <c r="H4" s="2418"/>
      <c r="I4" s="2418"/>
      <c r="J4" s="2418"/>
      <c r="K4" s="2418"/>
      <c r="N4" s="2418"/>
      <c r="O4" s="2418"/>
      <c r="P4" s="2418"/>
      <c r="Q4" s="2418"/>
      <c r="R4" s="2418"/>
      <c r="S4" s="4094" t="s">
        <v>726</v>
      </c>
      <c r="T4" s="4094"/>
      <c r="U4" s="2418"/>
      <c r="V4" s="2418"/>
      <c r="W4" s="2418"/>
      <c r="X4" s="2418"/>
      <c r="Y4" s="2418"/>
      <c r="Z4" s="2418"/>
      <c r="AA4" s="2418"/>
      <c r="AB4" s="2418"/>
      <c r="AC4" s="2418"/>
      <c r="AD4" s="2418"/>
      <c r="AE4" s="2418"/>
      <c r="AF4" s="2418"/>
      <c r="AG4" s="2418"/>
      <c r="AH4" s="2418"/>
      <c r="AI4" s="2418"/>
      <c r="AJ4" s="2418"/>
      <c r="AK4" s="2418"/>
      <c r="AL4" s="2418"/>
      <c r="AM4" s="2418"/>
      <c r="AN4" s="2418"/>
      <c r="AO4" s="2418"/>
      <c r="AP4" s="2418"/>
      <c r="AQ4" s="2418"/>
      <c r="AR4" s="2418"/>
      <c r="AS4" s="2418"/>
      <c r="AT4" s="2418"/>
      <c r="AU4" s="2418"/>
      <c r="AV4" s="2418"/>
      <c r="AW4" s="2418"/>
      <c r="AX4" s="2418"/>
      <c r="AY4" s="2418"/>
      <c r="AZ4" s="2418"/>
      <c r="BA4" s="2418"/>
    </row>
    <row r="5" spans="1:53" ht="21.75" customHeight="1">
      <c r="A5" s="1532" t="s">
        <v>574</v>
      </c>
      <c r="B5" s="3862"/>
      <c r="C5" s="3862"/>
      <c r="D5" s="3862"/>
      <c r="E5" s="3862"/>
      <c r="F5" s="3862"/>
      <c r="G5" s="3862"/>
      <c r="H5" s="3862"/>
      <c r="I5" s="3862"/>
      <c r="J5" s="3862"/>
      <c r="K5" s="3862"/>
      <c r="L5" s="156"/>
      <c r="M5" s="156"/>
      <c r="N5" s="156"/>
      <c r="O5" s="156"/>
      <c r="P5" s="156"/>
      <c r="Q5" s="156"/>
      <c r="R5" s="3862"/>
      <c r="S5" s="3862"/>
      <c r="T5" s="3862"/>
      <c r="U5" s="3862"/>
      <c r="V5" s="3862"/>
      <c r="W5" s="3862"/>
      <c r="X5" s="3862"/>
      <c r="Y5" s="3862"/>
      <c r="Z5" s="3862"/>
      <c r="AA5" s="3862"/>
      <c r="AB5" s="3862"/>
    </row>
    <row r="6" spans="1:53">
      <c r="A6" s="1533" t="s">
        <v>541</v>
      </c>
      <c r="B6" s="3862"/>
      <c r="C6" s="3862"/>
      <c r="D6" s="3862"/>
      <c r="E6" s="3862"/>
      <c r="F6" s="3862"/>
      <c r="G6" s="3862"/>
      <c r="H6" s="3862"/>
      <c r="I6" s="3862"/>
      <c r="J6" s="3862"/>
      <c r="K6" s="3862"/>
      <c r="L6" s="156"/>
      <c r="M6" s="156"/>
      <c r="N6" s="156"/>
      <c r="O6" s="156"/>
      <c r="P6" s="156"/>
      <c r="Q6" s="156"/>
      <c r="R6" s="3862"/>
      <c r="S6" s="3862"/>
      <c r="T6" s="3862"/>
      <c r="U6" s="3862"/>
      <c r="V6" s="3862"/>
      <c r="W6" s="3862"/>
      <c r="X6" s="3862"/>
      <c r="Y6" s="3862"/>
      <c r="Z6" s="3862"/>
      <c r="AA6" s="3862"/>
      <c r="AB6" s="3862"/>
    </row>
    <row r="7" spans="1:53">
      <c r="B7" s="816"/>
      <c r="C7" s="816"/>
      <c r="D7" s="817"/>
      <c r="E7" s="817"/>
      <c r="F7" s="817"/>
      <c r="G7" s="3862"/>
      <c r="H7" s="157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1569"/>
      <c r="V7" s="816"/>
      <c r="W7" s="816"/>
      <c r="X7" s="816"/>
      <c r="Y7" s="816"/>
      <c r="Z7" s="816"/>
      <c r="AA7" s="816"/>
      <c r="AB7" s="816"/>
    </row>
    <row r="8" spans="1:53" ht="2.25" customHeight="1">
      <c r="B8" s="3951" t="s">
        <v>1170</v>
      </c>
      <c r="C8" s="3951"/>
      <c r="D8" s="3951"/>
      <c r="E8" s="3951"/>
      <c r="F8" s="3951"/>
      <c r="G8" s="3951"/>
      <c r="H8" s="3951"/>
      <c r="I8" s="3951"/>
      <c r="J8" s="3951"/>
      <c r="K8" s="3951"/>
      <c r="L8" s="3951"/>
      <c r="M8" s="3951"/>
      <c r="N8" s="3951"/>
      <c r="O8" s="3951"/>
      <c r="P8" s="3951"/>
      <c r="Q8" s="3951"/>
      <c r="R8" s="3951"/>
      <c r="S8" s="3951"/>
      <c r="T8" s="3951"/>
      <c r="U8" s="3951"/>
      <c r="V8" s="3951"/>
      <c r="W8" s="3951"/>
      <c r="X8" s="3951"/>
      <c r="Y8" s="3951"/>
      <c r="Z8" s="3951"/>
      <c r="AA8" s="3951"/>
      <c r="AB8" s="3951"/>
    </row>
    <row r="9" spans="1:53" ht="24.75" customHeight="1">
      <c r="B9" s="3862"/>
      <c r="C9" s="3862"/>
      <c r="D9" s="817"/>
      <c r="E9" s="817"/>
      <c r="F9" s="817"/>
      <c r="G9" s="3862"/>
      <c r="H9" s="3862"/>
      <c r="I9" s="818"/>
      <c r="J9" s="818"/>
      <c r="K9" s="818"/>
      <c r="L9" s="818"/>
      <c r="M9" s="818"/>
      <c r="N9" s="818"/>
      <c r="O9" s="818"/>
      <c r="P9" s="818"/>
      <c r="Q9" s="818"/>
      <c r="R9" s="3876"/>
      <c r="S9" s="3876"/>
      <c r="T9" s="3876"/>
      <c r="U9" s="1570"/>
      <c r="V9" s="3876"/>
      <c r="W9" s="3876"/>
      <c r="X9" s="3876"/>
      <c r="Y9" s="3876"/>
      <c r="Z9" s="3876"/>
      <c r="AA9" s="3876"/>
      <c r="AB9" s="3862"/>
    </row>
    <row r="10" spans="1:53" s="714" customFormat="1" ht="45" customHeight="1">
      <c r="A10" s="4311" t="s">
        <v>1</v>
      </c>
      <c r="B10" s="4132" t="s">
        <v>1</v>
      </c>
      <c r="C10" s="4326" t="s">
        <v>318</v>
      </c>
      <c r="D10" s="4314" t="s">
        <v>333</v>
      </c>
      <c r="E10" s="4315"/>
      <c r="F10" s="4315"/>
      <c r="G10" s="4315"/>
      <c r="H10" s="4315"/>
      <c r="I10" s="4315"/>
      <c r="J10" s="4315"/>
      <c r="K10" s="4315"/>
      <c r="L10" s="4315"/>
      <c r="M10" s="4315"/>
      <c r="N10" s="4315"/>
      <c r="O10" s="4315"/>
      <c r="P10" s="4315"/>
      <c r="Q10" s="4315"/>
      <c r="R10" s="4315"/>
      <c r="S10" s="4315"/>
      <c r="T10" s="4315"/>
      <c r="U10" s="4315"/>
      <c r="V10" s="4315"/>
      <c r="W10" s="4315"/>
      <c r="X10" s="4315"/>
      <c r="Y10" s="4315"/>
      <c r="Z10" s="4315"/>
      <c r="AA10" s="4316"/>
      <c r="AB10" s="3874"/>
      <c r="AC10" s="697"/>
      <c r="AD10" s="697"/>
      <c r="AE10" s="697"/>
      <c r="AF10" s="697"/>
      <c r="AG10" s="697"/>
      <c r="AH10" s="697"/>
      <c r="AI10" s="697"/>
      <c r="AJ10" s="697"/>
      <c r="AK10" s="697"/>
      <c r="AL10" s="697"/>
      <c r="AM10" s="697"/>
      <c r="AN10" s="697"/>
      <c r="AO10" s="697"/>
      <c r="AP10" s="697"/>
      <c r="AQ10" s="697"/>
      <c r="AR10" s="697"/>
      <c r="AS10" s="697"/>
      <c r="AT10" s="697"/>
      <c r="AU10" s="697"/>
      <c r="AV10" s="697"/>
      <c r="AW10" s="697"/>
      <c r="AX10" s="697"/>
      <c r="AY10" s="697"/>
      <c r="AZ10" s="697"/>
      <c r="BA10" s="697"/>
    </row>
    <row r="11" spans="1:53" s="1644" customFormat="1" ht="93.75" customHeight="1">
      <c r="A11" s="4312"/>
      <c r="B11" s="4133"/>
      <c r="C11" s="4327"/>
      <c r="D11" s="820"/>
      <c r="E11" s="3874" t="s">
        <v>1202</v>
      </c>
      <c r="F11" s="3874" t="s">
        <v>1060</v>
      </c>
      <c r="G11" s="3874" t="s">
        <v>1061</v>
      </c>
      <c r="H11" s="3874" t="s">
        <v>976</v>
      </c>
      <c r="I11" s="3877" t="s">
        <v>1684</v>
      </c>
      <c r="J11" s="3877" t="s">
        <v>1880</v>
      </c>
      <c r="K11" s="3877" t="s">
        <v>221</v>
      </c>
      <c r="L11" s="3877" t="s">
        <v>1881</v>
      </c>
      <c r="M11" s="3877"/>
      <c r="N11" s="3877" t="s">
        <v>969</v>
      </c>
      <c r="O11" s="822"/>
      <c r="P11" s="822"/>
      <c r="Q11" s="822" t="s">
        <v>1546</v>
      </c>
      <c r="R11" s="822" t="s">
        <v>47</v>
      </c>
      <c r="S11" s="822" t="s">
        <v>49</v>
      </c>
      <c r="T11" s="822" t="s">
        <v>660</v>
      </c>
      <c r="U11" s="1571" t="s">
        <v>48</v>
      </c>
      <c r="V11" s="3878" t="s">
        <v>50</v>
      </c>
      <c r="W11" s="3878" t="s">
        <v>1008</v>
      </c>
      <c r="X11" s="3878" t="s">
        <v>970</v>
      </c>
      <c r="Y11" s="3878" t="s">
        <v>971</v>
      </c>
      <c r="Z11" s="3878" t="s">
        <v>808</v>
      </c>
      <c r="AA11" s="3878" t="s">
        <v>54</v>
      </c>
      <c r="AB11" s="3874" t="s">
        <v>51</v>
      </c>
      <c r="AC11" s="714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</row>
    <row r="12" spans="1:53" s="824" customFormat="1" ht="18" customHeight="1">
      <c r="A12" s="2271" t="s">
        <v>52</v>
      </c>
      <c r="B12" s="4319" t="s">
        <v>321</v>
      </c>
      <c r="C12" s="4320"/>
      <c r="D12" s="2240"/>
      <c r="E12" s="2242">
        <f t="shared" ref="E12:Z12" si="0">SUM(E13:E50)</f>
        <v>0</v>
      </c>
      <c r="F12" s="2242">
        <f t="shared" si="0"/>
        <v>0</v>
      </c>
      <c r="G12" s="2242">
        <f>SUM(G13:G50)</f>
        <v>0</v>
      </c>
      <c r="H12" s="2242">
        <f t="shared" si="0"/>
        <v>0</v>
      </c>
      <c r="I12" s="2242">
        <f t="shared" si="0"/>
        <v>0</v>
      </c>
      <c r="J12" s="2242">
        <f t="shared" si="0"/>
        <v>1140</v>
      </c>
      <c r="K12" s="2242">
        <f t="shared" si="0"/>
        <v>592</v>
      </c>
      <c r="L12" s="2242">
        <f t="shared" si="0"/>
        <v>24</v>
      </c>
      <c r="M12" s="2242">
        <f t="shared" si="0"/>
        <v>0</v>
      </c>
      <c r="N12" s="2242">
        <f t="shared" si="0"/>
        <v>0</v>
      </c>
      <c r="O12" s="2242">
        <f t="shared" si="0"/>
        <v>0</v>
      </c>
      <c r="P12" s="2242">
        <f t="shared" si="0"/>
        <v>0</v>
      </c>
      <c r="Q12" s="2242">
        <f t="shared" si="0"/>
        <v>0</v>
      </c>
      <c r="R12" s="2242">
        <f>SUM(R13:R50)</f>
        <v>1756</v>
      </c>
      <c r="S12" s="2242">
        <f t="shared" si="0"/>
        <v>6078</v>
      </c>
      <c r="T12" s="2242">
        <f t="shared" si="0"/>
        <v>0</v>
      </c>
      <c r="U12" s="2242">
        <f t="shared" si="0"/>
        <v>3295.6709999999989</v>
      </c>
      <c r="V12" s="2242">
        <f t="shared" si="0"/>
        <v>531</v>
      </c>
      <c r="W12" s="2242">
        <f t="shared" si="0"/>
        <v>108</v>
      </c>
      <c r="X12" s="2242">
        <f t="shared" si="0"/>
        <v>5</v>
      </c>
      <c r="Y12" s="2242">
        <f t="shared" si="0"/>
        <v>1</v>
      </c>
      <c r="Z12" s="2242">
        <f t="shared" si="0"/>
        <v>0</v>
      </c>
      <c r="AA12" s="2243"/>
      <c r="AB12" s="2241"/>
      <c r="AC12" s="1644"/>
      <c r="AD12" s="1644"/>
      <c r="AE12" s="1644"/>
      <c r="AF12" s="1644"/>
      <c r="AG12" s="1644"/>
      <c r="AH12" s="1644"/>
      <c r="AI12" s="1644"/>
      <c r="AJ12" s="1644"/>
      <c r="AK12" s="1644"/>
      <c r="AL12" s="1644"/>
      <c r="AM12" s="1644"/>
      <c r="AN12" s="1644"/>
      <c r="AO12" s="1644"/>
      <c r="AP12" s="1644"/>
      <c r="AQ12" s="1644"/>
      <c r="AR12" s="1644"/>
      <c r="AS12" s="1644"/>
      <c r="AT12" s="1644"/>
      <c r="AU12" s="1644"/>
      <c r="AV12" s="1644"/>
      <c r="AW12" s="1644"/>
      <c r="AX12" s="1644"/>
      <c r="AY12" s="1644"/>
      <c r="AZ12" s="1644"/>
      <c r="BA12" s="1644"/>
    </row>
    <row r="13" spans="1:53" s="824" customFormat="1" ht="18" customHeight="1">
      <c r="A13" s="2272">
        <v>1</v>
      </c>
      <c r="B13" s="2237">
        <v>1</v>
      </c>
      <c r="C13" s="1611" t="str">
        <f>'Chấm công công nhân'!L13</f>
        <v>Vắt Đi</v>
      </c>
      <c r="D13" s="2244"/>
      <c r="E13" s="2245"/>
      <c r="F13" s="2245"/>
      <c r="G13" s="2245"/>
      <c r="H13" s="2245"/>
      <c r="I13" s="2246">
        <f>'kt1'!H14</f>
        <v>0</v>
      </c>
      <c r="J13" s="2289">
        <f>VLOOKUP(C13,'xã miệng cạo cũ t1'!B14:H50,7,0)+VLOOKUP(C13,'xã miệng cạo mới t1'!B14:H50,7,0)</f>
        <v>30</v>
      </c>
      <c r="K13" s="2554">
        <f>VLOOKUP(C13,'Trang bị t1'!B14:H50,7,0)</f>
        <v>16</v>
      </c>
      <c r="L13" s="2289"/>
      <c r="M13" s="2289"/>
      <c r="N13" s="2247"/>
      <c r="O13" s="2247"/>
      <c r="P13" s="2247"/>
      <c r="Q13" s="2247"/>
      <c r="R13" s="2248">
        <f>SUM(J13:L13)</f>
        <v>46</v>
      </c>
      <c r="S13" s="2249">
        <f>VLOOKUP(C13,Mủ!C13:AI48,33,0)</f>
        <v>0</v>
      </c>
      <c r="T13" s="2250"/>
      <c r="U13" s="2249">
        <f>VLOOKUP(C13,Mủ!C13:AJ48,34,0)</f>
        <v>0</v>
      </c>
      <c r="V13" s="2252">
        <f>VLOOKUP(C13,'Chấm công công nhân'!L12:AR13,33,0)</f>
        <v>11</v>
      </c>
      <c r="W13" s="2252">
        <f>VLOOKUP(C13,'Chấm công công nhân'!L13:AS81,34,0)</f>
        <v>3</v>
      </c>
      <c r="X13" s="2252">
        <f>VLOOKUP(C13,'Chấm công công nhân'!L13:AT47,35,0)</f>
        <v>0</v>
      </c>
      <c r="Y13" s="2252">
        <f>VLOOKUP(C13,'Chấm công công nhân'!L13:AU81,36,0)</f>
        <v>0</v>
      </c>
      <c r="Z13" s="2252"/>
      <c r="AA13" s="2252" t="str">
        <f>VLOOKUP(C13,'Kỷ thuật'!C11:M11,11,0)</f>
        <v>A</v>
      </c>
      <c r="AB13" s="2253"/>
    </row>
    <row r="14" spans="1:53" s="824" customFormat="1" ht="18" customHeight="1">
      <c r="A14" s="2272">
        <v>2</v>
      </c>
      <c r="B14" s="2237">
        <v>2</v>
      </c>
      <c r="C14" s="1611" t="str">
        <f>'Chấm công công nhân'!L14</f>
        <v>Mẹ Leo</v>
      </c>
      <c r="D14" s="2244"/>
      <c r="E14" s="2245"/>
      <c r="F14" s="2245"/>
      <c r="G14" s="2245"/>
      <c r="H14" s="2245"/>
      <c r="I14" s="2246">
        <f>'kt1'!H15</f>
        <v>0</v>
      </c>
      <c r="J14" s="2289">
        <f>VLOOKUP(C14,'xã miệng cạo cũ t1'!B15:H51,7,0)+VLOOKUP(C14,'xã miệng cạo mới t1'!B15:H51,7,0)</f>
        <v>30</v>
      </c>
      <c r="K14" s="2554">
        <f>VLOOKUP(C14,'Trang bị t1'!B15:H51,7,0)</f>
        <v>16</v>
      </c>
      <c r="L14" s="2289"/>
      <c r="M14" s="2289"/>
      <c r="N14" s="2247"/>
      <c r="O14" s="2247"/>
      <c r="P14" s="2247"/>
      <c r="Q14" s="2247"/>
      <c r="R14" s="2248">
        <f t="shared" ref="R14:R50" si="1">SUM(J14:L14)</f>
        <v>46</v>
      </c>
      <c r="S14" s="2249">
        <f>VLOOKUP(C14,Mủ!C14:AI49,33,0)</f>
        <v>346</v>
      </c>
      <c r="T14" s="2250"/>
      <c r="U14" s="2249">
        <f>VLOOKUP(C14,Mủ!C14:AJ49,34,0)</f>
        <v>187.61141263573541</v>
      </c>
      <c r="V14" s="2252">
        <f>VLOOKUP(C14,'Chấm công công nhân'!L13:AR14,33,0)</f>
        <v>19</v>
      </c>
      <c r="W14" s="2252">
        <f>VLOOKUP(C14,'Chấm công công nhân'!L14:AS82,34,0)</f>
        <v>4</v>
      </c>
      <c r="X14" s="2252">
        <f>VLOOKUP(C14,'Chấm công công nhân'!L14:AT48,35,0)</f>
        <v>0</v>
      </c>
      <c r="Y14" s="2252">
        <f>VLOOKUP(C14,'Chấm công công nhân'!L14:AU82,36,0)</f>
        <v>0</v>
      </c>
      <c r="Z14" s="2252"/>
      <c r="AA14" s="2252" t="str">
        <f>VLOOKUP(C14,'Kỷ thuật'!C12:M12,11,0)</f>
        <v>B</v>
      </c>
      <c r="AB14" s="2253"/>
    </row>
    <row r="15" spans="1:53" s="824" customFormat="1" ht="18" customHeight="1">
      <c r="A15" s="2272">
        <v>3</v>
      </c>
      <c r="B15" s="2237">
        <v>3</v>
      </c>
      <c r="C15" s="1611" t="str">
        <f>'Chấm công công nhân'!L15</f>
        <v xml:space="preserve">Thảo Ken </v>
      </c>
      <c r="D15" s="2244"/>
      <c r="E15" s="2245"/>
      <c r="F15" s="2245"/>
      <c r="G15" s="2245"/>
      <c r="H15" s="2245"/>
      <c r="I15" s="2246">
        <f>'kt1'!H16</f>
        <v>0</v>
      </c>
      <c r="J15" s="2289">
        <f>VLOOKUP(C15,'xã miệng cạo cũ t1'!B16:H52,7,0)+VLOOKUP(C15,'xã miệng cạo mới t1'!B16:H52,7,0)</f>
        <v>30</v>
      </c>
      <c r="K15" s="2554">
        <f>VLOOKUP(C15,'Trang bị t1'!B16:H52,7,0)</f>
        <v>16</v>
      </c>
      <c r="L15" s="2289"/>
      <c r="M15" s="2289"/>
      <c r="N15" s="2247"/>
      <c r="O15" s="2247"/>
      <c r="P15" s="2247"/>
      <c r="Q15" s="2247"/>
      <c r="R15" s="2248">
        <f t="shared" si="1"/>
        <v>46</v>
      </c>
      <c r="S15" s="2249">
        <f>VLOOKUP(C15,Mủ!C15:AI50,33,0)</f>
        <v>0</v>
      </c>
      <c r="T15" s="2250"/>
      <c r="U15" s="2249">
        <f>VLOOKUP(C15,Mủ!C15:AJ50,34,0)</f>
        <v>0</v>
      </c>
      <c r="V15" s="2252">
        <f>VLOOKUP(C15,'Chấm công công nhân'!L14:AR15,33,0)</f>
        <v>12</v>
      </c>
      <c r="W15" s="2252">
        <f>VLOOKUP(C15,'Chấm công công nhân'!L15:AS83,34,0)</f>
        <v>3</v>
      </c>
      <c r="X15" s="2252">
        <f>VLOOKUP(C15,'Chấm công công nhân'!L15:AT49,35,0)</f>
        <v>0</v>
      </c>
      <c r="Y15" s="2252">
        <f>VLOOKUP(C15,'Chấm công công nhân'!L15:AU83,36,0)</f>
        <v>0</v>
      </c>
      <c r="Z15" s="2252"/>
      <c r="AA15" s="2252" t="str">
        <f>VLOOKUP(C15,'Kỷ thuật'!C13:M13,11,0)</f>
        <v>A</v>
      </c>
      <c r="AB15" s="2253"/>
    </row>
    <row r="16" spans="1:53" s="824" customFormat="1" ht="18" customHeight="1">
      <c r="A16" s="2272">
        <v>4</v>
      </c>
      <c r="B16" s="2237">
        <v>4</v>
      </c>
      <c r="C16" s="1611" t="str">
        <f>'Chấm công công nhân'!L16</f>
        <v>Thảo Phút</v>
      </c>
      <c r="D16" s="2244"/>
      <c r="E16" s="2245"/>
      <c r="F16" s="2245"/>
      <c r="G16" s="2245"/>
      <c r="H16" s="2245"/>
      <c r="I16" s="2246">
        <f>'kt1'!H17</f>
        <v>0</v>
      </c>
      <c r="J16" s="2289">
        <f>VLOOKUP(C16,'xã miệng cạo cũ t1'!B17:H53,7,0)+VLOOKUP(C16,'xã miệng cạo mới t1'!B17:H53,7,0)</f>
        <v>30</v>
      </c>
      <c r="K16" s="2554">
        <f>VLOOKUP(C16,'Trang bị t1'!B17:H53,7,0)</f>
        <v>16</v>
      </c>
      <c r="L16" s="2289"/>
      <c r="M16" s="2289"/>
      <c r="N16" s="2247"/>
      <c r="O16" s="2247"/>
      <c r="P16" s="2247"/>
      <c r="Q16" s="2247"/>
      <c r="R16" s="2248">
        <f t="shared" si="1"/>
        <v>46</v>
      </c>
      <c r="S16" s="2249">
        <f>VLOOKUP(C16,Mủ!C16:AI51,33,0)</f>
        <v>318</v>
      </c>
      <c r="T16" s="2250"/>
      <c r="U16" s="2249">
        <f>VLOOKUP(C16,Mủ!C16:AJ51,34,0)</f>
        <v>172.42898617966432</v>
      </c>
      <c r="V16" s="2252">
        <f>VLOOKUP(C16,'Chấm công công nhân'!L15:AR16,33,0)</f>
        <v>21</v>
      </c>
      <c r="W16" s="2252">
        <f>VLOOKUP(C16,'Chấm công công nhân'!L16:AS84,34,0)</f>
        <v>4</v>
      </c>
      <c r="X16" s="2252">
        <f>VLOOKUP(C16,'Chấm công công nhân'!L16:AT50,35,0)</f>
        <v>0</v>
      </c>
      <c r="Y16" s="2252">
        <f>VLOOKUP(C16,'Chấm công công nhân'!L16:AU84,36,0)</f>
        <v>0</v>
      </c>
      <c r="Z16" s="2252"/>
      <c r="AA16" s="2252" t="str">
        <f>VLOOKUP(C16,'Kỷ thuật'!C14:M14,11,0)</f>
        <v>A</v>
      </c>
      <c r="AB16" s="2253"/>
    </row>
    <row r="17" spans="1:28" s="824" customFormat="1" ht="18" customHeight="1">
      <c r="A17" s="2272">
        <v>5</v>
      </c>
      <c r="B17" s="2237">
        <v>5</v>
      </c>
      <c r="C17" s="1611" t="str">
        <f>'Chấm công công nhân'!L17</f>
        <v>Thảo Mằn</v>
      </c>
      <c r="D17" s="2244"/>
      <c r="E17" s="2245"/>
      <c r="F17" s="2245"/>
      <c r="G17" s="2245"/>
      <c r="H17" s="2245"/>
      <c r="I17" s="2246">
        <f>'kt1'!H18</f>
        <v>0</v>
      </c>
      <c r="J17" s="2289">
        <f>VLOOKUP(C17,'xã miệng cạo cũ t1'!B18:H54,7,0)+VLOOKUP(C17,'xã miệng cạo mới t1'!B18:H54,7,0)</f>
        <v>30</v>
      </c>
      <c r="K17" s="2554">
        <f>VLOOKUP(C17,'Trang bị t1'!B18:H54,7,0)</f>
        <v>16</v>
      </c>
      <c r="L17" s="2289"/>
      <c r="M17" s="2289"/>
      <c r="N17" s="2247"/>
      <c r="O17" s="2247"/>
      <c r="P17" s="2247"/>
      <c r="Q17" s="2247"/>
      <c r="R17" s="2248">
        <f t="shared" si="1"/>
        <v>46</v>
      </c>
      <c r="S17" s="2249">
        <f>VLOOKUP(C17,Mủ!C17:AI52,33,0)</f>
        <v>40</v>
      </c>
      <c r="T17" s="2250"/>
      <c r="U17" s="2249">
        <f>VLOOKUP(C17,Mủ!C17:AJ52,34,0)</f>
        <v>21.689180651530105</v>
      </c>
      <c r="V17" s="2252">
        <f>VLOOKUP(C17,'Chấm công công nhân'!L16:AR17,33,0)</f>
        <v>12</v>
      </c>
      <c r="W17" s="2252">
        <f>VLOOKUP(C17,'Chấm công công nhân'!L17:AS85,34,0)</f>
        <v>3</v>
      </c>
      <c r="X17" s="2252">
        <f>VLOOKUP(C17,'Chấm công công nhân'!L17:AT51,35,0)</f>
        <v>0</v>
      </c>
      <c r="Y17" s="2252">
        <f>VLOOKUP(C17,'Chấm công công nhân'!L17:AU85,36,0)</f>
        <v>0</v>
      </c>
      <c r="Z17" s="2252"/>
      <c r="AA17" s="2252" t="str">
        <f>VLOOKUP(C17,'Kỷ thuật'!C15:M15,11,0)</f>
        <v>B</v>
      </c>
      <c r="AB17" s="2253"/>
    </row>
    <row r="18" spans="1:28" s="824" customFormat="1" ht="18" customHeight="1">
      <c r="A18" s="2272">
        <v>6</v>
      </c>
      <c r="B18" s="2237">
        <v>6</v>
      </c>
      <c r="C18" s="1611" t="str">
        <f>'Chấm công công nhân'!L18</f>
        <v>Nàng Chay</v>
      </c>
      <c r="D18" s="2244"/>
      <c r="E18" s="2245"/>
      <c r="F18" s="2245"/>
      <c r="G18" s="2245"/>
      <c r="H18" s="2245"/>
      <c r="I18" s="2246">
        <f>'kt1'!H19</f>
        <v>0</v>
      </c>
      <c r="J18" s="2289">
        <f>VLOOKUP(C18,'xã miệng cạo cũ t1'!B19:H55,7,0)+VLOOKUP(C18,'xã miệng cạo mới t1'!B19:H55,7,0)</f>
        <v>28</v>
      </c>
      <c r="K18" s="2554">
        <f>VLOOKUP(C18,'Trang bị t1'!B19:H55,7,0)</f>
        <v>16</v>
      </c>
      <c r="L18" s="2289"/>
      <c r="M18" s="2289"/>
      <c r="N18" s="2247"/>
      <c r="O18" s="2247"/>
      <c r="P18" s="2247"/>
      <c r="Q18" s="2247"/>
      <c r="R18" s="2248">
        <f t="shared" si="1"/>
        <v>44</v>
      </c>
      <c r="S18" s="2249">
        <f>VLOOKUP(C18,Mủ!C18:AI53,33,0)</f>
        <v>0</v>
      </c>
      <c r="T18" s="2250"/>
      <c r="U18" s="2249">
        <f>VLOOKUP(C18,Mủ!C18:AJ53,34,0)</f>
        <v>0</v>
      </c>
      <c r="V18" s="2252">
        <f>VLOOKUP(C18,'Chấm công công nhân'!L17:AR18,33,0)</f>
        <v>13</v>
      </c>
      <c r="W18" s="2252">
        <f>VLOOKUP(C18,'Chấm công công nhân'!L18:AS86,34,0)</f>
        <v>3</v>
      </c>
      <c r="X18" s="2252">
        <f>VLOOKUP(C18,'Chấm công công nhân'!L18:AT52,35,0)</f>
        <v>0</v>
      </c>
      <c r="Y18" s="2252">
        <f>VLOOKUP(C18,'Chấm công công nhân'!L18:AU86,36,0)</f>
        <v>0</v>
      </c>
      <c r="Z18" s="2252"/>
      <c r="AA18" s="2252" t="str">
        <f>VLOOKUP(C18,'Kỷ thuật'!C16:M16,11,0)</f>
        <v>B</v>
      </c>
      <c r="AB18" s="2253"/>
    </row>
    <row r="19" spans="1:28" s="824" customFormat="1" ht="18" customHeight="1">
      <c r="A19" s="2272">
        <v>7</v>
      </c>
      <c r="B19" s="2237">
        <v>7</v>
      </c>
      <c r="C19" s="1611" t="str">
        <f>'Chấm công công nhân'!L19</f>
        <v>Thảo Sắp</v>
      </c>
      <c r="D19" s="2244"/>
      <c r="E19" s="2245"/>
      <c r="F19" s="2245"/>
      <c r="G19" s="2245"/>
      <c r="H19" s="2245"/>
      <c r="I19" s="2246">
        <f>'kt1'!H20</f>
        <v>0</v>
      </c>
      <c r="J19" s="2289">
        <f>VLOOKUP(C19,'xã miệng cạo cũ t1'!B20:H56,7,0)+VLOOKUP(C19,'xã miệng cạo mới t1'!B20:H56,7,0)</f>
        <v>28</v>
      </c>
      <c r="K19" s="2554">
        <f>VLOOKUP(C19,'Trang bị t1'!B20:H56,7,0)</f>
        <v>16</v>
      </c>
      <c r="L19" s="2289"/>
      <c r="M19" s="2289"/>
      <c r="N19" s="2247"/>
      <c r="O19" s="2247"/>
      <c r="P19" s="2247"/>
      <c r="Q19" s="2247"/>
      <c r="R19" s="2248">
        <f t="shared" si="1"/>
        <v>44</v>
      </c>
      <c r="S19" s="2249">
        <f>VLOOKUP(C19,Mủ!C19:AI54,33,0)</f>
        <v>262</v>
      </c>
      <c r="T19" s="2250"/>
      <c r="U19" s="2249">
        <f>VLOOKUP(C19,Mủ!C19:AJ54,34,0)</f>
        <v>142.06413326752218</v>
      </c>
      <c r="V19" s="2252">
        <f>VLOOKUP(C19,'Chấm công công nhân'!L18:AR19,33,0)</f>
        <v>22</v>
      </c>
      <c r="W19" s="2252">
        <f>VLOOKUP(C19,'Chấm công công nhân'!L19:AS87,34,0)</f>
        <v>4</v>
      </c>
      <c r="X19" s="2252">
        <f>VLOOKUP(C19,'Chấm công công nhân'!L19:AT53,35,0)</f>
        <v>0</v>
      </c>
      <c r="Y19" s="2252">
        <f>VLOOKUP(C19,'Chấm công công nhân'!L19:AU87,36,0)</f>
        <v>0</v>
      </c>
      <c r="Z19" s="2252"/>
      <c r="AA19" s="2252" t="str">
        <f>VLOOKUP(C19,'Kỷ thuật'!C17:M17,11,0)</f>
        <v>A</v>
      </c>
      <c r="AB19" s="2253"/>
    </row>
    <row r="20" spans="1:28" s="824" customFormat="1" ht="18" customHeight="1">
      <c r="A20" s="2272">
        <v>8</v>
      </c>
      <c r="B20" s="2237">
        <v>8</v>
      </c>
      <c r="C20" s="1611" t="str">
        <f>'Chấm công công nhân'!L20</f>
        <v>Thảo Say</v>
      </c>
      <c r="D20" s="2244"/>
      <c r="E20" s="2245"/>
      <c r="F20" s="2245"/>
      <c r="G20" s="2245"/>
      <c r="H20" s="2245"/>
      <c r="I20" s="2246">
        <f>'kt1'!H21</f>
        <v>0</v>
      </c>
      <c r="J20" s="2289">
        <f>VLOOKUP(C20,'xã miệng cạo cũ t1'!B21:H57,7,0)+VLOOKUP(C20,'xã miệng cạo mới t1'!B21:H57,7,0)</f>
        <v>28</v>
      </c>
      <c r="K20" s="2554">
        <f>VLOOKUP(C20,'Trang bị t1'!B21:H57,7,0)</f>
        <v>16</v>
      </c>
      <c r="L20" s="2289"/>
      <c r="M20" s="2289"/>
      <c r="N20" s="2247"/>
      <c r="O20" s="2247"/>
      <c r="P20" s="2247"/>
      <c r="Q20" s="2247"/>
      <c r="R20" s="2248">
        <f t="shared" si="1"/>
        <v>44</v>
      </c>
      <c r="S20" s="2249">
        <f>VLOOKUP(C20,Mủ!C20:AI55,33,0)</f>
        <v>444</v>
      </c>
      <c r="T20" s="2250"/>
      <c r="U20" s="2249">
        <f>VLOOKUP(C20,Mủ!C20:AJ55,34,0)</f>
        <v>240.74990523198414</v>
      </c>
      <c r="V20" s="2252">
        <f>VLOOKUP(C20,'Chấm công công nhân'!L19:AR20,33,0)</f>
        <v>21</v>
      </c>
      <c r="W20" s="2252">
        <f>VLOOKUP(C20,'Chấm công công nhân'!L20:AS88,34,0)</f>
        <v>4</v>
      </c>
      <c r="X20" s="2252">
        <f>VLOOKUP(C20,'Chấm công công nhân'!L20:AT54,35,0)</f>
        <v>0</v>
      </c>
      <c r="Y20" s="2252">
        <f>VLOOKUP(C20,'Chấm công công nhân'!L20:AU88,36,0)</f>
        <v>0</v>
      </c>
      <c r="Z20" s="2252"/>
      <c r="AA20" s="2252" t="str">
        <f>VLOOKUP(C20,'Kỷ thuật'!C18:M18,11,0)</f>
        <v>A</v>
      </c>
      <c r="AB20" s="2253"/>
    </row>
    <row r="21" spans="1:28" s="824" customFormat="1" ht="18" customHeight="1">
      <c r="A21" s="2272">
        <v>9</v>
      </c>
      <c r="B21" s="2237">
        <v>9</v>
      </c>
      <c r="C21" s="1611" t="str">
        <f>'Chấm công công nhân'!L21</f>
        <v>Thảo Cợt</v>
      </c>
      <c r="D21" s="2244"/>
      <c r="E21" s="2245"/>
      <c r="F21" s="2245"/>
      <c r="G21" s="2245"/>
      <c r="H21" s="2245"/>
      <c r="I21" s="2246">
        <f>'kt1'!H22</f>
        <v>0</v>
      </c>
      <c r="J21" s="2289">
        <f>VLOOKUP(C21,'xã miệng cạo cũ t1'!B22:H58,7,0)+VLOOKUP(C21,'xã miệng cạo mới t1'!B22:H58,7,0)</f>
        <v>28</v>
      </c>
      <c r="K21" s="2554">
        <f>VLOOKUP(C21,'Trang bị t1'!B22:H58,7,0)</f>
        <v>16</v>
      </c>
      <c r="L21" s="2289"/>
      <c r="M21" s="2289"/>
      <c r="N21" s="2247"/>
      <c r="O21" s="2247"/>
      <c r="P21" s="2247"/>
      <c r="Q21" s="2247"/>
      <c r="R21" s="2248">
        <f t="shared" si="1"/>
        <v>44</v>
      </c>
      <c r="S21" s="2249">
        <f>VLOOKUP(C21,Mủ!C21:AI56,33,0)</f>
        <v>199</v>
      </c>
      <c r="T21" s="2250"/>
      <c r="U21" s="2249">
        <f>VLOOKUP(C21,Mủ!C21:AJ56,34,0)</f>
        <v>107.90367374136225</v>
      </c>
      <c r="V21" s="2252">
        <f>VLOOKUP(C21,'Chấm công công nhân'!L20:AR21,33,0)</f>
        <v>11</v>
      </c>
      <c r="W21" s="2252">
        <f>VLOOKUP(C21,'Chấm công công nhân'!L21:AS89,34,0)</f>
        <v>2</v>
      </c>
      <c r="X21" s="2252">
        <f>VLOOKUP(C21,'Chấm công công nhân'!L21:AT55,35,0)</f>
        <v>0</v>
      </c>
      <c r="Y21" s="2252">
        <f>VLOOKUP(C21,'Chấm công công nhân'!L21:AU89,36,0)</f>
        <v>0</v>
      </c>
      <c r="Z21" s="2252"/>
      <c r="AA21" s="2252" t="str">
        <f>VLOOKUP(C21,'Kỷ thuật'!C19:M19,11,0)</f>
        <v>C</v>
      </c>
      <c r="AB21" s="2253"/>
    </row>
    <row r="22" spans="1:28" s="824" customFormat="1" ht="18" customHeight="1">
      <c r="A22" s="2272">
        <v>10</v>
      </c>
      <c r="B22" s="2237">
        <v>10</v>
      </c>
      <c r="C22" s="1611" t="str">
        <f>'Chấm công công nhân'!L22</f>
        <v>Thảo Hôm</v>
      </c>
      <c r="D22" s="2244"/>
      <c r="E22" s="2245"/>
      <c r="F22" s="2245"/>
      <c r="G22" s="2245"/>
      <c r="H22" s="2245"/>
      <c r="I22" s="2246">
        <f>'kt1'!H23</f>
        <v>0</v>
      </c>
      <c r="J22" s="2289">
        <f>VLOOKUP(C22,'xã miệng cạo cũ t1'!B23:H59,7,0)+VLOOKUP(C22,'xã miệng cạo mới t1'!B23:H59,7,0)</f>
        <v>28</v>
      </c>
      <c r="K22" s="2554">
        <f>VLOOKUP(C22,'Trang bị t1'!B23:H59,7,0)</f>
        <v>16</v>
      </c>
      <c r="L22" s="2289"/>
      <c r="M22" s="2289"/>
      <c r="N22" s="2247"/>
      <c r="O22" s="2247"/>
      <c r="P22" s="2247"/>
      <c r="Q22" s="2247"/>
      <c r="R22" s="2248">
        <f t="shared" si="1"/>
        <v>44</v>
      </c>
      <c r="S22" s="2249">
        <f>VLOOKUP(C22,Mủ!C22:AI57,33,0)</f>
        <v>372</v>
      </c>
      <c r="T22" s="2250"/>
      <c r="U22" s="2249">
        <f>VLOOKUP(C22,Mủ!C22:AJ57,34,0)</f>
        <v>201.70938005922994</v>
      </c>
      <c r="V22" s="2252">
        <f>VLOOKUP(C22,'Chấm công công nhân'!L21:AR22,33,0)</f>
        <v>17</v>
      </c>
      <c r="W22" s="2252">
        <f>VLOOKUP(C22,'Chấm công công nhân'!L22:AS90,34,0)</f>
        <v>4</v>
      </c>
      <c r="X22" s="2252">
        <f>VLOOKUP(C22,'Chấm công công nhân'!L22:AT56,35,0)</f>
        <v>0</v>
      </c>
      <c r="Y22" s="2252">
        <f>VLOOKUP(C22,'Chấm công công nhân'!L22:AU90,36,0)</f>
        <v>0</v>
      </c>
      <c r="Z22" s="2252"/>
      <c r="AA22" s="2252" t="str">
        <f>VLOOKUP(C22,'Kỷ thuật'!C20:M20,11,0)</f>
        <v>A</v>
      </c>
      <c r="AB22" s="2253"/>
    </row>
    <row r="23" spans="1:28" s="824" customFormat="1" ht="18" customHeight="1">
      <c r="A23" s="2272">
        <v>11</v>
      </c>
      <c r="B23" s="2237">
        <v>11</v>
      </c>
      <c r="C23" s="1611" t="str">
        <f>'Chấm công công nhân'!L23</f>
        <v xml:space="preserve">Thảo Khăm  </v>
      </c>
      <c r="D23" s="2244"/>
      <c r="E23" s="2245"/>
      <c r="F23" s="2245"/>
      <c r="G23" s="2245"/>
      <c r="H23" s="2245"/>
      <c r="I23" s="2246">
        <f>'kt1'!H24</f>
        <v>0</v>
      </c>
      <c r="J23" s="2289">
        <f>VLOOKUP(C23,'xã miệng cạo cũ t1'!B24:H60,7,0)+VLOOKUP(C23,'xã miệng cạo mới t1'!B24:H60,7,0)</f>
        <v>32</v>
      </c>
      <c r="K23" s="2554">
        <f>VLOOKUP(C23,'Trang bị t1'!B24:H60,7,0)</f>
        <v>16</v>
      </c>
      <c r="L23" s="2289"/>
      <c r="M23" s="2289"/>
      <c r="N23" s="2247"/>
      <c r="O23" s="2247"/>
      <c r="P23" s="2247"/>
      <c r="Q23" s="2247"/>
      <c r="R23" s="2248">
        <f t="shared" si="1"/>
        <v>48</v>
      </c>
      <c r="S23" s="2249">
        <f>VLOOKUP(C23,Mủ!C23:AI58,33,0)</f>
        <v>0</v>
      </c>
      <c r="T23" s="2250"/>
      <c r="U23" s="2249">
        <f>VLOOKUP(C23,Mủ!C23:AJ58,34,0)</f>
        <v>0</v>
      </c>
      <c r="V23" s="2252">
        <f>VLOOKUP(C23,'Chấm công công nhân'!L22:AR23,33,0)</f>
        <v>9</v>
      </c>
      <c r="W23" s="2252">
        <f>VLOOKUP(C23,'Chấm công công nhân'!L23:AS91,34,0)</f>
        <v>1</v>
      </c>
      <c r="X23" s="2252">
        <f>VLOOKUP(C23,'Chấm công công nhân'!L23:AT57,35,0)</f>
        <v>0</v>
      </c>
      <c r="Y23" s="2252">
        <f>VLOOKUP(C23,'Chấm công công nhân'!L23:AU91,36,0)</f>
        <v>0</v>
      </c>
      <c r="Z23" s="2252"/>
      <c r="AA23" s="2252" t="str">
        <f>VLOOKUP(C23,'Kỷ thuật'!C21:M21,11,0)</f>
        <v>B</v>
      </c>
      <c r="AB23" s="2253"/>
    </row>
    <row r="24" spans="1:28" s="824" customFormat="1" ht="18" customHeight="1">
      <c r="A24" s="2272">
        <v>12</v>
      </c>
      <c r="B24" s="2237">
        <v>12</v>
      </c>
      <c r="C24" s="1611" t="str">
        <f>'Chấm công công nhân'!L24</f>
        <v>Thảo Hăm</v>
      </c>
      <c r="D24" s="2244"/>
      <c r="E24" s="2245"/>
      <c r="F24" s="2245"/>
      <c r="G24" s="2245"/>
      <c r="H24" s="2245"/>
      <c r="I24" s="2246">
        <f>'kt1'!H25</f>
        <v>0</v>
      </c>
      <c r="J24" s="2289">
        <f>VLOOKUP(C24,'xã miệng cạo cũ t1'!B25:H61,7,0)+VLOOKUP(C24,'xã miệng cạo mới t1'!B25:H61,7,0)</f>
        <v>32</v>
      </c>
      <c r="K24" s="2554">
        <f>VLOOKUP(C24,'Trang bị t1'!B25:H61,7,0)</f>
        <v>16</v>
      </c>
      <c r="L24" s="2289"/>
      <c r="M24" s="2289"/>
      <c r="N24" s="2247"/>
      <c r="O24" s="2247"/>
      <c r="P24" s="2247"/>
      <c r="Q24" s="2247"/>
      <c r="R24" s="2248">
        <f t="shared" si="1"/>
        <v>48</v>
      </c>
      <c r="S24" s="2249">
        <f>VLOOKUP(C24,Mủ!C24:AI59,33,0)</f>
        <v>0</v>
      </c>
      <c r="T24" s="2250"/>
      <c r="U24" s="2249">
        <f>VLOOKUP(C24,Mủ!C24:AJ59,34,0)</f>
        <v>0</v>
      </c>
      <c r="V24" s="2252">
        <f>VLOOKUP(C24,'Chấm công công nhân'!L23:AR24,33,0)</f>
        <v>14</v>
      </c>
      <c r="W24" s="2252">
        <f>VLOOKUP(C24,'Chấm công công nhân'!L24:AS92,34,0)</f>
        <v>2</v>
      </c>
      <c r="X24" s="2252">
        <f>VLOOKUP(C24,'Chấm công công nhân'!L24:AT58,35,0)</f>
        <v>0</v>
      </c>
      <c r="Y24" s="2252">
        <f>VLOOKUP(C24,'Chấm công công nhân'!L24:AU92,36,0)</f>
        <v>0</v>
      </c>
      <c r="Z24" s="2252"/>
      <c r="AA24" s="2252" t="str">
        <f>VLOOKUP(C24,'Kỷ thuật'!C22:M22,11,0)</f>
        <v>A</v>
      </c>
      <c r="AB24" s="2253"/>
    </row>
    <row r="25" spans="1:28" s="824" customFormat="1" ht="18" customHeight="1">
      <c r="A25" s="2272">
        <v>13</v>
      </c>
      <c r="B25" s="2237">
        <v>13</v>
      </c>
      <c r="C25" s="1611" t="str">
        <f>'Chấm công công nhân'!L25</f>
        <v>Nang Lon</v>
      </c>
      <c r="D25" s="2244"/>
      <c r="E25" s="2245"/>
      <c r="F25" s="2245"/>
      <c r="G25" s="2245"/>
      <c r="H25" s="2245"/>
      <c r="I25" s="2246">
        <f>'kt1'!H26</f>
        <v>0</v>
      </c>
      <c r="J25" s="2289">
        <f>VLOOKUP(C25,'xã miệng cạo cũ t1'!B26:H62,7,0)+VLOOKUP(C25,'xã miệng cạo mới t1'!B26:H62,7,0)</f>
        <v>32</v>
      </c>
      <c r="K25" s="2554">
        <f>VLOOKUP(C25,'Trang bị t1'!B26:H62,7,0)</f>
        <v>16</v>
      </c>
      <c r="L25" s="2289"/>
      <c r="M25" s="2289"/>
      <c r="N25" s="2247"/>
      <c r="O25" s="2247"/>
      <c r="P25" s="2247"/>
      <c r="Q25" s="2247"/>
      <c r="R25" s="2248">
        <f t="shared" si="1"/>
        <v>48</v>
      </c>
      <c r="S25" s="2249">
        <f>VLOOKUP(C25,Mủ!C25:AI60,33,0)</f>
        <v>0</v>
      </c>
      <c r="T25" s="2250"/>
      <c r="U25" s="2249">
        <f>VLOOKUP(C25,Mủ!C25:AJ60,34,0)</f>
        <v>0</v>
      </c>
      <c r="V25" s="2252">
        <f>VLOOKUP(C25,'Chấm công công nhân'!L24:AR25,33,0)</f>
        <v>14</v>
      </c>
      <c r="W25" s="2252">
        <f>VLOOKUP(C25,'Chấm công công nhân'!L25:AS93,34,0)</f>
        <v>2</v>
      </c>
      <c r="X25" s="2252">
        <f>VLOOKUP(C25,'Chấm công công nhân'!L25:AT59,35,0)</f>
        <v>0</v>
      </c>
      <c r="Y25" s="2252">
        <f>VLOOKUP(C25,'Chấm công công nhân'!L25:AU93,36,0)</f>
        <v>0</v>
      </c>
      <c r="Z25" s="2252"/>
      <c r="AA25" s="2252" t="str">
        <f>VLOOKUP(C25,'Kỷ thuật'!C23:M23,11,0)</f>
        <v>B</v>
      </c>
      <c r="AB25" s="2253"/>
    </row>
    <row r="26" spans="1:28" s="824" customFormat="1" ht="18" customHeight="1">
      <c r="A26" s="2272">
        <v>14</v>
      </c>
      <c r="B26" s="2237">
        <v>14</v>
      </c>
      <c r="C26" s="1611" t="str">
        <f>'Chấm công công nhân'!L26</f>
        <v>Thảo Pheng</v>
      </c>
      <c r="D26" s="2244"/>
      <c r="E26" s="2245"/>
      <c r="F26" s="2245"/>
      <c r="G26" s="2245"/>
      <c r="H26" s="2245"/>
      <c r="I26" s="2246">
        <f>'kt1'!H27</f>
        <v>0</v>
      </c>
      <c r="J26" s="2289">
        <f>VLOOKUP(C26,'xã miệng cạo cũ t1'!B27:H63,7,0)+VLOOKUP(C26,'xã miệng cạo mới t1'!B27:H63,7,0)</f>
        <v>32</v>
      </c>
      <c r="K26" s="2554">
        <f>VLOOKUP(C26,'Trang bị t1'!B27:H63,7,0)</f>
        <v>16</v>
      </c>
      <c r="L26" s="2289"/>
      <c r="M26" s="2289"/>
      <c r="N26" s="2247"/>
      <c r="O26" s="2247"/>
      <c r="P26" s="2247"/>
      <c r="Q26" s="2247"/>
      <c r="R26" s="2248">
        <f t="shared" si="1"/>
        <v>48</v>
      </c>
      <c r="S26" s="2249">
        <f>VLOOKUP(C26,Mủ!C26:AI61,33,0)</f>
        <v>102</v>
      </c>
      <c r="T26" s="2250"/>
      <c r="U26" s="2249">
        <f>VLOOKUP(C26,Mủ!C26:AJ61,34,0)</f>
        <v>55.307410661401761</v>
      </c>
      <c r="V26" s="2252">
        <f>VLOOKUP(C26,'Chấm công công nhân'!L25:AR26,33,0)</f>
        <v>14</v>
      </c>
      <c r="W26" s="2252">
        <f>VLOOKUP(C26,'Chấm công công nhân'!L26:AS94,34,0)</f>
        <v>2</v>
      </c>
      <c r="X26" s="2252">
        <f>VLOOKUP(C26,'Chấm công công nhân'!L26:AT60,35,0)</f>
        <v>0</v>
      </c>
      <c r="Y26" s="2252">
        <f>VLOOKUP(C26,'Chấm công công nhân'!L26:AU94,36,0)</f>
        <v>0</v>
      </c>
      <c r="Z26" s="2252"/>
      <c r="AA26" s="2252" t="str">
        <f>VLOOKUP(C26,'Kỷ thuật'!C24:M24,11,0)</f>
        <v>B</v>
      </c>
      <c r="AB26" s="2253"/>
    </row>
    <row r="27" spans="1:28" s="824" customFormat="1" ht="18" customHeight="1">
      <c r="A27" s="2272">
        <v>15</v>
      </c>
      <c r="B27" s="2237">
        <v>15</v>
      </c>
      <c r="C27" s="1611" t="str">
        <f>'Chấm công công nhân'!L27</f>
        <v>Thảo kok</v>
      </c>
      <c r="D27" s="2244"/>
      <c r="E27" s="2245"/>
      <c r="F27" s="2245"/>
      <c r="G27" s="2245"/>
      <c r="H27" s="2245"/>
      <c r="I27" s="2246">
        <f>'kt1'!H28</f>
        <v>0</v>
      </c>
      <c r="J27" s="2289">
        <f>VLOOKUP(C27,'xã miệng cạo cũ t1'!B28:H64,7,0)+VLOOKUP(C27,'xã miệng cạo mới t1'!B28:H64,7,0)</f>
        <v>32</v>
      </c>
      <c r="K27" s="2554">
        <f>VLOOKUP(C27,'Trang bị t1'!B28:H64,7,0)</f>
        <v>16</v>
      </c>
      <c r="L27" s="2289"/>
      <c r="M27" s="2289"/>
      <c r="N27" s="2247"/>
      <c r="O27" s="2247"/>
      <c r="P27" s="2247"/>
      <c r="Q27" s="2247"/>
      <c r="R27" s="2248">
        <f t="shared" si="1"/>
        <v>48</v>
      </c>
      <c r="S27" s="2249">
        <f>VLOOKUP(C27,Mủ!C27:AI62,33,0)</f>
        <v>261</v>
      </c>
      <c r="T27" s="2250"/>
      <c r="U27" s="2249">
        <f>VLOOKUP(C27,Mủ!C27:AJ62,34,0)</f>
        <v>141.52190375123391</v>
      </c>
      <c r="V27" s="2252">
        <f>VLOOKUP(C27,'Chấm công công nhân'!L26:AR27,33,0)</f>
        <v>12</v>
      </c>
      <c r="W27" s="2252">
        <f>VLOOKUP(C27,'Chấm công công nhân'!L27:AS95,34,0)</f>
        <v>3</v>
      </c>
      <c r="X27" s="2252">
        <f>VLOOKUP(C27,'Chấm công công nhân'!L27:AT61,35,0)</f>
        <v>0</v>
      </c>
      <c r="Y27" s="2252">
        <f>VLOOKUP(C27,'Chấm công công nhân'!L27:AU95,36,0)</f>
        <v>0</v>
      </c>
      <c r="Z27" s="2252"/>
      <c r="AA27" s="2252" t="str">
        <f>VLOOKUP(C27,'Kỷ thuật'!C25:M25,11,0)</f>
        <v>A</v>
      </c>
      <c r="AB27" s="2253"/>
    </row>
    <row r="28" spans="1:28" s="824" customFormat="1" ht="18" customHeight="1">
      <c r="A28" s="2272">
        <v>16</v>
      </c>
      <c r="B28" s="2237">
        <v>16</v>
      </c>
      <c r="C28" s="1611" t="str">
        <f>'Chấm công công nhân'!L28</f>
        <v>Nàng Sút Chay</v>
      </c>
      <c r="D28" s="2244"/>
      <c r="E28" s="2245"/>
      <c r="F28" s="2245"/>
      <c r="G28" s="2245"/>
      <c r="H28" s="2245"/>
      <c r="I28" s="2246">
        <f>'kt1'!H29</f>
        <v>0</v>
      </c>
      <c r="J28" s="2289">
        <f>VLOOKUP(C28,'xã miệng cạo cũ t1'!B29:H65,7,0)+VLOOKUP(C28,'xã miệng cạo mới t1'!B29:H65,7,0)</f>
        <v>32</v>
      </c>
      <c r="K28" s="2554">
        <f>VLOOKUP(C28,'Trang bị t1'!B29:H65,7,0)</f>
        <v>16</v>
      </c>
      <c r="L28" s="2289"/>
      <c r="M28" s="2289"/>
      <c r="N28" s="2247"/>
      <c r="O28" s="2247"/>
      <c r="P28" s="2247"/>
      <c r="Q28" s="2247"/>
      <c r="R28" s="2248">
        <f t="shared" si="1"/>
        <v>48</v>
      </c>
      <c r="S28" s="2249">
        <f>VLOOKUP(C28,Mủ!C28:AI63,33,0)</f>
        <v>70</v>
      </c>
      <c r="T28" s="2250"/>
      <c r="U28" s="2249">
        <f>VLOOKUP(C28,Mủ!C28:AJ63,34,0)</f>
        <v>37.956066140177683</v>
      </c>
      <c r="V28" s="2252">
        <f>VLOOKUP(C28,'Chấm công công nhân'!L27:AR28,33,0)</f>
        <v>11</v>
      </c>
      <c r="W28" s="2252">
        <f>VLOOKUP(C28,'Chấm công công nhân'!L28:AS96,34,0)</f>
        <v>3</v>
      </c>
      <c r="X28" s="2252">
        <f>VLOOKUP(C28,'Chấm công công nhân'!L28:AT62,35,0)</f>
        <v>0</v>
      </c>
      <c r="Y28" s="2252">
        <f>VLOOKUP(C28,'Chấm công công nhân'!L28:AU96,36,0)</f>
        <v>0</v>
      </c>
      <c r="Z28" s="2252"/>
      <c r="AA28" s="2252" t="str">
        <f>VLOOKUP(C28,'Kỷ thuật'!C26:M26,11,0)</f>
        <v>A</v>
      </c>
      <c r="AB28" s="2253"/>
    </row>
    <row r="29" spans="1:28" s="824" customFormat="1" ht="18" customHeight="1">
      <c r="A29" s="2272">
        <v>17</v>
      </c>
      <c r="B29" s="2237">
        <v>17</v>
      </c>
      <c r="C29" s="1611" t="str">
        <f>'Chấm công công nhân'!L29</f>
        <v>Thảo Khăm Phay</v>
      </c>
      <c r="D29" s="2244"/>
      <c r="E29" s="2245"/>
      <c r="F29" s="2245"/>
      <c r="G29" s="2245"/>
      <c r="H29" s="2245"/>
      <c r="I29" s="2246">
        <f>'kt1'!H30</f>
        <v>0</v>
      </c>
      <c r="J29" s="2289">
        <f>VLOOKUP(C29,'xã miệng cạo cũ t1'!B30:H66,7,0)+VLOOKUP(C29,'xã miệng cạo mới t1'!B30:H66,7,0)</f>
        <v>32</v>
      </c>
      <c r="K29" s="2554">
        <f>VLOOKUP(C29,'Trang bị t1'!B30:H66,7,0)</f>
        <v>16</v>
      </c>
      <c r="L29" s="2289"/>
      <c r="M29" s="2289"/>
      <c r="N29" s="2247"/>
      <c r="O29" s="2247"/>
      <c r="P29" s="2247"/>
      <c r="Q29" s="2247"/>
      <c r="R29" s="2248">
        <f t="shared" si="1"/>
        <v>48</v>
      </c>
      <c r="S29" s="2249">
        <f>VLOOKUP(C29,Mủ!C29:AI64,33,0)</f>
        <v>70</v>
      </c>
      <c r="T29" s="2250"/>
      <c r="U29" s="2249">
        <f>VLOOKUP(C29,Mủ!C29:AJ64,34,0)</f>
        <v>37.956066140177683</v>
      </c>
      <c r="V29" s="2252">
        <f>VLOOKUP(C29,'Chấm công công nhân'!L28:AR29,33,0)</f>
        <v>11</v>
      </c>
      <c r="W29" s="2252">
        <f>VLOOKUP(C29,'Chấm công công nhân'!L29:AS97,34,0)</f>
        <v>3</v>
      </c>
      <c r="X29" s="2252">
        <f>VLOOKUP(C29,'Chấm công công nhân'!L29:AT63,35,0)</f>
        <v>0</v>
      </c>
      <c r="Y29" s="2252">
        <f>VLOOKUP(C29,'Chấm công công nhân'!L29:AU97,36,0)</f>
        <v>0</v>
      </c>
      <c r="Z29" s="2252"/>
      <c r="AA29" s="2252" t="str">
        <f>VLOOKUP(C29,'Kỷ thuật'!C27:M27,11,0)</f>
        <v>B</v>
      </c>
      <c r="AB29" s="2253"/>
    </row>
    <row r="30" spans="1:28" s="824" customFormat="1" ht="18" customHeight="1">
      <c r="A30" s="2272">
        <v>18</v>
      </c>
      <c r="B30" s="2237">
        <v>18</v>
      </c>
      <c r="C30" s="1611" t="str">
        <f>'Chấm công công nhân'!L30</f>
        <v>Thảo Sớm</v>
      </c>
      <c r="D30" s="2244"/>
      <c r="E30" s="2245"/>
      <c r="F30" s="2245"/>
      <c r="G30" s="2245"/>
      <c r="H30" s="2245"/>
      <c r="I30" s="2246">
        <f>'kt1'!H31</f>
        <v>0</v>
      </c>
      <c r="J30" s="2289">
        <f>VLOOKUP(C30,'xã miệng cạo cũ t1'!B31:H67,7,0)+VLOOKUP(C30,'xã miệng cạo mới t1'!B31:H67,7,0)</f>
        <v>32</v>
      </c>
      <c r="K30" s="2554">
        <f>VLOOKUP(C30,'Trang bị t1'!B31:H67,7,0)</f>
        <v>16</v>
      </c>
      <c r="L30" s="2289"/>
      <c r="M30" s="2289"/>
      <c r="N30" s="2247"/>
      <c r="O30" s="2247"/>
      <c r="P30" s="2247"/>
      <c r="Q30" s="2247"/>
      <c r="R30" s="2248">
        <f t="shared" si="1"/>
        <v>48</v>
      </c>
      <c r="S30" s="2249">
        <f>VLOOKUP(C30,Mủ!C30:AI65,33,0)</f>
        <v>134</v>
      </c>
      <c r="T30" s="2250"/>
      <c r="U30" s="2249">
        <f>VLOOKUP(C30,Mủ!C30:AJ65,34,0)</f>
        <v>72.658755182625839</v>
      </c>
      <c r="V30" s="2252">
        <f>VLOOKUP(C30,'Chấm công công nhân'!L29:AR30,33,0)</f>
        <v>12</v>
      </c>
      <c r="W30" s="2252">
        <f>VLOOKUP(C30,'Chấm công công nhân'!L30:AS98,34,0)</f>
        <v>3</v>
      </c>
      <c r="X30" s="2252">
        <f>VLOOKUP(C30,'Chấm công công nhân'!L30:AT64,35,0)</f>
        <v>0</v>
      </c>
      <c r="Y30" s="2252">
        <f>VLOOKUP(C30,'Chấm công công nhân'!L30:AU98,36,0)</f>
        <v>0</v>
      </c>
      <c r="Z30" s="2252"/>
      <c r="AA30" s="2252" t="str">
        <f>VLOOKUP(C30,'Kỷ thuật'!C28:M28,11,0)</f>
        <v>A</v>
      </c>
      <c r="AB30" s="2253"/>
    </row>
    <row r="31" spans="1:28" s="824" customFormat="1" ht="18" customHeight="1">
      <c r="A31" s="2272">
        <v>19</v>
      </c>
      <c r="B31" s="2237">
        <v>19</v>
      </c>
      <c r="C31" s="1611" t="str">
        <f>'Chấm công công nhân'!L31</f>
        <v>Pha Xúc</v>
      </c>
      <c r="D31" s="2244"/>
      <c r="E31" s="2245"/>
      <c r="F31" s="2245"/>
      <c r="G31" s="2245"/>
      <c r="H31" s="2245"/>
      <c r="I31" s="2246">
        <f>'kt1'!H32</f>
        <v>0</v>
      </c>
      <c r="J31" s="2289">
        <f>VLOOKUP(C31,'xã miệng cạo cũ t1'!B32:H68,7,0)+VLOOKUP(C31,'xã miệng cạo mới t1'!B32:H68,7,0)</f>
        <v>32</v>
      </c>
      <c r="K31" s="2554">
        <f>VLOOKUP(C31,'Trang bị t1'!B32:H68,7,0)</f>
        <v>16</v>
      </c>
      <c r="L31" s="2289"/>
      <c r="M31" s="2289"/>
      <c r="N31" s="2247"/>
      <c r="O31" s="2247"/>
      <c r="P31" s="2247"/>
      <c r="Q31" s="2247"/>
      <c r="R31" s="2248">
        <f t="shared" si="1"/>
        <v>48</v>
      </c>
      <c r="S31" s="2249">
        <f>VLOOKUP(C31,Mủ!C31:AI66,33,0)</f>
        <v>0</v>
      </c>
      <c r="T31" s="2250"/>
      <c r="U31" s="2249">
        <f>VLOOKUP(C31,Mủ!C31:AJ66,34,0)</f>
        <v>0</v>
      </c>
      <c r="V31" s="2252">
        <f>VLOOKUP(C31,'Chấm công công nhân'!L30:AR31,33,0)</f>
        <v>11</v>
      </c>
      <c r="W31" s="2252">
        <f>VLOOKUP(C31,'Chấm công công nhân'!L31:AS99,34,0)</f>
        <v>2</v>
      </c>
      <c r="X31" s="2252">
        <f>VLOOKUP(C31,'Chấm công công nhân'!L31:AT65,35,0)</f>
        <v>0</v>
      </c>
      <c r="Y31" s="2252">
        <f>VLOOKUP(C31,'Chấm công công nhân'!L31:AU99,36,0)</f>
        <v>0</v>
      </c>
      <c r="Z31" s="2252"/>
      <c r="AA31" s="2252" t="str">
        <f>VLOOKUP(C31,'Kỷ thuật'!C29:M29,11,0)</f>
        <v>B</v>
      </c>
      <c r="AB31" s="2253"/>
    </row>
    <row r="32" spans="1:28" s="824" customFormat="1" ht="18" customHeight="1">
      <c r="A32" s="2272">
        <v>20</v>
      </c>
      <c r="B32" s="2237">
        <v>20</v>
      </c>
      <c r="C32" s="1611" t="str">
        <f>'Chấm công công nhân'!L32</f>
        <v>Nàng Phon</v>
      </c>
      <c r="D32" s="2244"/>
      <c r="E32" s="2245"/>
      <c r="F32" s="2245"/>
      <c r="G32" s="2245"/>
      <c r="H32" s="2245"/>
      <c r="I32" s="2246">
        <f>'kt1'!H33</f>
        <v>0</v>
      </c>
      <c r="J32" s="2289">
        <f>VLOOKUP(C32,'xã miệng cạo cũ t1'!B33:H69,7,0)+VLOOKUP(C32,'xã miệng cạo mới t1'!B33:H69,7,0)</f>
        <v>30</v>
      </c>
      <c r="K32" s="2554">
        <f>VLOOKUP(C32,'Trang bị t1'!B33:H69,7,0)</f>
        <v>16</v>
      </c>
      <c r="L32" s="2289"/>
      <c r="M32" s="2289"/>
      <c r="N32" s="2247"/>
      <c r="O32" s="2247"/>
      <c r="P32" s="2247"/>
      <c r="Q32" s="2247"/>
      <c r="R32" s="2248">
        <f t="shared" si="1"/>
        <v>46</v>
      </c>
      <c r="S32" s="2249">
        <f>VLOOKUP(C32,Mủ!C32:AI67,33,0)</f>
        <v>40</v>
      </c>
      <c r="T32" s="2250"/>
      <c r="U32" s="2249">
        <f>VLOOKUP(C32,Mủ!C32:AJ67,34,0)</f>
        <v>21.689180651530105</v>
      </c>
      <c r="V32" s="2252">
        <f>VLOOKUP(C32,'Chấm công công nhân'!L31:AR32,33,0)</f>
        <v>13</v>
      </c>
      <c r="W32" s="2252">
        <f>VLOOKUP(C32,'Chấm công công nhân'!L32:AS100,34,0)</f>
        <v>4</v>
      </c>
      <c r="X32" s="2252">
        <f>VLOOKUP(C32,'Chấm công công nhân'!L32:AT66,35,0)</f>
        <v>0</v>
      </c>
      <c r="Y32" s="2252">
        <f>VLOOKUP(C32,'Chấm công công nhân'!L32:AU100,36,0)</f>
        <v>0</v>
      </c>
      <c r="Z32" s="2252"/>
      <c r="AA32" s="2252" t="str">
        <f>VLOOKUP(C32,'Kỷ thuật'!C30:M30,11,0)</f>
        <v>A</v>
      </c>
      <c r="AB32" s="2253"/>
    </row>
    <row r="33" spans="1:53" s="824" customFormat="1" ht="18" customHeight="1">
      <c r="A33" s="2272">
        <v>21</v>
      </c>
      <c r="B33" s="2237">
        <v>21</v>
      </c>
      <c r="C33" s="1611" t="str">
        <f>'Chấm công công nhân'!L33</f>
        <v>Thảo Chăn</v>
      </c>
      <c r="D33" s="2244"/>
      <c r="E33" s="2245"/>
      <c r="F33" s="2245"/>
      <c r="G33" s="2245"/>
      <c r="H33" s="2245"/>
      <c r="I33" s="2246">
        <f>'kt1'!H34</f>
        <v>0</v>
      </c>
      <c r="J33" s="2289">
        <f>VLOOKUP(C33,'xã miệng cạo cũ t1'!B34:H70,7,0)+VLOOKUP(C33,'xã miệng cạo mới t1'!B34:H70,7,0)</f>
        <v>30</v>
      </c>
      <c r="K33" s="2554">
        <f>VLOOKUP(C33,'Trang bị t1'!B34:H70,7,0)</f>
        <v>16</v>
      </c>
      <c r="L33" s="2289"/>
      <c r="M33" s="2289"/>
      <c r="N33" s="2247"/>
      <c r="O33" s="2247"/>
      <c r="P33" s="2247"/>
      <c r="Q33" s="2247"/>
      <c r="R33" s="2248">
        <f t="shared" si="1"/>
        <v>46</v>
      </c>
      <c r="S33" s="2249">
        <f>VLOOKUP(C33,Mủ!C33:AI68,33,0)</f>
        <v>262</v>
      </c>
      <c r="T33" s="2250"/>
      <c r="U33" s="2249">
        <f>VLOOKUP(C33,Mủ!C33:AJ68,34,0)</f>
        <v>142.06413326752218</v>
      </c>
      <c r="V33" s="2252">
        <f>VLOOKUP(C33,'Chấm công công nhân'!L32:AR33,33,0)</f>
        <v>14</v>
      </c>
      <c r="W33" s="2252">
        <f>VLOOKUP(C33,'Chấm công công nhân'!L33:AS101,34,0)</f>
        <v>3</v>
      </c>
      <c r="X33" s="2252">
        <f>VLOOKUP(C33,'Chấm công công nhân'!L33:AT67,35,0)</f>
        <v>0</v>
      </c>
      <c r="Y33" s="2252">
        <f>VLOOKUP(C33,'Chấm công công nhân'!L33:AU101,36,0)</f>
        <v>0</v>
      </c>
      <c r="Z33" s="2252"/>
      <c r="AA33" s="2252" t="str">
        <f>VLOOKUP(C33,'Kỷ thuật'!C31:M31,11,0)</f>
        <v>A</v>
      </c>
      <c r="AB33" s="2253"/>
    </row>
    <row r="34" spans="1:53" s="824" customFormat="1" ht="18" customHeight="1">
      <c r="A34" s="2272">
        <v>22</v>
      </c>
      <c r="B34" s="2237">
        <v>22</v>
      </c>
      <c r="C34" s="1611" t="str">
        <f>'Chấm công công nhân'!L34</f>
        <v>Thong La</v>
      </c>
      <c r="D34" s="2244"/>
      <c r="E34" s="2245"/>
      <c r="F34" s="2245"/>
      <c r="G34" s="2245"/>
      <c r="H34" s="2245"/>
      <c r="I34" s="2246">
        <f>'kt1'!H35</f>
        <v>0</v>
      </c>
      <c r="J34" s="2289">
        <f>VLOOKUP(C34,'xã miệng cạo cũ t1'!B35:H71,7,0)+VLOOKUP(C34,'xã miệng cạo mới t1'!B35:H71,7,0)</f>
        <v>30</v>
      </c>
      <c r="K34" s="2554">
        <f>VLOOKUP(C34,'Trang bị t1'!B35:H71,7,0)</f>
        <v>16</v>
      </c>
      <c r="L34" s="2289"/>
      <c r="M34" s="2289"/>
      <c r="N34" s="2247"/>
      <c r="O34" s="2247"/>
      <c r="P34" s="2247"/>
      <c r="Q34" s="2247"/>
      <c r="R34" s="2248">
        <f t="shared" si="1"/>
        <v>46</v>
      </c>
      <c r="S34" s="2249">
        <f>VLOOKUP(C34,Mủ!C34:AI69,33,0)</f>
        <v>133</v>
      </c>
      <c r="T34" s="2250"/>
      <c r="U34" s="2249">
        <f>VLOOKUP(C34,Mủ!C34:AJ69,34,0)</f>
        <v>72.116525666337594</v>
      </c>
      <c r="V34" s="2252">
        <f>VLOOKUP(C34,'Chấm công công nhân'!L33:AR34,33,0)</f>
        <v>14</v>
      </c>
      <c r="W34" s="2252">
        <f>VLOOKUP(C34,'Chấm công công nhân'!L34:AS102,34,0)</f>
        <v>3</v>
      </c>
      <c r="X34" s="2252">
        <f>VLOOKUP(C34,'Chấm công công nhân'!L34:AT68,35,0)</f>
        <v>0</v>
      </c>
      <c r="Y34" s="2252">
        <f>VLOOKUP(C34,'Chấm công công nhân'!L34:AU102,36,0)</f>
        <v>0</v>
      </c>
      <c r="Z34" s="2252"/>
      <c r="AA34" s="2252" t="str">
        <f>VLOOKUP(C34,'Kỷ thuật'!C32:M32,11,0)</f>
        <v>A</v>
      </c>
      <c r="AB34" s="2253"/>
    </row>
    <row r="35" spans="1:53" s="824" customFormat="1" ht="18" customHeight="1">
      <c r="A35" s="2272">
        <v>23</v>
      </c>
      <c r="B35" s="2237">
        <v>23</v>
      </c>
      <c r="C35" s="1611" t="str">
        <f>'Chấm công công nhân'!L35</f>
        <v>Thảo Cum Pha</v>
      </c>
      <c r="D35" s="2244"/>
      <c r="E35" s="2245"/>
      <c r="F35" s="2245"/>
      <c r="G35" s="2245"/>
      <c r="H35" s="2245"/>
      <c r="I35" s="2246">
        <f>'kt1'!H36</f>
        <v>0</v>
      </c>
      <c r="J35" s="2289">
        <f>VLOOKUP(C35,'xã miệng cạo cũ t1'!B36:H72,7,0)+VLOOKUP(C35,'xã miệng cạo mới t1'!B36:H72,7,0)</f>
        <v>30</v>
      </c>
      <c r="K35" s="2554">
        <f>VLOOKUP(C35,'Trang bị t1'!B36:H72,7,0)</f>
        <v>16</v>
      </c>
      <c r="L35" s="2289"/>
      <c r="M35" s="2289"/>
      <c r="N35" s="2247"/>
      <c r="O35" s="2247"/>
      <c r="P35" s="2247"/>
      <c r="Q35" s="2247"/>
      <c r="R35" s="2248">
        <f t="shared" si="1"/>
        <v>46</v>
      </c>
      <c r="S35" s="2249">
        <f>VLOOKUP(C35,Mủ!C35:AI70,33,0)</f>
        <v>21</v>
      </c>
      <c r="T35" s="2250"/>
      <c r="U35" s="2249">
        <f>VLOOKUP(C35,Mủ!C35:AJ70,34,0)</f>
        <v>11.386819842053303</v>
      </c>
      <c r="V35" s="2252">
        <f>VLOOKUP(C35,'Chấm công công nhân'!L34:AR35,33,0)</f>
        <v>8</v>
      </c>
      <c r="W35" s="2252">
        <f>VLOOKUP(C35,'Chấm công công nhân'!L35:AS103,34,0)</f>
        <v>2</v>
      </c>
      <c r="X35" s="2252">
        <f>VLOOKUP(C35,'Chấm công công nhân'!L35:AT69,35,0)</f>
        <v>0</v>
      </c>
      <c r="Y35" s="2252">
        <f>VLOOKUP(C35,'Chấm công công nhân'!L35:AU103,36,0)</f>
        <v>0</v>
      </c>
      <c r="Z35" s="2252"/>
      <c r="AA35" s="2252" t="str">
        <f>VLOOKUP(C35,'Kỷ thuật'!C33:M33,11,0)</f>
        <v>B</v>
      </c>
      <c r="AB35" s="2253"/>
    </row>
    <row r="36" spans="1:53" s="824" customFormat="1" ht="18" customHeight="1">
      <c r="A36" s="2272">
        <v>24</v>
      </c>
      <c r="B36" s="2237">
        <v>24</v>
      </c>
      <c r="C36" s="1611" t="str">
        <f>'Chấm công công nhân'!L36</f>
        <v>T Ô Vên</v>
      </c>
      <c r="D36" s="2244"/>
      <c r="E36" s="2245"/>
      <c r="F36" s="2245"/>
      <c r="G36" s="2245"/>
      <c r="H36" s="2245"/>
      <c r="I36" s="2246">
        <f>'kt1'!H37</f>
        <v>0</v>
      </c>
      <c r="J36" s="2289">
        <f>VLOOKUP(C36,'xã miệng cạo cũ t1'!B37:H73,7,0)+VLOOKUP(C36,'xã miệng cạo mới t1'!B37:H73,7,0)</f>
        <v>30</v>
      </c>
      <c r="K36" s="2554">
        <f>VLOOKUP(C36,'Trang bị t1'!B37:H73,7,0)</f>
        <v>16</v>
      </c>
      <c r="L36" s="2289"/>
      <c r="M36" s="2289"/>
      <c r="N36" s="2247"/>
      <c r="O36" s="2247"/>
      <c r="P36" s="2247"/>
      <c r="Q36" s="2247"/>
      <c r="R36" s="2248">
        <f t="shared" si="1"/>
        <v>46</v>
      </c>
      <c r="S36" s="2249">
        <f>VLOOKUP(C36,Mủ!C36:AI71,33,0)</f>
        <v>206</v>
      </c>
      <c r="T36" s="2250"/>
      <c r="U36" s="2249">
        <f>VLOOKUP(C36,Mủ!C36:AJ71,34,0)</f>
        <v>111.69928035538004</v>
      </c>
      <c r="V36" s="2252">
        <f>VLOOKUP(C36,'Chấm công công nhân'!L35:AR36,33,0)</f>
        <v>14</v>
      </c>
      <c r="W36" s="2252">
        <f>VLOOKUP(C36,'Chấm công công nhân'!L36:AS104,34,0)</f>
        <v>3</v>
      </c>
      <c r="X36" s="2252">
        <f>VLOOKUP(C36,'Chấm công công nhân'!L36:AT70,35,0)</f>
        <v>0</v>
      </c>
      <c r="Y36" s="2252">
        <f>VLOOKUP(C36,'Chấm công công nhân'!L36:AU104,36,0)</f>
        <v>0</v>
      </c>
      <c r="Z36" s="2252"/>
      <c r="AA36" s="2252" t="str">
        <f>VLOOKUP(C36,'Kỷ thuật'!C34:M34,11,0)</f>
        <v>B</v>
      </c>
      <c r="AB36" s="2253"/>
    </row>
    <row r="37" spans="1:53" s="824" customFormat="1" ht="18" customHeight="1">
      <c r="A37" s="2272">
        <v>25</v>
      </c>
      <c r="B37" s="2237">
        <v>25</v>
      </c>
      <c r="C37" s="1611" t="str">
        <f>'Chấm công công nhân'!L37</f>
        <v>Nàng Lam</v>
      </c>
      <c r="D37" s="2244"/>
      <c r="E37" s="2245"/>
      <c r="F37" s="2245"/>
      <c r="G37" s="2245"/>
      <c r="H37" s="2245"/>
      <c r="I37" s="2246">
        <f>'kt1'!H38</f>
        <v>0</v>
      </c>
      <c r="J37" s="2289">
        <f>VLOOKUP(C37,'xã miệng cạo cũ t1'!B38:H74,7,0)+VLOOKUP(C37,'xã miệng cạo mới t1'!B38:H74,7,0)</f>
        <v>30</v>
      </c>
      <c r="K37" s="2554">
        <f>VLOOKUP(C37,'Trang bị t1'!B38:H74,7,0)</f>
        <v>16</v>
      </c>
      <c r="L37" s="2289"/>
      <c r="M37" s="2289"/>
      <c r="N37" s="2247"/>
      <c r="O37" s="2247"/>
      <c r="P37" s="2247"/>
      <c r="Q37" s="2247"/>
      <c r="R37" s="2248">
        <f t="shared" si="1"/>
        <v>46</v>
      </c>
      <c r="S37" s="2249">
        <f>VLOOKUP(C37,Mủ!C37:AI72,33,0)</f>
        <v>247</v>
      </c>
      <c r="T37" s="2250"/>
      <c r="U37" s="2249">
        <f>VLOOKUP(C37,Mủ!C37:AJ72,34,0)</f>
        <v>133.93069052319839</v>
      </c>
      <c r="V37" s="2252">
        <f>VLOOKUP(C37,'Chấm công công nhân'!L36:AR37,33,0)</f>
        <v>18</v>
      </c>
      <c r="W37" s="2252">
        <f>VLOOKUP(C37,'Chấm công công nhân'!L37:AS105,34,0)</f>
        <v>4</v>
      </c>
      <c r="X37" s="2252">
        <f>VLOOKUP(C37,'Chấm công công nhân'!L37:AT71,35,0)</f>
        <v>0</v>
      </c>
      <c r="Y37" s="2252">
        <f>VLOOKUP(C37,'Chấm công công nhân'!L37:AU105,36,0)</f>
        <v>0</v>
      </c>
      <c r="Z37" s="2252"/>
      <c r="AA37" s="2252" t="str">
        <f>VLOOKUP(C37,'Kỷ thuật'!C35:M35,11,0)</f>
        <v>A</v>
      </c>
      <c r="AB37" s="2253"/>
    </row>
    <row r="38" spans="1:53" s="824" customFormat="1" ht="18" customHeight="1">
      <c r="A38" s="2272">
        <v>26</v>
      </c>
      <c r="B38" s="2237">
        <v>26</v>
      </c>
      <c r="C38" s="1611" t="str">
        <f>'Chấm công công nhân'!L38</f>
        <v>Nàng Hđao</v>
      </c>
      <c r="D38" s="2244"/>
      <c r="E38" s="2245"/>
      <c r="F38" s="2245"/>
      <c r="G38" s="2245"/>
      <c r="H38" s="2245"/>
      <c r="I38" s="2246">
        <f>'kt1'!H39</f>
        <v>0</v>
      </c>
      <c r="J38" s="2289">
        <f>VLOOKUP(C38,'xã miệng cạo cũ t1'!B39:H75,7,0)+VLOOKUP(C38,'xã miệng cạo mới t1'!B39:H75,7,0)</f>
        <v>30</v>
      </c>
      <c r="K38" s="2554">
        <f>VLOOKUP(C38,'Trang bị t1'!B39:H75,7,0)</f>
        <v>16</v>
      </c>
      <c r="L38" s="2289"/>
      <c r="M38" s="2289"/>
      <c r="N38" s="2247"/>
      <c r="O38" s="2247"/>
      <c r="P38" s="2247"/>
      <c r="Q38" s="2247"/>
      <c r="R38" s="2248">
        <f t="shared" si="1"/>
        <v>46</v>
      </c>
      <c r="S38" s="2249">
        <f>VLOOKUP(C38,Mủ!C38:AI73,33,0)</f>
        <v>48</v>
      </c>
      <c r="T38" s="2250"/>
      <c r="U38" s="2249">
        <f>VLOOKUP(C38,Mủ!C38:AJ73,34,0)</f>
        <v>26.027016781836124</v>
      </c>
      <c r="V38" s="2252">
        <f>VLOOKUP(C38,'Chấm công công nhân'!L37:AR38,33,0)</f>
        <v>13</v>
      </c>
      <c r="W38" s="2252">
        <f>VLOOKUP(C38,'Chấm công công nhân'!L38:AS106,34,0)</f>
        <v>3</v>
      </c>
      <c r="X38" s="2252">
        <f>VLOOKUP(C38,'Chấm công công nhân'!L38:AT72,35,0)</f>
        <v>0</v>
      </c>
      <c r="Y38" s="2252">
        <f>VLOOKUP(C38,'Chấm công công nhân'!L38:AU106,36,0)</f>
        <v>0</v>
      </c>
      <c r="Z38" s="2252"/>
      <c r="AA38" s="2252" t="str">
        <f>VLOOKUP(C38,'Kỷ thuật'!C36:M36,11,0)</f>
        <v>B</v>
      </c>
      <c r="AB38" s="2253"/>
    </row>
    <row r="39" spans="1:53" s="824" customFormat="1" ht="18" customHeight="1">
      <c r="A39" s="2272">
        <v>27</v>
      </c>
      <c r="B39" s="2237">
        <v>27</v>
      </c>
      <c r="C39" s="1611" t="str">
        <f>'Chấm công công nhân'!L39</f>
        <v>Thảo Tong</v>
      </c>
      <c r="D39" s="2244"/>
      <c r="E39" s="2245"/>
      <c r="F39" s="2245"/>
      <c r="G39" s="2245"/>
      <c r="H39" s="2245"/>
      <c r="I39" s="2246">
        <f>'kt1'!H40</f>
        <v>0</v>
      </c>
      <c r="J39" s="2289">
        <f>VLOOKUP(C39,'xã miệng cạo cũ t1'!B40:H76,7,0)+VLOOKUP(C39,'xã miệng cạo mới t1'!B40:H76,7,0)</f>
        <v>32</v>
      </c>
      <c r="K39" s="2554">
        <f>VLOOKUP(C39,'Trang bị t1'!B40:H76,7,0)</f>
        <v>16</v>
      </c>
      <c r="L39" s="2289"/>
      <c r="M39" s="2289"/>
      <c r="N39" s="2247"/>
      <c r="O39" s="2247"/>
      <c r="P39" s="2247"/>
      <c r="Q39" s="2247"/>
      <c r="R39" s="2248">
        <f t="shared" si="1"/>
        <v>48</v>
      </c>
      <c r="S39" s="2249">
        <f>VLOOKUP(C39,Mủ!C39:AI74,33,0)</f>
        <v>118</v>
      </c>
      <c r="T39" s="2250"/>
      <c r="U39" s="2249">
        <f>VLOOKUP(C39,Mủ!C39:AJ74,34,0)</f>
        <v>63.9830829220138</v>
      </c>
      <c r="V39" s="2252">
        <f>VLOOKUP(C39,'Chấm công công nhân'!L38:AR39,33,0)</f>
        <v>14</v>
      </c>
      <c r="W39" s="2252">
        <f>VLOOKUP(C39,'Chấm công công nhân'!L39:AS107,34,0)</f>
        <v>3</v>
      </c>
      <c r="X39" s="2252">
        <f>VLOOKUP(C39,'Chấm công công nhân'!L39:AT73,35,0)</f>
        <v>0</v>
      </c>
      <c r="Y39" s="2252">
        <f>VLOOKUP(C39,'Chấm công công nhân'!L39:AU107,36,0)</f>
        <v>0</v>
      </c>
      <c r="Z39" s="2252"/>
      <c r="AA39" s="2252" t="str">
        <f>VLOOKUP(C39,'Kỷ thuật'!C37:M37,11,0)</f>
        <v>B</v>
      </c>
      <c r="AB39" s="2253"/>
    </row>
    <row r="40" spans="1:53" s="824" customFormat="1" ht="18" customHeight="1">
      <c r="A40" s="2272">
        <v>28</v>
      </c>
      <c r="B40" s="2237">
        <v>28</v>
      </c>
      <c r="C40" s="1611" t="str">
        <f>'Chấm công công nhân'!L40</f>
        <v>Thảo Khốc</v>
      </c>
      <c r="D40" s="2244"/>
      <c r="E40" s="2245"/>
      <c r="F40" s="2245"/>
      <c r="G40" s="2245"/>
      <c r="H40" s="2245"/>
      <c r="I40" s="2246">
        <f>'kt1'!H41</f>
        <v>0</v>
      </c>
      <c r="J40" s="2289">
        <f>VLOOKUP(C40,'xã miệng cạo cũ t1'!B41:H77,7,0)+VLOOKUP(C40,'xã miệng cạo mới t1'!B41:H77,7,0)</f>
        <v>32</v>
      </c>
      <c r="K40" s="2554">
        <f>VLOOKUP(C40,'Trang bị t1'!B41:H77,7,0)</f>
        <v>16</v>
      </c>
      <c r="L40" s="2289"/>
      <c r="M40" s="2289"/>
      <c r="N40" s="2247"/>
      <c r="O40" s="2247"/>
      <c r="P40" s="2247"/>
      <c r="Q40" s="2247"/>
      <c r="R40" s="2248">
        <f t="shared" si="1"/>
        <v>48</v>
      </c>
      <c r="S40" s="2249">
        <f>VLOOKUP(C40,Mủ!C40:AI75,33,0)</f>
        <v>427</v>
      </c>
      <c r="T40" s="2250"/>
      <c r="U40" s="2249">
        <f>VLOOKUP(C40,Mủ!C40:AJ75,34,0)</f>
        <v>231.53200345508384</v>
      </c>
      <c r="V40" s="2252">
        <f>VLOOKUP(C40,'Chấm công công nhân'!L39:AR40,33,0)</f>
        <v>19</v>
      </c>
      <c r="W40" s="2252">
        <f>VLOOKUP(C40,'Chấm công công nhân'!L40:AS108,34,0)</f>
        <v>3</v>
      </c>
      <c r="X40" s="2252">
        <f>VLOOKUP(C40,'Chấm công công nhân'!L40:AT74,35,0)</f>
        <v>0</v>
      </c>
      <c r="Y40" s="2252">
        <f>VLOOKUP(C40,'Chấm công công nhân'!L40:AU108,36,0)</f>
        <v>0</v>
      </c>
      <c r="Z40" s="2252"/>
      <c r="AA40" s="2252" t="str">
        <f>VLOOKUP(C40,'Kỷ thuật'!C38:M38,11,0)</f>
        <v>A</v>
      </c>
      <c r="AB40" s="2253"/>
    </row>
    <row r="41" spans="1:53" s="824" customFormat="1" ht="18" customHeight="1">
      <c r="A41" s="2272">
        <v>29</v>
      </c>
      <c r="B41" s="2237">
        <v>29</v>
      </c>
      <c r="C41" s="1611" t="str">
        <f>'Chấm công công nhân'!L41</f>
        <v>Thảo Sợt</v>
      </c>
      <c r="D41" s="2244"/>
      <c r="E41" s="2245"/>
      <c r="F41" s="2245"/>
      <c r="G41" s="2245"/>
      <c r="H41" s="2245"/>
      <c r="I41" s="2246">
        <f>'kt1'!H42</f>
        <v>0</v>
      </c>
      <c r="J41" s="2289">
        <f>VLOOKUP(C41,'xã miệng cạo cũ t1'!B42:H78,7,0)+VLOOKUP(C41,'xã miệng cạo mới t1'!B42:H78,7,0)</f>
        <v>32</v>
      </c>
      <c r="K41" s="2554">
        <f>VLOOKUP(C41,'Trang bị t1'!B42:H78,7,0)</f>
        <v>16</v>
      </c>
      <c r="L41" s="2289"/>
      <c r="M41" s="2289"/>
      <c r="N41" s="2247"/>
      <c r="O41" s="2247"/>
      <c r="P41" s="2247"/>
      <c r="Q41" s="2247"/>
      <c r="R41" s="2248">
        <f t="shared" si="1"/>
        <v>48</v>
      </c>
      <c r="S41" s="2249">
        <f>VLOOKUP(C41,Mủ!C41:AI76,33,0)</f>
        <v>430</v>
      </c>
      <c r="T41" s="2250"/>
      <c r="U41" s="2249">
        <f>VLOOKUP(C41,Mủ!C41:AJ76,34,0)</f>
        <v>233.1586920039486</v>
      </c>
      <c r="V41" s="2252">
        <f>VLOOKUP(C41,'Chấm công công nhân'!L40:AR41,33,0)</f>
        <v>19</v>
      </c>
      <c r="W41" s="2252">
        <f>VLOOKUP(C41,'Chấm công công nhân'!L41:AS109,34,0)</f>
        <v>3</v>
      </c>
      <c r="X41" s="2252">
        <f>VLOOKUP(C41,'Chấm công công nhân'!L41:AT75,35,0)</f>
        <v>0</v>
      </c>
      <c r="Y41" s="2252">
        <f>VLOOKUP(C41,'Chấm công công nhân'!L41:AU109,36,0)</f>
        <v>0</v>
      </c>
      <c r="Z41" s="2252"/>
      <c r="AA41" s="2252" t="str">
        <f>VLOOKUP(C41,'Kỷ thuật'!C39:M39,11,0)</f>
        <v>B</v>
      </c>
      <c r="AB41" s="2253"/>
    </row>
    <row r="42" spans="1:53" s="824" customFormat="1" ht="18" customHeight="1">
      <c r="A42" s="2272">
        <v>30</v>
      </c>
      <c r="B42" s="2237">
        <v>30</v>
      </c>
      <c r="C42" s="1611" t="str">
        <f>'Chấm công công nhân'!L42</f>
        <v>Thảo Văn</v>
      </c>
      <c r="D42" s="2244"/>
      <c r="E42" s="2245"/>
      <c r="F42" s="2245"/>
      <c r="G42" s="2245"/>
      <c r="H42" s="2245"/>
      <c r="I42" s="2246">
        <f>'kt1'!H43</f>
        <v>0</v>
      </c>
      <c r="J42" s="2289">
        <f>VLOOKUP(C42,'xã miệng cạo cũ t1'!B43:H79,7,0)+VLOOKUP(C42,'xã miệng cạo mới t1'!B43:H79,7,0)</f>
        <v>32</v>
      </c>
      <c r="K42" s="2554">
        <f>VLOOKUP(C42,'Trang bị t1'!B43:H79,7,0)</f>
        <v>16</v>
      </c>
      <c r="L42" s="2289"/>
      <c r="M42" s="2289"/>
      <c r="N42" s="2247"/>
      <c r="O42" s="2247"/>
      <c r="P42" s="2247"/>
      <c r="Q42" s="2247"/>
      <c r="R42" s="2248">
        <f t="shared" si="1"/>
        <v>48</v>
      </c>
      <c r="S42" s="2249">
        <f>VLOOKUP(C42,Mủ!C42:AI77,33,0)</f>
        <v>0</v>
      </c>
      <c r="T42" s="2250"/>
      <c r="U42" s="2249">
        <f>VLOOKUP(C42,Mủ!C42:AJ77,34,0)</f>
        <v>0</v>
      </c>
      <c r="V42" s="2252">
        <f>VLOOKUP(C42,'Chấm công công nhân'!L41:AR42,33,0)</f>
        <v>13</v>
      </c>
      <c r="W42" s="2252">
        <f>VLOOKUP(C42,'Chấm công công nhân'!L42:AS110,34,0)</f>
        <v>2</v>
      </c>
      <c r="X42" s="2252">
        <f>VLOOKUP(C42,'Chấm công công nhân'!L42:AT76,35,0)</f>
        <v>0</v>
      </c>
      <c r="Y42" s="2252">
        <f>VLOOKUP(C42,'Chấm công công nhân'!L42:AU110,36,0)</f>
        <v>0</v>
      </c>
      <c r="Z42" s="2252"/>
      <c r="AA42" s="2252" t="str">
        <f>VLOOKUP(C42,'Kỷ thuật'!C40:M40,11,0)</f>
        <v>C</v>
      </c>
      <c r="AB42" s="2253"/>
    </row>
    <row r="43" spans="1:53" s="824" customFormat="1" ht="18" customHeight="1">
      <c r="A43" s="2272">
        <v>31</v>
      </c>
      <c r="B43" s="2237">
        <v>31</v>
      </c>
      <c r="C43" s="1611" t="str">
        <f>'Chấm công công nhân'!L43</f>
        <v>Nàng Túc</v>
      </c>
      <c r="D43" s="2244"/>
      <c r="E43" s="2245"/>
      <c r="F43" s="2245"/>
      <c r="G43" s="2245"/>
      <c r="H43" s="2245"/>
      <c r="I43" s="2246">
        <f>'kt1'!H44</f>
        <v>0</v>
      </c>
      <c r="J43" s="2289">
        <f>VLOOKUP(C43,'xã miệng cạo cũ t1'!B44:H80,7,0)+VLOOKUP(C43,'xã miệng cạo mới t1'!B44:H80,7,0)</f>
        <v>32</v>
      </c>
      <c r="K43" s="2554">
        <f>VLOOKUP(C43,'Trang bị t1'!B44:H80,7,0)</f>
        <v>16</v>
      </c>
      <c r="L43" s="2289"/>
      <c r="M43" s="2289"/>
      <c r="N43" s="2247"/>
      <c r="O43" s="2247"/>
      <c r="P43" s="2247"/>
      <c r="Q43" s="2247"/>
      <c r="R43" s="2248">
        <f t="shared" si="1"/>
        <v>48</v>
      </c>
      <c r="S43" s="2249">
        <f>VLOOKUP(C43,Mủ!C43:AI78,33,0)</f>
        <v>209</v>
      </c>
      <c r="T43" s="2250"/>
      <c r="U43" s="2249">
        <f>VLOOKUP(C43,Mủ!C43:AJ78,34,0)</f>
        <v>113.32596890424479</v>
      </c>
      <c r="V43" s="2252">
        <f>VLOOKUP(C43,'Chấm công công nhân'!L42:AR43,33,0)</f>
        <v>14</v>
      </c>
      <c r="W43" s="2252">
        <f>VLOOKUP(C43,'Chấm công công nhân'!L43:AS111,34,0)</f>
        <v>3</v>
      </c>
      <c r="X43" s="2252">
        <f>VLOOKUP(C43,'Chấm công công nhân'!L43:AT77,35,0)</f>
        <v>0</v>
      </c>
      <c r="Y43" s="2252">
        <f>VLOOKUP(C43,'Chấm công công nhân'!L43:AU111,36,0)</f>
        <v>0</v>
      </c>
      <c r="Z43" s="2252"/>
      <c r="AA43" s="2252" t="str">
        <f>VLOOKUP(C43,'Kỷ thuật'!C41:M41,11,0)</f>
        <v>A</v>
      </c>
      <c r="AB43" s="2253"/>
    </row>
    <row r="44" spans="1:53" s="824" customFormat="1" ht="18" customHeight="1">
      <c r="A44" s="2272">
        <v>32</v>
      </c>
      <c r="B44" s="2237">
        <v>32</v>
      </c>
      <c r="C44" s="1611" t="str">
        <f>'Chấm công công nhân'!L44</f>
        <v>Nàng Chon</v>
      </c>
      <c r="D44" s="2244"/>
      <c r="E44" s="2245"/>
      <c r="F44" s="2245"/>
      <c r="G44" s="2245"/>
      <c r="H44" s="2245"/>
      <c r="I44" s="2246">
        <f>'kt1'!H45</f>
        <v>0</v>
      </c>
      <c r="J44" s="2289">
        <f>VLOOKUP(C44,'xã miệng cạo cũ t1'!B45:H81,7,0)+VLOOKUP(C44,'xã miệng cạo mới t1'!B45:H81,7,0)</f>
        <v>32</v>
      </c>
      <c r="K44" s="2554">
        <f>VLOOKUP(C44,'Trang bị t1'!B45:H81,7,0)</f>
        <v>16</v>
      </c>
      <c r="L44" s="2289"/>
      <c r="M44" s="2289"/>
      <c r="N44" s="2247"/>
      <c r="O44" s="2247"/>
      <c r="P44" s="2247"/>
      <c r="Q44" s="2247"/>
      <c r="R44" s="2248">
        <f t="shared" si="1"/>
        <v>48</v>
      </c>
      <c r="S44" s="2249">
        <f>VLOOKUP(C44,Mủ!C44:AI79,33,0)</f>
        <v>306</v>
      </c>
      <c r="T44" s="2250"/>
      <c r="U44" s="2249">
        <f>VLOOKUP(C44,Mủ!C44:AJ79,34,0)</f>
        <v>165.92223198420527</v>
      </c>
      <c r="V44" s="2252">
        <f>VLOOKUP(C44,'Chấm công công nhân'!L43:AR44,33,0)</f>
        <v>18</v>
      </c>
      <c r="W44" s="2252">
        <f>VLOOKUP(C44,'Chấm công công nhân'!L44:AS112,34,0)</f>
        <v>4</v>
      </c>
      <c r="X44" s="2252">
        <f>VLOOKUP(C44,'Chấm công công nhân'!L44:AT78,35,0)</f>
        <v>0</v>
      </c>
      <c r="Y44" s="2252">
        <f>VLOOKUP(C44,'Chấm công công nhân'!L44:AU112,36,0)</f>
        <v>0</v>
      </c>
      <c r="Z44" s="2252"/>
      <c r="AA44" s="2252" t="str">
        <f>VLOOKUP(C44,'Kỷ thuật'!C42:M42,11,0)</f>
        <v>B</v>
      </c>
      <c r="AB44" s="2253"/>
    </row>
    <row r="45" spans="1:53" s="824" customFormat="1" ht="18" customHeight="1">
      <c r="A45" s="2272">
        <v>33</v>
      </c>
      <c r="B45" s="2237">
        <v>33</v>
      </c>
      <c r="C45" s="1611" t="str">
        <f>'Chấm công công nhân'!L45</f>
        <v>Thảo Hơ Phơ</v>
      </c>
      <c r="D45" s="2244"/>
      <c r="E45" s="2245"/>
      <c r="F45" s="2245"/>
      <c r="G45" s="2245"/>
      <c r="H45" s="2245"/>
      <c r="I45" s="2246">
        <f>'kt1'!H46</f>
        <v>0</v>
      </c>
      <c r="J45" s="2289">
        <f>VLOOKUP(C45,'xã miệng cạo cũ t1'!B46:H82,7,0)+VLOOKUP(C45,'xã miệng cạo mới t1'!B46:H82,7,0)</f>
        <v>32</v>
      </c>
      <c r="K45" s="2554">
        <f>VLOOKUP(C45,'Trang bị t1'!B46:H82,7,0)</f>
        <v>16</v>
      </c>
      <c r="L45" s="2289"/>
      <c r="M45" s="2289"/>
      <c r="N45" s="2247"/>
      <c r="O45" s="2247"/>
      <c r="P45" s="2247"/>
      <c r="Q45" s="2247"/>
      <c r="R45" s="2248">
        <f t="shared" si="1"/>
        <v>48</v>
      </c>
      <c r="S45" s="2249">
        <f>VLOOKUP(C45,Mủ!C45:AI80,33,0)</f>
        <v>307</v>
      </c>
      <c r="T45" s="2250"/>
      <c r="U45" s="2249">
        <f>VLOOKUP(C45,Mủ!C45:AJ80,34,0)</f>
        <v>166.46446150049351</v>
      </c>
      <c r="V45" s="2252">
        <f>VLOOKUP(C45,'Chấm công công nhân'!L44:AR45,33,0)</f>
        <v>17</v>
      </c>
      <c r="W45" s="2252">
        <f>VLOOKUP(C45,'Chấm công công nhân'!L45:AS113,34,0)</f>
        <v>3</v>
      </c>
      <c r="X45" s="2252">
        <f>VLOOKUP(C45,'Chấm công công nhân'!L45:AT79,35,0)</f>
        <v>0</v>
      </c>
      <c r="Y45" s="2252">
        <f>VLOOKUP(C45,'Chấm công công nhân'!L45:AU113,36,0)</f>
        <v>0</v>
      </c>
      <c r="Z45" s="2252"/>
      <c r="AA45" s="2252" t="str">
        <f>VLOOKUP(C45,'Kỷ thuật'!C43:M43,11,0)</f>
        <v>A</v>
      </c>
      <c r="AB45" s="2253"/>
    </row>
    <row r="46" spans="1:53" s="824" customFormat="1" ht="18" customHeight="1">
      <c r="A46" s="2272">
        <v>34</v>
      </c>
      <c r="B46" s="2237">
        <v>34</v>
      </c>
      <c r="C46" s="1611" t="str">
        <f>'Chấm công công nhân'!L46</f>
        <v>Thảo Phét</v>
      </c>
      <c r="D46" s="2244"/>
      <c r="E46" s="2245"/>
      <c r="F46" s="2245"/>
      <c r="G46" s="2245"/>
      <c r="H46" s="2245"/>
      <c r="I46" s="2246">
        <f>'kt1'!H47</f>
        <v>0</v>
      </c>
      <c r="J46" s="2289">
        <f>VLOOKUP(C46,'xã miệng cạo cũ t1'!B47:H83,7,0)+VLOOKUP(C46,'xã miệng cạo mới t1'!B47:H83,7,0)</f>
        <v>32</v>
      </c>
      <c r="K46" s="2554">
        <f>VLOOKUP(C46,'Trang bị t1'!B47:H83,7,0)</f>
        <v>16</v>
      </c>
      <c r="L46" s="2289"/>
      <c r="M46" s="2289"/>
      <c r="N46" s="2247"/>
      <c r="O46" s="2247"/>
      <c r="P46" s="2247"/>
      <c r="Q46" s="2247"/>
      <c r="R46" s="2248">
        <f t="shared" si="1"/>
        <v>48</v>
      </c>
      <c r="S46" s="2249">
        <f>VLOOKUP(C46,Mủ!C46:AI81,33,0)</f>
        <v>311</v>
      </c>
      <c r="T46" s="2250"/>
      <c r="U46" s="2249">
        <f>VLOOKUP(C46,Mủ!C46:AJ81,34,0)</f>
        <v>168.63337956564655</v>
      </c>
      <c r="V46" s="2252">
        <f>VLOOKUP(C46,'Chấm công công nhân'!L45:AR46,33,0)</f>
        <v>20</v>
      </c>
      <c r="W46" s="2252">
        <f>VLOOKUP(C46,'Chấm công công nhân'!L46:AS114,34,0)</f>
        <v>3</v>
      </c>
      <c r="X46" s="2252">
        <f>VLOOKUP(C46,'Chấm công công nhân'!L46:AT80,35,0)</f>
        <v>0</v>
      </c>
      <c r="Y46" s="2252">
        <f>VLOOKUP(C46,'Chấm công công nhân'!L46:AU114,36,0)</f>
        <v>0</v>
      </c>
      <c r="Z46" s="2252"/>
      <c r="AA46" s="2252" t="str">
        <f>VLOOKUP(C46,'Kỷ thuật'!C44:M44,11,0)</f>
        <v>A</v>
      </c>
      <c r="AB46" s="2253"/>
    </row>
    <row r="47" spans="1:53" s="824" customFormat="1" ht="18" customHeight="1">
      <c r="A47" s="2272">
        <v>35</v>
      </c>
      <c r="B47" s="2237">
        <v>35</v>
      </c>
      <c r="C47" s="1611" t="str">
        <f>'Chấm công công nhân'!L47</f>
        <v>Hăn</v>
      </c>
      <c r="D47" s="2244"/>
      <c r="E47" s="2245"/>
      <c r="F47" s="2245"/>
      <c r="G47" s="2245"/>
      <c r="H47" s="2245"/>
      <c r="I47" s="2246">
        <f>'kt1'!H48</f>
        <v>0</v>
      </c>
      <c r="J47" s="2289">
        <f>VLOOKUP(C47,'xã miệng cạo cũ t1'!B48:H84,7,0)+VLOOKUP(C47,'xã miệng cạo mới t1'!B48:H84,7,0)</f>
        <v>32</v>
      </c>
      <c r="K47" s="2554">
        <f>VLOOKUP(C47,'Trang bị t1'!B48:H84,7,0)</f>
        <v>16</v>
      </c>
      <c r="L47" s="2289"/>
      <c r="M47" s="2289"/>
      <c r="N47" s="2247"/>
      <c r="O47" s="2247"/>
      <c r="P47" s="2247"/>
      <c r="Q47" s="2247"/>
      <c r="R47" s="2248">
        <f t="shared" si="1"/>
        <v>48</v>
      </c>
      <c r="S47" s="2249">
        <f>VLOOKUP(C47,Mủ!C47:AI82,33,0)</f>
        <v>47</v>
      </c>
      <c r="T47" s="2250"/>
      <c r="U47" s="2249">
        <f>VLOOKUP(C47,Mủ!C47:AJ82,34,0)</f>
        <v>25.484787265547869</v>
      </c>
      <c r="V47" s="2252">
        <f>VLOOKUP(C47,'Chấm công công nhân'!L46:AR47,33,0)</f>
        <v>17</v>
      </c>
      <c r="W47" s="2252">
        <f>VLOOKUP(C47,'Chấm công công nhân'!L47:AS115,34,0)</f>
        <v>3</v>
      </c>
      <c r="X47" s="2252">
        <f>VLOOKUP(C47,'Chấm công công nhân'!L47:AT81,35,0)</f>
        <v>0</v>
      </c>
      <c r="Y47" s="2252">
        <f>VLOOKUP(C47,'Chấm công công nhân'!L47:AU115,36,0)</f>
        <v>0</v>
      </c>
      <c r="Z47" s="2252"/>
      <c r="AA47" s="2252" t="str">
        <f>VLOOKUP(C47,'Kỷ thuật'!C45:M45,11,0)</f>
        <v>A</v>
      </c>
      <c r="AB47" s="2253"/>
    </row>
    <row r="48" spans="1:53" s="1959" customFormat="1" ht="18" customHeight="1">
      <c r="A48" s="2272">
        <v>36</v>
      </c>
      <c r="B48" s="2237">
        <v>36</v>
      </c>
      <c r="C48" s="1611" t="str">
        <f>'Chấm công công nhân'!L48</f>
        <v>Thảo Tuỳ</v>
      </c>
      <c r="D48" s="2244"/>
      <c r="E48" s="2245"/>
      <c r="F48" s="2245"/>
      <c r="G48" s="2245"/>
      <c r="H48" s="2245"/>
      <c r="I48" s="2246">
        <f>'kt1'!H49</f>
        <v>0</v>
      </c>
      <c r="J48" s="2289">
        <f>VLOOKUP(C48,'xã miệng cạo cũ t1'!B49:H85,7,0)+VLOOKUP(C48,'xã miệng cạo mới t1'!B49:H85,7,0)</f>
        <v>32</v>
      </c>
      <c r="K48" s="2554">
        <f>VLOOKUP(C48,'Trang bị t1'!B49:H85,7,0)</f>
        <v>16</v>
      </c>
      <c r="L48" s="2289"/>
      <c r="M48" s="2289"/>
      <c r="N48" s="2247"/>
      <c r="O48" s="2247"/>
      <c r="P48" s="2247"/>
      <c r="Q48" s="2247"/>
      <c r="R48" s="2248">
        <f t="shared" si="1"/>
        <v>48</v>
      </c>
      <c r="S48" s="2249">
        <f>VLOOKUP(C48,Mủ!C48:AI83,33,0)</f>
        <v>348</v>
      </c>
      <c r="T48" s="2250"/>
      <c r="U48" s="2249">
        <f>VLOOKUP(C48,Mủ!C48:AJ83,34,0)</f>
        <v>188.6958716683119</v>
      </c>
      <c r="V48" s="2252">
        <f>VLOOKUP(C48,'Chấm công công nhân'!L47:AR48,33,0)</f>
        <v>19</v>
      </c>
      <c r="W48" s="2252">
        <f>VLOOKUP(C48,'Chấm công công nhân'!L48:AS116,34,0)</f>
        <v>4</v>
      </c>
      <c r="X48" s="2252">
        <f>VLOOKUP(C48,'Chấm công công nhân'!L48:AT82,35,0)</f>
        <v>0</v>
      </c>
      <c r="Y48" s="2252">
        <f>VLOOKUP(C48,'Chấm công công nhân'!L48:AU116,36,0)</f>
        <v>0</v>
      </c>
      <c r="Z48" s="2252"/>
      <c r="AA48" s="2252" t="str">
        <f>VLOOKUP(C48,'Kỷ thuật'!C46:M46,11,0)</f>
        <v>A</v>
      </c>
      <c r="AB48" s="2253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</row>
    <row r="49" spans="1:53" s="1959" customFormat="1" ht="18" customHeight="1">
      <c r="A49" s="2272">
        <v>37</v>
      </c>
      <c r="B49" s="2237">
        <v>37</v>
      </c>
      <c r="C49" s="1611" t="str">
        <f>'Chấm công công nhân'!L49</f>
        <v>Thảo Đa Văn</v>
      </c>
      <c r="D49" s="2244"/>
      <c r="E49" s="2245"/>
      <c r="F49" s="2245"/>
      <c r="G49" s="2245"/>
      <c r="H49" s="2245"/>
      <c r="I49" s="2246"/>
      <c r="J49" s="2289">
        <f>VLOOKUP(C49,'xã miệng cạo cũ t1'!B50:H86,7,0)+VLOOKUP(C49,'xã miệng cạo mới t1'!B50:H86,7,0)</f>
        <v>32</v>
      </c>
      <c r="K49" s="2554">
        <f>VLOOKUP(C49,'Trang bị t1'!B50:H86,7,0)</f>
        <v>16</v>
      </c>
      <c r="L49" s="2289">
        <f>VLOOKUP(C49,'Thiết kế t1'!B14:H14,7,0)</f>
        <v>24</v>
      </c>
      <c r="M49" s="2289"/>
      <c r="N49" s="2247"/>
      <c r="O49" s="2247"/>
      <c r="P49" s="2247"/>
      <c r="Q49" s="2247"/>
      <c r="R49" s="2248">
        <f t="shared" si="1"/>
        <v>72</v>
      </c>
      <c r="S49" s="2249">
        <f>VLOOKUP(C49,Mủ!C49:AI84,33,0)</f>
        <v>0</v>
      </c>
      <c r="T49" s="2250"/>
      <c r="U49" s="2249">
        <f>VLOOKUP(C49,Mủ!C49:AJ84,34,0)</f>
        <v>0</v>
      </c>
      <c r="V49" s="2252">
        <f>VLOOKUP(C49,'Chấm công công nhân'!L48:AR49,33,0)</f>
        <v>0</v>
      </c>
      <c r="W49" s="2252">
        <f>VLOOKUP(C49,'Chấm công công nhân'!L49:AS117,34,0)</f>
        <v>0</v>
      </c>
      <c r="X49" s="2252">
        <f>VLOOKUP(C49,'Chấm công công nhân'!L49:AT83,35,0)</f>
        <v>5</v>
      </c>
      <c r="Y49" s="2252">
        <f>VLOOKUP(C49,'Chấm công công nhân'!L49:AU117,36,0)</f>
        <v>1</v>
      </c>
      <c r="Z49" s="2252"/>
      <c r="AA49" s="2252" t="str">
        <f>VLOOKUP(C49,'Kỷ thuật'!C47:M47,11,0)</f>
        <v>B</v>
      </c>
      <c r="AB49" s="2253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824"/>
      <c r="AO49" s="824"/>
      <c r="AP49" s="824"/>
      <c r="AQ49" s="824"/>
      <c r="AR49" s="824"/>
      <c r="AS49" s="824"/>
      <c r="AT49" s="824"/>
      <c r="AU49" s="824"/>
      <c r="AV49" s="824"/>
      <c r="AW49" s="824"/>
      <c r="AX49" s="824"/>
      <c r="AY49" s="824"/>
      <c r="AZ49" s="824"/>
      <c r="BA49" s="824"/>
    </row>
    <row r="50" spans="1:53" s="824" customFormat="1" ht="18" customHeight="1">
      <c r="A50" s="2272">
        <v>38</v>
      </c>
      <c r="B50" s="2237">
        <v>38</v>
      </c>
      <c r="C50" s="1958" t="s">
        <v>1140</v>
      </c>
      <c r="D50" s="2254"/>
      <c r="E50" s="2256"/>
      <c r="F50" s="2256"/>
      <c r="G50" s="2255"/>
      <c r="H50" s="2291"/>
      <c r="I50" s="2256">
        <f>AE91+AF91</f>
        <v>0</v>
      </c>
      <c r="J50" s="2289"/>
      <c r="K50" s="3545"/>
      <c r="L50" s="3545"/>
      <c r="M50" s="3545"/>
      <c r="N50" s="2256"/>
      <c r="O50" s="2256"/>
      <c r="P50" s="2256"/>
      <c r="Q50" s="2677"/>
      <c r="R50" s="2248">
        <f t="shared" si="1"/>
        <v>0</v>
      </c>
      <c r="S50" s="2249"/>
      <c r="T50" s="2258"/>
      <c r="U50" s="2249"/>
      <c r="V50" s="2252"/>
      <c r="W50" s="2252"/>
      <c r="X50" s="2252"/>
      <c r="Y50" s="2252"/>
      <c r="Z50" s="2258"/>
      <c r="AA50" s="2252"/>
      <c r="AB50" s="2260"/>
      <c r="AC50" s="1959"/>
      <c r="AD50" s="1959"/>
      <c r="AE50" s="1959"/>
      <c r="AF50" s="1959"/>
      <c r="AG50" s="1959"/>
      <c r="AH50" s="1959"/>
      <c r="AI50" s="1959"/>
      <c r="AJ50" s="1959"/>
      <c r="AK50" s="1959"/>
      <c r="AL50" s="1959"/>
      <c r="AM50" s="1959"/>
      <c r="AN50" s="1959"/>
      <c r="AO50" s="1959"/>
      <c r="AP50" s="1959"/>
      <c r="AQ50" s="1959"/>
      <c r="AR50" s="1959"/>
      <c r="AS50" s="1959"/>
      <c r="AT50" s="1959"/>
      <c r="AU50" s="1959"/>
      <c r="AV50" s="1959"/>
      <c r="AW50" s="1959"/>
      <c r="AX50" s="1959"/>
      <c r="AY50" s="1959"/>
      <c r="AZ50" s="1959"/>
      <c r="BA50" s="1959"/>
    </row>
    <row r="51" spans="1:53" s="838" customFormat="1" ht="18" customHeight="1">
      <c r="A51" s="2272" t="s">
        <v>92</v>
      </c>
      <c r="B51" s="4321" t="s">
        <v>322</v>
      </c>
      <c r="C51" s="4322"/>
      <c r="D51" s="1639"/>
      <c r="E51" s="2290">
        <f>SUM(E52:E71)</f>
        <v>0</v>
      </c>
      <c r="F51" s="2290">
        <f t="shared" ref="F51:Y51" si="2">SUM(F52:F71)</f>
        <v>0</v>
      </c>
      <c r="G51" s="2290">
        <f t="shared" si="2"/>
        <v>0</v>
      </c>
      <c r="H51" s="2290">
        <f t="shared" si="2"/>
        <v>0</v>
      </c>
      <c r="I51" s="2290">
        <f t="shared" si="2"/>
        <v>0</v>
      </c>
      <c r="J51" s="2290">
        <f t="shared" si="2"/>
        <v>608</v>
      </c>
      <c r="K51" s="2290">
        <f>SUM(K52:K71)</f>
        <v>304</v>
      </c>
      <c r="L51" s="2290">
        <f t="shared" si="2"/>
        <v>96</v>
      </c>
      <c r="M51" s="2290">
        <f t="shared" si="2"/>
        <v>0</v>
      </c>
      <c r="N51" s="2290">
        <f t="shared" si="2"/>
        <v>0</v>
      </c>
      <c r="O51" s="2290">
        <f t="shared" si="2"/>
        <v>0</v>
      </c>
      <c r="P51" s="2290">
        <f t="shared" si="2"/>
        <v>0</v>
      </c>
      <c r="Q51" s="2290"/>
      <c r="R51" s="2290">
        <f t="shared" si="2"/>
        <v>1008</v>
      </c>
      <c r="S51" s="2290">
        <f t="shared" si="2"/>
        <v>2493</v>
      </c>
      <c r="T51" s="2290">
        <f t="shared" si="2"/>
        <v>0</v>
      </c>
      <c r="U51" s="2290">
        <f t="shared" si="2"/>
        <v>1327.2060000000001</v>
      </c>
      <c r="V51" s="2290">
        <f t="shared" si="2"/>
        <v>232</v>
      </c>
      <c r="W51" s="2290">
        <f t="shared" si="2"/>
        <v>27</v>
      </c>
      <c r="X51" s="2290">
        <f t="shared" si="2"/>
        <v>14</v>
      </c>
      <c r="Y51" s="2290">
        <f t="shared" si="2"/>
        <v>0</v>
      </c>
      <c r="Z51" s="2290">
        <f>SUM(Z52:Z71)</f>
        <v>0</v>
      </c>
      <c r="AA51" s="1642"/>
      <c r="AB51" s="1643"/>
      <c r="AC51" s="824"/>
      <c r="AD51" s="824"/>
      <c r="AE51" s="824"/>
      <c r="AF51" s="824"/>
      <c r="AG51" s="824"/>
      <c r="AH51" s="824"/>
      <c r="AI51" s="824"/>
      <c r="AJ51" s="824"/>
      <c r="AK51" s="824"/>
      <c r="AL51" s="824"/>
      <c r="AM51" s="824"/>
      <c r="AN51" s="824"/>
      <c r="AO51" s="824"/>
      <c r="AP51" s="824"/>
      <c r="AQ51" s="824"/>
      <c r="AR51" s="824"/>
      <c r="AS51" s="824"/>
      <c r="AT51" s="824"/>
      <c r="AU51" s="824"/>
      <c r="AV51" s="824"/>
      <c r="AW51" s="824"/>
      <c r="AX51" s="824"/>
      <c r="AY51" s="824"/>
      <c r="AZ51" s="824"/>
      <c r="BA51" s="824"/>
    </row>
    <row r="52" spans="1:53" s="824" customFormat="1" ht="18" customHeight="1">
      <c r="A52" s="2272">
        <v>39</v>
      </c>
      <c r="B52" s="2261">
        <v>1</v>
      </c>
      <c r="C52" s="2262" t="str">
        <f>'Chấm công công nhân'!L51</f>
        <v>Thảo Xa Đết</v>
      </c>
      <c r="D52" s="2247"/>
      <c r="E52" s="2246"/>
      <c r="F52" s="2246"/>
      <c r="G52" s="2246"/>
      <c r="H52" s="2246"/>
      <c r="I52" s="2246">
        <f>'kt2'!H14</f>
        <v>0</v>
      </c>
      <c r="J52" s="2289">
        <f>VLOOKUP(C52,'Xã cạo t2'!B14:H32,7,0)</f>
        <v>32</v>
      </c>
      <c r="K52" s="2554">
        <f>VLOOKUP(C52,'Trang bị t2'!B14:H32,7,0)</f>
        <v>16</v>
      </c>
      <c r="L52" s="2247"/>
      <c r="M52" s="2289"/>
      <c r="N52" s="2247"/>
      <c r="O52" s="2247"/>
      <c r="P52" s="2247"/>
      <c r="Q52" s="2247"/>
      <c r="R52" s="2248">
        <f>SUM(J52:L52)</f>
        <v>48</v>
      </c>
      <c r="S52" s="2249">
        <f>VLOOKUP(C52,Mủ!C50:AI64,33,0)</f>
        <v>79</v>
      </c>
      <c r="T52" s="2250"/>
      <c r="U52" s="2249">
        <f>VLOOKUP(C52,Mủ!C50:AJ64,34,0)</f>
        <v>42.057470517448856</v>
      </c>
      <c r="V52" s="2252">
        <f>VLOOKUP(C52,'Chấm công công nhân'!L49:AR51,33,0)</f>
        <v>12</v>
      </c>
      <c r="W52" s="2252">
        <f>VLOOKUP(C52,'Chấm công công nhân'!L51:AS118,34,0)</f>
        <v>1</v>
      </c>
      <c r="X52" s="2252">
        <f>VLOOKUP(C52,'Chấm công công nhân'!L51:AT84,35,0)</f>
        <v>0</v>
      </c>
      <c r="Y52" s="2252">
        <f>VLOOKUP(C52,'Chấm công công nhân'!L51:AU118,36,0)</f>
        <v>0</v>
      </c>
      <c r="Z52" s="2252"/>
      <c r="AA52" s="2252" t="str">
        <f>VLOOKUP(C52,'Kỷ thuật'!C49:M49,11,0)</f>
        <v>B</v>
      </c>
      <c r="AB52" s="2263"/>
      <c r="AC52" s="838"/>
      <c r="AD52" s="838"/>
      <c r="AE52" s="838"/>
      <c r="AF52" s="838"/>
      <c r="AG52" s="838"/>
      <c r="AH52" s="838"/>
      <c r="AI52" s="838"/>
      <c r="AJ52" s="838"/>
      <c r="AK52" s="838"/>
      <c r="AL52" s="838"/>
      <c r="AM52" s="838"/>
      <c r="AN52" s="838"/>
      <c r="AO52" s="838"/>
      <c r="AP52" s="838"/>
      <c r="AQ52" s="838"/>
      <c r="AR52" s="838"/>
      <c r="AS52" s="838"/>
      <c r="AT52" s="838"/>
      <c r="AU52" s="838"/>
      <c r="AV52" s="838"/>
      <c r="AW52" s="838"/>
      <c r="AX52" s="838"/>
      <c r="AY52" s="838"/>
      <c r="AZ52" s="838"/>
      <c r="BA52" s="838"/>
    </row>
    <row r="53" spans="1:53" s="824" customFormat="1" ht="18" customHeight="1">
      <c r="A53" s="2272">
        <v>40</v>
      </c>
      <c r="B53" s="2237">
        <v>2</v>
      </c>
      <c r="C53" s="2262" t="str">
        <f>'Chấm công công nhân'!L52</f>
        <v>Thảo Sột</v>
      </c>
      <c r="D53" s="2244"/>
      <c r="E53" s="2245"/>
      <c r="F53" s="2245"/>
      <c r="G53" s="2245"/>
      <c r="H53" s="2245"/>
      <c r="I53" s="2246">
        <f>'kt2'!H15</f>
        <v>0</v>
      </c>
      <c r="J53" s="2289">
        <f>VLOOKUP(C53,'Xã cạo t2'!B15:H33,7,0)</f>
        <v>32</v>
      </c>
      <c r="K53" s="2554">
        <f>VLOOKUP(C53,'Trang bị t2'!B15:H33,7,0)</f>
        <v>16</v>
      </c>
      <c r="L53" s="2247"/>
      <c r="M53" s="2289"/>
      <c r="N53" s="2247"/>
      <c r="O53" s="2247"/>
      <c r="P53" s="2247"/>
      <c r="Q53" s="2247"/>
      <c r="R53" s="2248">
        <f t="shared" ref="R53:R70" si="3">SUM(J53:L53)</f>
        <v>48</v>
      </c>
      <c r="S53" s="2249">
        <f>VLOOKUP(C53,Mủ!C51:AI65,33,0)</f>
        <v>314</v>
      </c>
      <c r="T53" s="2250"/>
      <c r="U53" s="2249">
        <f>VLOOKUP(C53,Mủ!C51:AJ65,34,0)</f>
        <v>167.16513598074604</v>
      </c>
      <c r="V53" s="2252">
        <f>VLOOKUP(C53,'Chấm công công nhân'!L50:AR52,33,0)</f>
        <v>18</v>
      </c>
      <c r="W53" s="2252">
        <f>VLOOKUP(C53,'Chấm công công nhân'!L52:AS119,34,0)</f>
        <v>2</v>
      </c>
      <c r="X53" s="2252">
        <f>VLOOKUP(C53,'Chấm công công nhân'!L52:AT85,35,0)</f>
        <v>0</v>
      </c>
      <c r="Y53" s="2252">
        <f>VLOOKUP(C53,'Chấm công công nhân'!L52:AU119,36,0)</f>
        <v>0</v>
      </c>
      <c r="Z53" s="2252"/>
      <c r="AA53" s="2252" t="str">
        <f>VLOOKUP(C53,'Kỷ thuật'!C50:M50,11,0)</f>
        <v>A</v>
      </c>
      <c r="AB53" s="2253"/>
    </row>
    <row r="54" spans="1:53" s="824" customFormat="1" ht="18" customHeight="1">
      <c r="A54" s="2272">
        <v>41</v>
      </c>
      <c r="B54" s="2237">
        <v>3</v>
      </c>
      <c r="C54" s="2262" t="str">
        <f>'Chấm công công nhân'!L53</f>
        <v>Stoong</v>
      </c>
      <c r="D54" s="2244"/>
      <c r="E54" s="2245"/>
      <c r="F54" s="2245"/>
      <c r="G54" s="2245"/>
      <c r="H54" s="2245"/>
      <c r="I54" s="2246">
        <f>'kt2'!H16</f>
        <v>0</v>
      </c>
      <c r="J54" s="2289">
        <f>VLOOKUP(C54,'Xã cạo t2'!B16:H34,7,0)</f>
        <v>32</v>
      </c>
      <c r="K54" s="2554">
        <f>VLOOKUP(C54,'Trang bị t2'!B16:H34,7,0)</f>
        <v>16</v>
      </c>
      <c r="L54" s="2247"/>
      <c r="M54" s="2289"/>
      <c r="N54" s="2247"/>
      <c r="O54" s="2247"/>
      <c r="P54" s="2247"/>
      <c r="Q54" s="2247"/>
      <c r="R54" s="2248">
        <f t="shared" si="3"/>
        <v>48</v>
      </c>
      <c r="S54" s="2249">
        <f>VLOOKUP(C54,Mủ!C52:AI66,33,0)</f>
        <v>203</v>
      </c>
      <c r="T54" s="2250"/>
      <c r="U54" s="2249">
        <f>VLOOKUP(C54,Mủ!C52:AJ66,34,0)</f>
        <v>108.07172803850781</v>
      </c>
      <c r="V54" s="2252">
        <f>VLOOKUP(C54,'Chấm công công nhân'!L51:AR53,33,0)</f>
        <v>14</v>
      </c>
      <c r="W54" s="2252">
        <f>VLOOKUP(C54,'Chấm công công nhân'!L53:AS120,34,0)</f>
        <v>2</v>
      </c>
      <c r="X54" s="2252">
        <f>VLOOKUP(C54,'Chấm công công nhân'!L53:AT86,35,0)</f>
        <v>0</v>
      </c>
      <c r="Y54" s="2252">
        <f>VLOOKUP(C54,'Chấm công công nhân'!L53:AU120,36,0)</f>
        <v>0</v>
      </c>
      <c r="Z54" s="2252"/>
      <c r="AA54" s="2252" t="str">
        <f>VLOOKUP(C54,'Kỷ thuật'!C51:M51,11,0)</f>
        <v>A</v>
      </c>
      <c r="AB54" s="2253"/>
    </row>
    <row r="55" spans="1:53" s="824" customFormat="1" ht="18" customHeight="1">
      <c r="A55" s="2272">
        <v>42</v>
      </c>
      <c r="B55" s="2237">
        <v>4</v>
      </c>
      <c r="C55" s="2262" t="str">
        <f>'Chấm công công nhân'!L54</f>
        <v>Nàng Phắt</v>
      </c>
      <c r="D55" s="2244"/>
      <c r="E55" s="2245"/>
      <c r="F55" s="2245"/>
      <c r="G55" s="2245"/>
      <c r="H55" s="2245"/>
      <c r="I55" s="2246">
        <f>'kt2'!H17</f>
        <v>0</v>
      </c>
      <c r="J55" s="2289">
        <f>VLOOKUP(C55,'Xã cạo t2'!B17:H35,7,0)</f>
        <v>32</v>
      </c>
      <c r="K55" s="2554">
        <f>VLOOKUP(C55,'Trang bị t2'!B17:H35,7,0)</f>
        <v>16</v>
      </c>
      <c r="L55" s="2247"/>
      <c r="M55" s="2289"/>
      <c r="N55" s="2247"/>
      <c r="O55" s="2247"/>
      <c r="P55" s="2247"/>
      <c r="Q55" s="2247"/>
      <c r="R55" s="2248">
        <f t="shared" si="3"/>
        <v>48</v>
      </c>
      <c r="S55" s="2249">
        <f>VLOOKUP(C55,Mủ!C53:AI67,33,0)</f>
        <v>204</v>
      </c>
      <c r="T55" s="2250"/>
      <c r="U55" s="2249">
        <f>VLOOKUP(C55,Mủ!C53:AJ67,34,0)</f>
        <v>108.60410108303248</v>
      </c>
      <c r="V55" s="2252">
        <f>VLOOKUP(C55,'Chấm công công nhân'!L52:AR54,33,0)</f>
        <v>14</v>
      </c>
      <c r="W55" s="2252">
        <f>VLOOKUP(C55,'Chấm công công nhân'!L54:AS121,34,0)</f>
        <v>2</v>
      </c>
      <c r="X55" s="2252">
        <f>VLOOKUP(C55,'Chấm công công nhân'!L54:AT87,35,0)</f>
        <v>0</v>
      </c>
      <c r="Y55" s="2252">
        <f>VLOOKUP(C55,'Chấm công công nhân'!L54:AU121,36,0)</f>
        <v>0</v>
      </c>
      <c r="Z55" s="2252"/>
      <c r="AA55" s="2252" t="str">
        <f>VLOOKUP(C55,'Kỷ thuật'!C52:M52,11,0)</f>
        <v>B</v>
      </c>
      <c r="AB55" s="2253"/>
    </row>
    <row r="56" spans="1:53" s="824" customFormat="1" ht="18" customHeight="1">
      <c r="A56" s="2272">
        <v>43</v>
      </c>
      <c r="B56" s="2237">
        <v>5</v>
      </c>
      <c r="C56" s="2262" t="str">
        <f>'Chấm công công nhân'!L55</f>
        <v>Nàng May</v>
      </c>
      <c r="D56" s="2244"/>
      <c r="E56" s="2245"/>
      <c r="F56" s="2245"/>
      <c r="G56" s="2245"/>
      <c r="H56" s="2245"/>
      <c r="I56" s="2246">
        <f>'kt2'!H18</f>
        <v>0</v>
      </c>
      <c r="J56" s="2289">
        <f>VLOOKUP(C56,'Xã cạo t2'!B18:H36,7,0)</f>
        <v>32</v>
      </c>
      <c r="K56" s="2554">
        <f>VLOOKUP(C56,'Trang bị t2'!B18:H36,7,0)</f>
        <v>16</v>
      </c>
      <c r="L56" s="2247"/>
      <c r="M56" s="2289"/>
      <c r="N56" s="2247"/>
      <c r="O56" s="2247"/>
      <c r="P56" s="2247"/>
      <c r="Q56" s="2247"/>
      <c r="R56" s="2248">
        <f t="shared" si="3"/>
        <v>48</v>
      </c>
      <c r="S56" s="2249">
        <f>VLOOKUP(C56,Mủ!C54:AI68,33,0)</f>
        <v>84</v>
      </c>
      <c r="T56" s="2250"/>
      <c r="U56" s="2249">
        <f>VLOOKUP(C56,Mủ!C54:AJ68,34,0)</f>
        <v>44.719335740072204</v>
      </c>
      <c r="V56" s="2252">
        <f>VLOOKUP(C56,'Chấm công công nhân'!L53:AR55,33,0)</f>
        <v>15</v>
      </c>
      <c r="W56" s="2252">
        <f>VLOOKUP(C56,'Chấm công công nhân'!L55:AS122,34,0)</f>
        <v>2</v>
      </c>
      <c r="X56" s="2252">
        <f>VLOOKUP(C56,'Chấm công công nhân'!L55:AT88,35,0)</f>
        <v>0</v>
      </c>
      <c r="Y56" s="2252">
        <f>VLOOKUP(C56,'Chấm công công nhân'!L55:AU122,36,0)</f>
        <v>0</v>
      </c>
      <c r="Z56" s="2252"/>
      <c r="AA56" s="2252" t="str">
        <f>VLOOKUP(C56,'Kỷ thuật'!C53:M53,11,0)</f>
        <v>B</v>
      </c>
      <c r="AB56" s="2253"/>
    </row>
    <row r="57" spans="1:53" s="824" customFormat="1" ht="18" customHeight="1">
      <c r="A57" s="2272">
        <v>44</v>
      </c>
      <c r="B57" s="2237">
        <v>6</v>
      </c>
      <c r="C57" s="2262" t="str">
        <f>'Chấm công công nhân'!L56</f>
        <v>Thảo Bênh</v>
      </c>
      <c r="D57" s="2244"/>
      <c r="E57" s="2245"/>
      <c r="F57" s="2245"/>
      <c r="G57" s="2245"/>
      <c r="H57" s="2245"/>
      <c r="I57" s="2246">
        <f>'kt2'!H19</f>
        <v>0</v>
      </c>
      <c r="J57" s="2289">
        <f>VLOOKUP(C57,'Xã cạo t2'!B19:H37,7,0)</f>
        <v>32</v>
      </c>
      <c r="K57" s="2554">
        <f>VLOOKUP(C57,'Trang bị t2'!B19:H37,7,0)</f>
        <v>16</v>
      </c>
      <c r="L57" s="2247"/>
      <c r="M57" s="2289"/>
      <c r="N57" s="2247"/>
      <c r="O57" s="2247"/>
      <c r="P57" s="2247"/>
      <c r="Q57" s="2247"/>
      <c r="R57" s="2248">
        <f t="shared" si="3"/>
        <v>48</v>
      </c>
      <c r="S57" s="2249">
        <f>VLOOKUP(C57,Mủ!C55:AI69,33,0)</f>
        <v>85</v>
      </c>
      <c r="T57" s="2250"/>
      <c r="U57" s="2249">
        <f>VLOOKUP(C57,Mủ!C55:AJ69,34,0)</f>
        <v>45.251708784596865</v>
      </c>
      <c r="V57" s="2252">
        <f>VLOOKUP(C57,'Chấm công công nhân'!L54:AR56,33,0)</f>
        <v>15</v>
      </c>
      <c r="W57" s="2252">
        <f>VLOOKUP(C57,'Chấm công công nhân'!L56:AS123,34,0)</f>
        <v>2</v>
      </c>
      <c r="X57" s="2252">
        <f>VLOOKUP(C57,'Chấm công công nhân'!L56:AT89,35,0)</f>
        <v>0</v>
      </c>
      <c r="Y57" s="2252">
        <f>VLOOKUP(C57,'Chấm công công nhân'!L56:AU123,36,0)</f>
        <v>0</v>
      </c>
      <c r="Z57" s="2252"/>
      <c r="AA57" s="2252" t="str">
        <f>VLOOKUP(C57,'Kỷ thuật'!C54:M54,11,0)</f>
        <v>A</v>
      </c>
      <c r="AB57" s="2253"/>
    </row>
    <row r="58" spans="1:53" s="824" customFormat="1" ht="18" customHeight="1">
      <c r="A58" s="2272">
        <v>45</v>
      </c>
      <c r="B58" s="2237">
        <v>7</v>
      </c>
      <c r="C58" s="2262" t="str">
        <f>'Chấm công công nhân'!L57</f>
        <v>Thảo Đinh</v>
      </c>
      <c r="D58" s="2244"/>
      <c r="E58" s="2245"/>
      <c r="F58" s="2245"/>
      <c r="G58" s="2245"/>
      <c r="H58" s="2245"/>
      <c r="I58" s="2246">
        <f>'kt2'!H20</f>
        <v>0</v>
      </c>
      <c r="J58" s="2289">
        <f>VLOOKUP(C58,'Xã cạo t2'!B20:H38,7,0)</f>
        <v>32</v>
      </c>
      <c r="K58" s="2554">
        <f>VLOOKUP(C58,'Trang bị t2'!B20:H38,7,0)</f>
        <v>16</v>
      </c>
      <c r="L58" s="2247"/>
      <c r="M58" s="2289"/>
      <c r="N58" s="2247"/>
      <c r="O58" s="2247"/>
      <c r="P58" s="2247"/>
      <c r="Q58" s="2247"/>
      <c r="R58" s="2248">
        <f t="shared" si="3"/>
        <v>48</v>
      </c>
      <c r="S58" s="2249">
        <f>VLOOKUP(C58,Mủ!C56:AI70,33,0)</f>
        <v>254</v>
      </c>
      <c r="T58" s="2250"/>
      <c r="U58" s="2249">
        <f>VLOOKUP(C58,Mủ!C56:AJ70,34,0)</f>
        <v>135.22275330926593</v>
      </c>
      <c r="V58" s="2252">
        <f>VLOOKUP(C58,'Chấm công công nhân'!L55:AR57,33,0)</f>
        <v>20</v>
      </c>
      <c r="W58" s="2252">
        <f>VLOOKUP(C58,'Chấm công công nhân'!L57:AS124,34,0)</f>
        <v>4</v>
      </c>
      <c r="X58" s="2252">
        <f>VLOOKUP(C58,'Chấm công công nhân'!L57:AT90,35,0)</f>
        <v>0</v>
      </c>
      <c r="Y58" s="2252">
        <f>VLOOKUP(C58,'Chấm công công nhân'!L57:AU124,36,0)</f>
        <v>0</v>
      </c>
      <c r="Z58" s="2252"/>
      <c r="AA58" s="2252" t="str">
        <f>VLOOKUP(C58,'Kỷ thuật'!C55:M55,11,0)</f>
        <v>A</v>
      </c>
      <c r="AB58" s="2253"/>
    </row>
    <row r="59" spans="1:53" s="824" customFormat="1" ht="18" customHeight="1">
      <c r="A59" s="2272">
        <v>46</v>
      </c>
      <c r="B59" s="2237">
        <v>8</v>
      </c>
      <c r="C59" s="2262" t="str">
        <f>'Chấm công công nhân'!L58</f>
        <v>Thảo Vi</v>
      </c>
      <c r="D59" s="2244"/>
      <c r="E59" s="2245"/>
      <c r="F59" s="2245"/>
      <c r="G59" s="2245"/>
      <c r="H59" s="2245"/>
      <c r="I59" s="2246">
        <f>'kt2'!H21</f>
        <v>0</v>
      </c>
      <c r="J59" s="2289">
        <f>VLOOKUP(C59,'Xã cạo t2'!B21:H39,7,0)</f>
        <v>32</v>
      </c>
      <c r="K59" s="2554">
        <f>VLOOKUP(C59,'Trang bị t2'!B21:H39,7,0)</f>
        <v>16</v>
      </c>
      <c r="L59" s="2247"/>
      <c r="M59" s="2289"/>
      <c r="N59" s="2247"/>
      <c r="O59" s="2247"/>
      <c r="P59" s="2247"/>
      <c r="Q59" s="2247"/>
      <c r="R59" s="2248">
        <f t="shared" si="3"/>
        <v>48</v>
      </c>
      <c r="S59" s="2249">
        <f>VLOOKUP(C59,Mủ!C57:AI71,33,0)</f>
        <v>101</v>
      </c>
      <c r="T59" s="2250"/>
      <c r="U59" s="2249">
        <f>VLOOKUP(C59,Mủ!C57:AJ71,34,0)</f>
        <v>53.769677496991569</v>
      </c>
      <c r="V59" s="2252">
        <f>VLOOKUP(C59,'Chấm công công nhân'!L56:AR58,33,0)</f>
        <v>15</v>
      </c>
      <c r="W59" s="2252">
        <f>VLOOKUP(C59,'Chấm công công nhân'!L58:AS125,34,0)</f>
        <v>1</v>
      </c>
      <c r="X59" s="2252">
        <f>VLOOKUP(C59,'Chấm công công nhân'!L58:AT91,35,0)</f>
        <v>0</v>
      </c>
      <c r="Y59" s="2252">
        <f>VLOOKUP(C59,'Chấm công công nhân'!L58:AU125,36,0)</f>
        <v>0</v>
      </c>
      <c r="Z59" s="2252"/>
      <c r="AA59" s="2252" t="str">
        <f>VLOOKUP(C59,'Kỷ thuật'!C56:M56,11,0)</f>
        <v>B</v>
      </c>
      <c r="AB59" s="2253"/>
    </row>
    <row r="60" spans="1:53" s="824" customFormat="1" ht="18" customHeight="1">
      <c r="A60" s="2272">
        <v>47</v>
      </c>
      <c r="B60" s="2237">
        <v>9</v>
      </c>
      <c r="C60" s="2262" t="str">
        <f>'Chấm công công nhân'!L59</f>
        <v>Thảo Văn</v>
      </c>
      <c r="D60" s="2244"/>
      <c r="E60" s="2245"/>
      <c r="F60" s="2245"/>
      <c r="G60" s="2245"/>
      <c r="H60" s="2245"/>
      <c r="I60" s="2246">
        <f>'kt2'!H22</f>
        <v>0</v>
      </c>
      <c r="J60" s="2289">
        <f>VLOOKUP(C60,'Xã cạo t2'!B22:H40,7,0)</f>
        <v>32</v>
      </c>
      <c r="K60" s="2554">
        <f>VLOOKUP(C60,'Trang bị t2'!B22:H40,7,0)</f>
        <v>16</v>
      </c>
      <c r="L60" s="2247"/>
      <c r="M60" s="2289"/>
      <c r="N60" s="2247"/>
      <c r="O60" s="2247"/>
      <c r="P60" s="2247"/>
      <c r="Q60" s="2247"/>
      <c r="R60" s="2248">
        <f t="shared" si="3"/>
        <v>48</v>
      </c>
      <c r="S60" s="2249">
        <f>VLOOKUP(C60,Mủ!C58:AI72,33,0)</f>
        <v>242</v>
      </c>
      <c r="T60" s="2250"/>
      <c r="U60" s="2249">
        <f>VLOOKUP(C60,Mủ!C58:AJ72,34,0)</f>
        <v>128.83427677496991</v>
      </c>
      <c r="V60" s="2252">
        <f>VLOOKUP(C60,'Chấm công công nhân'!L57:AR59,33,0)</f>
        <v>20</v>
      </c>
      <c r="W60" s="2252">
        <f>VLOOKUP(C60,'Chấm công công nhân'!L59:AS126,34,0)</f>
        <v>2</v>
      </c>
      <c r="X60" s="2252">
        <f>VLOOKUP(C60,'Chấm công công nhân'!L59:AT92,35,0)</f>
        <v>0</v>
      </c>
      <c r="Y60" s="2252">
        <f>VLOOKUP(C60,'Chấm công công nhân'!L59:AU126,36,0)</f>
        <v>0</v>
      </c>
      <c r="Z60" s="2252"/>
      <c r="AA60" s="2252" t="str">
        <f>VLOOKUP(C60,'Kỷ thuật'!C57:M57,11,0)</f>
        <v>B</v>
      </c>
      <c r="AB60" s="2253"/>
    </row>
    <row r="61" spans="1:53" s="824" customFormat="1" ht="18" customHeight="1">
      <c r="A61" s="2272">
        <v>48</v>
      </c>
      <c r="B61" s="2237">
        <v>10</v>
      </c>
      <c r="C61" s="2262" t="str">
        <f>'Chấm công công nhân'!L60</f>
        <v>Nàng Phìn</v>
      </c>
      <c r="D61" s="2244"/>
      <c r="E61" s="2245"/>
      <c r="F61" s="2245"/>
      <c r="G61" s="2245"/>
      <c r="H61" s="2245"/>
      <c r="I61" s="2246">
        <f>'kt2'!H23</f>
        <v>0</v>
      </c>
      <c r="J61" s="2289">
        <f>VLOOKUP(C61,'Xã cạo t2'!B23:H41,7,0)</f>
        <v>32</v>
      </c>
      <c r="K61" s="2554">
        <f>VLOOKUP(C61,'Trang bị t2'!B23:H41,7,0)</f>
        <v>16</v>
      </c>
      <c r="L61" s="2247"/>
      <c r="M61" s="2289"/>
      <c r="N61" s="2247"/>
      <c r="O61" s="2247"/>
      <c r="P61" s="2247"/>
      <c r="Q61" s="2247"/>
      <c r="R61" s="2248">
        <f t="shared" si="3"/>
        <v>48</v>
      </c>
      <c r="S61" s="2249">
        <f>VLOOKUP(C61,Mủ!C59:AI73,33,0)</f>
        <v>232</v>
      </c>
      <c r="T61" s="2250"/>
      <c r="U61" s="2249">
        <f>VLOOKUP(C61,Mủ!C59:AJ73,34,0)</f>
        <v>123.51054632972323</v>
      </c>
      <c r="V61" s="2252">
        <f>VLOOKUP(C61,'Chấm công công nhân'!L58:AR60,33,0)</f>
        <v>17</v>
      </c>
      <c r="W61" s="2252">
        <f>VLOOKUP(C61,'Chấm công công nhân'!L60:AS127,34,0)</f>
        <v>2</v>
      </c>
      <c r="X61" s="2252">
        <f>VLOOKUP(C61,'Chấm công công nhân'!L60:AT93,35,0)</f>
        <v>0</v>
      </c>
      <c r="Y61" s="2252">
        <f>VLOOKUP(C61,'Chấm công công nhân'!L60:AU127,36,0)</f>
        <v>0</v>
      </c>
      <c r="Z61" s="2252"/>
      <c r="AA61" s="2252" t="str">
        <f>VLOOKUP(C61,'Kỷ thuật'!C58:M58,11,0)</f>
        <v>A</v>
      </c>
      <c r="AB61" s="2253"/>
    </row>
    <row r="62" spans="1:53" s="824" customFormat="1" ht="18" customHeight="1">
      <c r="A62" s="2272">
        <v>49</v>
      </c>
      <c r="B62" s="2237">
        <v>11</v>
      </c>
      <c r="C62" s="2262" t="str">
        <f>'Chấm công công nhân'!L61</f>
        <v>Mẹ Sột</v>
      </c>
      <c r="D62" s="2244"/>
      <c r="E62" s="2245"/>
      <c r="F62" s="2245"/>
      <c r="G62" s="2245"/>
      <c r="H62" s="2245"/>
      <c r="I62" s="2246">
        <f>'kt2'!H24</f>
        <v>0</v>
      </c>
      <c r="J62" s="2289">
        <f>VLOOKUP(C62,'Xã cạo t2'!B24:H42,7,0)</f>
        <v>32</v>
      </c>
      <c r="K62" s="2554">
        <f>VLOOKUP(C62,'Trang bị t2'!B24:H42,7,0)</f>
        <v>16</v>
      </c>
      <c r="L62" s="2247"/>
      <c r="M62" s="2289"/>
      <c r="N62" s="2247"/>
      <c r="O62" s="2247"/>
      <c r="P62" s="2247"/>
      <c r="Q62" s="2247"/>
      <c r="R62" s="2248">
        <f t="shared" si="3"/>
        <v>48</v>
      </c>
      <c r="S62" s="2249">
        <f>VLOOKUP(C62,Mủ!C60:AI74,33,0)</f>
        <v>216</v>
      </c>
      <c r="T62" s="2250"/>
      <c r="U62" s="2249">
        <f>VLOOKUP(C62,Mủ!C60:AJ74,34,0)</f>
        <v>114.99257761732849</v>
      </c>
      <c r="V62" s="2252">
        <f>VLOOKUP(C62,'Chấm công công nhân'!L59:AR61,33,0)</f>
        <v>17</v>
      </c>
      <c r="W62" s="2252">
        <f>VLOOKUP(C62,'Chấm công công nhân'!L61:AS128,34,0)</f>
        <v>2</v>
      </c>
      <c r="X62" s="2252">
        <f>VLOOKUP(C62,'Chấm công công nhân'!L61:AT94,35,0)</f>
        <v>0</v>
      </c>
      <c r="Y62" s="2252">
        <f>VLOOKUP(C62,'Chấm công công nhân'!L61:AU128,36,0)</f>
        <v>0</v>
      </c>
      <c r="Z62" s="2252"/>
      <c r="AA62" s="2252" t="str">
        <f>VLOOKUP(C62,'Kỷ thuật'!C59:M59,11,0)</f>
        <v>C</v>
      </c>
      <c r="AB62" s="2253"/>
    </row>
    <row r="63" spans="1:53" s="824" customFormat="1" ht="18" customHeight="1">
      <c r="A63" s="2272">
        <v>50</v>
      </c>
      <c r="B63" s="2237">
        <v>12</v>
      </c>
      <c r="C63" s="2262" t="str">
        <f>'Chấm công công nhân'!L62</f>
        <v>Nàng Heo</v>
      </c>
      <c r="D63" s="2244"/>
      <c r="E63" s="2245"/>
      <c r="F63" s="2245"/>
      <c r="G63" s="2245"/>
      <c r="H63" s="2245"/>
      <c r="I63" s="2246">
        <f>'kt2'!H25</f>
        <v>0</v>
      </c>
      <c r="J63" s="2289">
        <f>VLOOKUP(C63,'Xã cạo t2'!B25:H43,7,0)</f>
        <v>32</v>
      </c>
      <c r="K63" s="2554">
        <f>VLOOKUP(C63,'Trang bị t2'!B25:H43,7,0)</f>
        <v>16</v>
      </c>
      <c r="L63" s="2247"/>
      <c r="M63" s="2289"/>
      <c r="N63" s="2247"/>
      <c r="O63" s="2247"/>
      <c r="P63" s="2247"/>
      <c r="Q63" s="2247"/>
      <c r="R63" s="2248">
        <f t="shared" si="3"/>
        <v>48</v>
      </c>
      <c r="S63" s="2249">
        <f>VLOOKUP(C63,Mủ!C61:AI75,33,0)</f>
        <v>102</v>
      </c>
      <c r="T63" s="2250"/>
      <c r="U63" s="2249">
        <f>VLOOKUP(C63,Mủ!C61:AJ75,34,0)</f>
        <v>54.302050541516238</v>
      </c>
      <c r="V63" s="2252">
        <f>VLOOKUP(C63,'Chấm công công nhân'!L60:AR62,33,0)</f>
        <v>15</v>
      </c>
      <c r="W63" s="2252">
        <f>VLOOKUP(C63,'Chấm công công nhân'!L62:AS129,34,0)</f>
        <v>1</v>
      </c>
      <c r="X63" s="2252">
        <f>VLOOKUP(C63,'Chấm công công nhân'!L62:AT95,35,0)</f>
        <v>0</v>
      </c>
      <c r="Y63" s="2252">
        <f>VLOOKUP(C63,'Chấm công công nhân'!L62:AU129,36,0)</f>
        <v>0</v>
      </c>
      <c r="Z63" s="2252"/>
      <c r="AA63" s="2252" t="str">
        <f>VLOOKUP(C63,'Kỷ thuật'!C60:M60,11,0)</f>
        <v>A</v>
      </c>
      <c r="AB63" s="2253"/>
    </row>
    <row r="64" spans="1:53" s="824" customFormat="1" ht="18" customHeight="1">
      <c r="A64" s="2272">
        <v>51</v>
      </c>
      <c r="B64" s="2237">
        <v>13</v>
      </c>
      <c r="C64" s="2262" t="str">
        <f>'Chấm công công nhân'!L63</f>
        <v>Thảo Chăn Ti</v>
      </c>
      <c r="D64" s="2244"/>
      <c r="E64" s="2245"/>
      <c r="F64" s="2245"/>
      <c r="G64" s="2245"/>
      <c r="H64" s="2245"/>
      <c r="I64" s="2246">
        <f>'kt2'!H26</f>
        <v>0</v>
      </c>
      <c r="J64" s="2289">
        <f>VLOOKUP(C64,'Xã cạo t2'!B26:H44,7,0)</f>
        <v>32</v>
      </c>
      <c r="K64" s="2554">
        <f>VLOOKUP(C64,'Trang bị t2'!B26:H44,7,0)</f>
        <v>16</v>
      </c>
      <c r="L64" s="2247"/>
      <c r="M64" s="2289"/>
      <c r="N64" s="2247"/>
      <c r="O64" s="2247"/>
      <c r="P64" s="2247"/>
      <c r="Q64" s="2247"/>
      <c r="R64" s="2248">
        <f t="shared" si="3"/>
        <v>48</v>
      </c>
      <c r="S64" s="2249">
        <f>VLOOKUP(C64,Mủ!C62:AI76,33,0)</f>
        <v>71</v>
      </c>
      <c r="T64" s="2250"/>
      <c r="U64" s="2249">
        <f>VLOOKUP(C64,Mủ!C62:AJ76,34,0)</f>
        <v>37.798486161251496</v>
      </c>
      <c r="V64" s="2252">
        <f>VLOOKUP(C64,'Chấm công công nhân'!L61:AR63,33,0)</f>
        <v>12</v>
      </c>
      <c r="W64" s="2252">
        <f>VLOOKUP(C64,'Chấm công công nhân'!L63:AS130,34,0)</f>
        <v>1</v>
      </c>
      <c r="X64" s="2252">
        <f>VLOOKUP(C64,'Chấm công công nhân'!L63:AT96,35,0)</f>
        <v>0</v>
      </c>
      <c r="Y64" s="2252">
        <f>VLOOKUP(C64,'Chấm công công nhân'!L63:AU130,36,0)</f>
        <v>0</v>
      </c>
      <c r="Z64" s="2252"/>
      <c r="AA64" s="2252" t="str">
        <f>VLOOKUP(C64,'Kỷ thuật'!C61:M61,11,0)</f>
        <v>B</v>
      </c>
      <c r="AB64" s="2253"/>
    </row>
    <row r="65" spans="1:53" s="838" customFormat="1" ht="18" customHeight="1">
      <c r="A65" s="2272">
        <v>52</v>
      </c>
      <c r="B65" s="2237">
        <v>14</v>
      </c>
      <c r="C65" s="2262" t="str">
        <f>'Chấm công công nhân'!L64</f>
        <v>Nàng Ve</v>
      </c>
      <c r="D65" s="2244"/>
      <c r="E65" s="2245"/>
      <c r="F65" s="2245"/>
      <c r="G65" s="2245"/>
      <c r="H65" s="2245"/>
      <c r="I65" s="2246">
        <f>'kt2'!H27</f>
        <v>0</v>
      </c>
      <c r="J65" s="2289">
        <f>VLOOKUP(C65,'Xã cạo t2'!B27:H45,7,0)</f>
        <v>32</v>
      </c>
      <c r="K65" s="2554">
        <f>VLOOKUP(C65,'Trang bị t2'!B27:H45,7,0)</f>
        <v>16</v>
      </c>
      <c r="L65" s="2247"/>
      <c r="M65" s="2289"/>
      <c r="N65" s="2247"/>
      <c r="O65" s="2247"/>
      <c r="P65" s="2247"/>
      <c r="Q65" s="2247"/>
      <c r="R65" s="2248">
        <f t="shared" si="3"/>
        <v>48</v>
      </c>
      <c r="S65" s="2249">
        <f>VLOOKUP(C65,Mủ!C63:AI77,33,0)</f>
        <v>234</v>
      </c>
      <c r="T65" s="2250"/>
      <c r="U65" s="2249">
        <f>VLOOKUP(C65,Mủ!C63:AJ77,34,0)</f>
        <v>124.57529241877255</v>
      </c>
      <c r="V65" s="2252">
        <f>VLOOKUP(C65,'Chấm công công nhân'!L62:AR64,33,0)</f>
        <v>16</v>
      </c>
      <c r="W65" s="2252">
        <f>VLOOKUP(C65,'Chấm công công nhân'!L64:AS131,34,0)</f>
        <v>2</v>
      </c>
      <c r="X65" s="2252">
        <f>VLOOKUP(C65,'Chấm công công nhân'!L64:AT97,35,0)</f>
        <v>0</v>
      </c>
      <c r="Y65" s="2252">
        <f>VLOOKUP(C65,'Chấm công công nhân'!L64:AU131,36,0)</f>
        <v>0</v>
      </c>
      <c r="Z65" s="2252"/>
      <c r="AA65" s="2252" t="str">
        <f>VLOOKUP(C65,'Kỷ thuật'!C62:M62,11,0)</f>
        <v>B</v>
      </c>
      <c r="AB65" s="2253"/>
      <c r="AC65" s="824"/>
      <c r="AD65" s="824"/>
      <c r="AE65" s="824"/>
      <c r="AF65" s="824"/>
      <c r="AG65" s="824"/>
      <c r="AH65" s="824"/>
      <c r="AI65" s="824"/>
      <c r="AJ65" s="824"/>
      <c r="AK65" s="824"/>
      <c r="AL65" s="824"/>
      <c r="AM65" s="824"/>
      <c r="AN65" s="824"/>
      <c r="AO65" s="824"/>
      <c r="AP65" s="824"/>
      <c r="AQ65" s="824"/>
      <c r="AR65" s="824"/>
      <c r="AS65" s="824"/>
      <c r="AT65" s="824"/>
      <c r="AU65" s="824"/>
      <c r="AV65" s="824"/>
      <c r="AW65" s="824"/>
      <c r="AX65" s="824"/>
      <c r="AY65" s="824"/>
      <c r="AZ65" s="824"/>
      <c r="BA65" s="824"/>
    </row>
    <row r="66" spans="1:53" s="838" customFormat="1" ht="18" customHeight="1">
      <c r="A66" s="2272">
        <v>53</v>
      </c>
      <c r="B66" s="2261">
        <v>15</v>
      </c>
      <c r="C66" s="2262" t="str">
        <f>'Chấm công công nhân'!L65</f>
        <v>Nàng Phết</v>
      </c>
      <c r="D66" s="2247"/>
      <c r="E66" s="2246"/>
      <c r="F66" s="2246"/>
      <c r="G66" s="2246"/>
      <c r="H66" s="2245"/>
      <c r="I66" s="2246">
        <f>'kt2'!H28</f>
        <v>0</v>
      </c>
      <c r="J66" s="2289">
        <f>VLOOKUP(C66,'Xã cạo t2'!B28:H46,7,0)</f>
        <v>32</v>
      </c>
      <c r="K66" s="2554">
        <f>VLOOKUP(C66,'Trang bị t2'!B28:H46,7,0)</f>
        <v>16</v>
      </c>
      <c r="L66" s="2247"/>
      <c r="M66" s="2289"/>
      <c r="N66" s="2247"/>
      <c r="O66" s="2247"/>
      <c r="P66" s="2247"/>
      <c r="Q66" s="2247"/>
      <c r="R66" s="2248">
        <f t="shared" si="3"/>
        <v>48</v>
      </c>
      <c r="S66" s="2249">
        <f>VLOOKUP(C66,Mủ!C64:AI78,33,0)</f>
        <v>72</v>
      </c>
      <c r="T66" s="2250"/>
      <c r="U66" s="2249">
        <f>VLOOKUP(C66,Mủ!C64:AJ78,34,0)</f>
        <v>38.330859205776171</v>
      </c>
      <c r="V66" s="2252">
        <f>VLOOKUP(C66,'Chấm công công nhân'!L63:AR65,33,0)</f>
        <v>12</v>
      </c>
      <c r="W66" s="2252">
        <f>VLOOKUP(C66,'Chấm công công nhân'!L65:AS132,34,0)</f>
        <v>1</v>
      </c>
      <c r="X66" s="2252">
        <f>VLOOKUP(C66,'Chấm công công nhân'!L65:AT98,35,0)</f>
        <v>0</v>
      </c>
      <c r="Y66" s="2252">
        <f>VLOOKUP(C66,'Chấm công công nhân'!L65:AU132,36,0)</f>
        <v>0</v>
      </c>
      <c r="Z66" s="2252"/>
      <c r="AA66" s="2252" t="str">
        <f>VLOOKUP(C66,'Kỷ thuật'!C63:M63,11,0)</f>
        <v>A</v>
      </c>
      <c r="AB66" s="2263"/>
    </row>
    <row r="67" spans="1:53" s="838" customFormat="1" ht="18" customHeight="1">
      <c r="A67" s="2272">
        <v>54</v>
      </c>
      <c r="B67" s="2237">
        <v>16</v>
      </c>
      <c r="C67" s="2262" t="str">
        <f>'Chấm công công nhân'!L66</f>
        <v>Thảo On</v>
      </c>
      <c r="D67" s="2247"/>
      <c r="E67" s="2246"/>
      <c r="F67" s="2246"/>
      <c r="G67" s="2246"/>
      <c r="H67" s="2245"/>
      <c r="I67" s="2246"/>
      <c r="J67" s="2289">
        <f>VLOOKUP(C67,'Xã cạo t2'!B29:H47,7,0)</f>
        <v>32</v>
      </c>
      <c r="K67" s="2554">
        <f>VLOOKUP(C67,'Trang bị t2'!B29:H47,7,0)</f>
        <v>16</v>
      </c>
      <c r="L67" s="2289">
        <f>VLOOKUP(C67,'Thiết kế t2'!B14:I32,7,0)</f>
        <v>24</v>
      </c>
      <c r="M67" s="2289"/>
      <c r="N67" s="2247"/>
      <c r="O67" s="2247"/>
      <c r="P67" s="2247"/>
      <c r="Q67" s="2247"/>
      <c r="R67" s="2248">
        <f t="shared" si="3"/>
        <v>72</v>
      </c>
      <c r="S67" s="2249">
        <f>VLOOKUP(C67,Mủ!C65:AI79,33,0)</f>
        <v>0</v>
      </c>
      <c r="T67" s="2250"/>
      <c r="U67" s="2249">
        <f>VLOOKUP(C67,Mủ!C65:AJ79,34,0)</f>
        <v>0</v>
      </c>
      <c r="V67" s="2252">
        <f>VLOOKUP(C67,'Chấm công công nhân'!L64:AR66,33,0)</f>
        <v>0</v>
      </c>
      <c r="W67" s="2252">
        <f>VLOOKUP(C67,'Chấm công công nhân'!L66:AS133,34,0)</f>
        <v>0</v>
      </c>
      <c r="X67" s="2252">
        <f>VLOOKUP(C67,'Chấm công công nhân'!L66:AT99,35,0)</f>
        <v>4</v>
      </c>
      <c r="Y67" s="2252">
        <f>VLOOKUP(C67,'Chấm công công nhân'!L66:AU133,36,0)</f>
        <v>0</v>
      </c>
      <c r="Z67" s="2252"/>
      <c r="AA67" s="2252" t="str">
        <f>VLOOKUP(C67,'Kỷ thuật'!C64:M64,11,0)</f>
        <v>A</v>
      </c>
      <c r="AB67" s="2263"/>
    </row>
    <row r="68" spans="1:53" s="838" customFormat="1" ht="18" customHeight="1">
      <c r="A68" s="2272">
        <v>55</v>
      </c>
      <c r="B68" s="2261">
        <v>17</v>
      </c>
      <c r="C68" s="2262" t="str">
        <f>'Chấm công công nhân'!L67</f>
        <v>Thảo Sum</v>
      </c>
      <c r="D68" s="2247"/>
      <c r="E68" s="2246"/>
      <c r="F68" s="2246"/>
      <c r="G68" s="2246"/>
      <c r="H68" s="2245"/>
      <c r="I68" s="2246"/>
      <c r="J68" s="2289">
        <f>VLOOKUP(C68,'Xã cạo t2'!B30:H48,7,0)</f>
        <v>32</v>
      </c>
      <c r="K68" s="2554">
        <f>VLOOKUP(C68,'Trang bị t2'!B30:H48,7,0)</f>
        <v>16</v>
      </c>
      <c r="L68" s="2289">
        <f>VLOOKUP(C68,'Thiết kế t2'!B15:I33,7,0)</f>
        <v>24</v>
      </c>
      <c r="M68" s="2289"/>
      <c r="N68" s="2247"/>
      <c r="O68" s="2247"/>
      <c r="P68" s="2247"/>
      <c r="Q68" s="2247"/>
      <c r="R68" s="2248">
        <f t="shared" si="3"/>
        <v>72</v>
      </c>
      <c r="S68" s="2249">
        <f>VLOOKUP(C68,Mủ!C66:AI80,33,0)</f>
        <v>0</v>
      </c>
      <c r="T68" s="2250"/>
      <c r="U68" s="2249">
        <f>VLOOKUP(C68,Mủ!C66:AJ80,34,0)</f>
        <v>0</v>
      </c>
      <c r="V68" s="2252">
        <f>VLOOKUP(C68,'Chấm công công nhân'!L65:AR67,33,0)</f>
        <v>0</v>
      </c>
      <c r="W68" s="2252">
        <f>VLOOKUP(C68,'Chấm công công nhân'!L67:AS134,34,0)</f>
        <v>0</v>
      </c>
      <c r="X68" s="2252">
        <f>VLOOKUP(C68,'Chấm công công nhân'!L67:AT100,35,0)</f>
        <v>4</v>
      </c>
      <c r="Y68" s="2252">
        <f>VLOOKUP(C68,'Chấm công công nhân'!L67:AU134,36,0)</f>
        <v>0</v>
      </c>
      <c r="Z68" s="2252"/>
      <c r="AA68" s="2252" t="str">
        <f>VLOOKUP(C68,'Kỷ thuật'!C65:M65,11,0)</f>
        <v>B</v>
      </c>
      <c r="AB68" s="2263"/>
    </row>
    <row r="69" spans="1:53" s="838" customFormat="1" ht="18" customHeight="1">
      <c r="A69" s="2272">
        <v>56</v>
      </c>
      <c r="B69" s="2237">
        <v>18</v>
      </c>
      <c r="C69" s="2262" t="str">
        <f>'Chấm công công nhân'!L68</f>
        <v>Cha La</v>
      </c>
      <c r="D69" s="2247"/>
      <c r="E69" s="2246"/>
      <c r="F69" s="2246"/>
      <c r="G69" s="2246"/>
      <c r="H69" s="2245"/>
      <c r="I69" s="2246"/>
      <c r="J69" s="2289">
        <f>VLOOKUP(C69,'Xã cạo t2'!B31:H49,7,0)</f>
        <v>32</v>
      </c>
      <c r="K69" s="2554">
        <f>VLOOKUP(C69,'Trang bị t2'!B31:H49,7,0)</f>
        <v>16</v>
      </c>
      <c r="L69" s="2289">
        <f>VLOOKUP(C69,'Thiết kế t2'!B16:I34,7,0)</f>
        <v>24</v>
      </c>
      <c r="M69" s="2289"/>
      <c r="N69" s="2247"/>
      <c r="O69" s="2247"/>
      <c r="P69" s="2247"/>
      <c r="Q69" s="2247"/>
      <c r="R69" s="2248">
        <f t="shared" si="3"/>
        <v>72</v>
      </c>
      <c r="S69" s="2249">
        <f>VLOOKUP(C69,Mủ!C67:AI81,33,0)</f>
        <v>0</v>
      </c>
      <c r="T69" s="2250"/>
      <c r="U69" s="2249">
        <f>VLOOKUP(C69,Mủ!C67:AJ81,34,0)</f>
        <v>0</v>
      </c>
      <c r="V69" s="2252">
        <f>VLOOKUP(C69,'Chấm công công nhân'!L66:AR68,33,0)</f>
        <v>0</v>
      </c>
      <c r="W69" s="2252">
        <f>VLOOKUP(C69,'Chấm công công nhân'!L68:AS135,34,0)</f>
        <v>0</v>
      </c>
      <c r="X69" s="2252">
        <f>VLOOKUP(C69,'Chấm công công nhân'!L68:AT101,35,0)</f>
        <v>4</v>
      </c>
      <c r="Y69" s="2252">
        <f>VLOOKUP(C69,'Chấm công công nhân'!L68:AU135,36,0)</f>
        <v>0</v>
      </c>
      <c r="Z69" s="2252"/>
      <c r="AA69" s="2252" t="str">
        <f>VLOOKUP(C69,'Kỷ thuật'!C66:M66,11,0)</f>
        <v>A</v>
      </c>
      <c r="AB69" s="2263"/>
    </row>
    <row r="70" spans="1:53" s="838" customFormat="1" ht="18" customHeight="1">
      <c r="A70" s="2272">
        <v>57</v>
      </c>
      <c r="B70" s="2261">
        <v>19</v>
      </c>
      <c r="C70" s="2262" t="str">
        <f>'Chấm công công nhân'!L69</f>
        <v>Nàng Binh</v>
      </c>
      <c r="D70" s="2247"/>
      <c r="E70" s="2246"/>
      <c r="F70" s="2246"/>
      <c r="G70" s="2246"/>
      <c r="H70" s="2245"/>
      <c r="I70" s="2246"/>
      <c r="J70" s="2289">
        <f>VLOOKUP(C70,'Xã cạo t2'!B32:H50,7,0)</f>
        <v>32</v>
      </c>
      <c r="K70" s="2554">
        <f>VLOOKUP(C70,'Trang bị t2'!B32:H50,7,0)</f>
        <v>16</v>
      </c>
      <c r="L70" s="2289">
        <f>VLOOKUP(C70,'Thiết kế t2'!B17:I35,7,0)</f>
        <v>24</v>
      </c>
      <c r="M70" s="2289"/>
      <c r="N70" s="2247"/>
      <c r="O70" s="2247"/>
      <c r="P70" s="2247"/>
      <c r="Q70" s="2247"/>
      <c r="R70" s="2248">
        <f t="shared" si="3"/>
        <v>72</v>
      </c>
      <c r="S70" s="2249">
        <f>VLOOKUP(C70,Mủ!C68:AI82,33,0)</f>
        <v>0</v>
      </c>
      <c r="T70" s="2250"/>
      <c r="U70" s="2249">
        <f>VLOOKUP(C70,Mủ!C68:AJ82,34,0)</f>
        <v>0</v>
      </c>
      <c r="V70" s="2252">
        <f>VLOOKUP(C70,'Chấm công công nhân'!L67:AR69,33,0)</f>
        <v>0</v>
      </c>
      <c r="W70" s="2252">
        <f>VLOOKUP(C70,'Chấm công công nhân'!L69:AS136,34,0)</f>
        <v>0</v>
      </c>
      <c r="X70" s="2252">
        <f>VLOOKUP(C70,'Chấm công công nhân'!L69:AT102,35,0)</f>
        <v>2</v>
      </c>
      <c r="Y70" s="2252">
        <f>VLOOKUP(C70,'Chấm công công nhân'!L69:AU136,36,0)</f>
        <v>0</v>
      </c>
      <c r="Z70" s="2252"/>
      <c r="AA70" s="2252" t="str">
        <f>VLOOKUP(C70,'Kỷ thuật'!C67:M67,11,0)</f>
        <v>C</v>
      </c>
      <c r="AB70" s="2263"/>
    </row>
    <row r="71" spans="1:53" s="1645" customFormat="1" ht="18" customHeight="1">
      <c r="A71" s="3886">
        <v>58</v>
      </c>
      <c r="B71" s="2238">
        <v>20</v>
      </c>
      <c r="C71" s="1958" t="s">
        <v>1140</v>
      </c>
      <c r="D71" s="2256"/>
      <c r="E71" s="2256"/>
      <c r="F71" s="2256"/>
      <c r="G71" s="2256"/>
      <c r="H71" s="2255"/>
      <c r="I71" s="2256">
        <f>AE92+AG92</f>
        <v>0</v>
      </c>
      <c r="J71" s="2256"/>
      <c r="K71" s="2256"/>
      <c r="L71" s="3547"/>
      <c r="M71" s="2256"/>
      <c r="N71" s="2256"/>
      <c r="O71" s="2256"/>
      <c r="P71" s="2256"/>
      <c r="Q71" s="2256"/>
      <c r="R71" s="3356">
        <f>SUM(J71:M71)</f>
        <v>0</v>
      </c>
      <c r="S71" s="2257"/>
      <c r="T71" s="2258"/>
      <c r="U71" s="2259"/>
      <c r="V71" s="2258"/>
      <c r="W71" s="2258"/>
      <c r="X71" s="2258"/>
      <c r="Y71" s="2258"/>
      <c r="Z71" s="2258"/>
      <c r="AA71" s="2258"/>
      <c r="AB71" s="2264"/>
      <c r="AC71" s="1264"/>
      <c r="AD71" s="1264"/>
      <c r="AE71" s="1264"/>
      <c r="AF71" s="1264"/>
      <c r="AG71" s="1264"/>
      <c r="AH71" s="1264"/>
      <c r="AI71" s="1264"/>
      <c r="AJ71" s="1264"/>
      <c r="AK71" s="1264"/>
      <c r="AL71" s="1264"/>
      <c r="AM71" s="1264"/>
      <c r="AN71" s="1264"/>
      <c r="AO71" s="1264"/>
      <c r="AP71" s="1264"/>
      <c r="AQ71" s="1264"/>
      <c r="AR71" s="1264"/>
      <c r="AS71" s="1264"/>
      <c r="AT71" s="1264"/>
      <c r="AU71" s="1264"/>
      <c r="AV71" s="1264"/>
      <c r="AW71" s="1264"/>
      <c r="AX71" s="1264"/>
      <c r="AY71" s="1264"/>
      <c r="AZ71" s="1264"/>
      <c r="BA71" s="1264"/>
    </row>
    <row r="72" spans="1:53" s="824" customFormat="1" ht="18" customHeight="1">
      <c r="A72" s="2273" t="s">
        <v>53</v>
      </c>
      <c r="B72" s="4323" t="s">
        <v>371</v>
      </c>
      <c r="C72" s="4324"/>
      <c r="D72" s="1640"/>
      <c r="E72" s="1641">
        <f t="shared" ref="E72:Y72" si="4">SUM(E73:E89)</f>
        <v>0</v>
      </c>
      <c r="F72" s="1641">
        <f t="shared" si="4"/>
        <v>0</v>
      </c>
      <c r="G72" s="1641"/>
      <c r="H72" s="1641">
        <f t="shared" si="4"/>
        <v>0</v>
      </c>
      <c r="I72" s="2728">
        <f t="shared" si="4"/>
        <v>0</v>
      </c>
      <c r="J72" s="1641">
        <f t="shared" si="4"/>
        <v>512</v>
      </c>
      <c r="K72" s="1641">
        <f t="shared" si="4"/>
        <v>256</v>
      </c>
      <c r="L72" s="1641">
        <f t="shared" si="4"/>
        <v>0</v>
      </c>
      <c r="M72" s="1641">
        <f t="shared" si="4"/>
        <v>0</v>
      </c>
      <c r="N72" s="1641">
        <f t="shared" si="4"/>
        <v>0</v>
      </c>
      <c r="O72" s="1641">
        <f t="shared" si="4"/>
        <v>0</v>
      </c>
      <c r="P72" s="1641">
        <f t="shared" si="4"/>
        <v>0</v>
      </c>
      <c r="Q72" s="1641"/>
      <c r="R72" s="1641">
        <f t="shared" si="4"/>
        <v>768</v>
      </c>
      <c r="S72" s="1641">
        <f t="shared" si="4"/>
        <v>1366</v>
      </c>
      <c r="T72" s="1641">
        <f t="shared" si="4"/>
        <v>0</v>
      </c>
      <c r="U72" s="1641">
        <f t="shared" si="4"/>
        <v>842.68799999999976</v>
      </c>
      <c r="V72" s="1641">
        <f t="shared" si="4"/>
        <v>191</v>
      </c>
      <c r="W72" s="1641">
        <f t="shared" si="4"/>
        <v>33</v>
      </c>
      <c r="X72" s="1641">
        <f t="shared" si="4"/>
        <v>0</v>
      </c>
      <c r="Y72" s="1641">
        <f t="shared" si="4"/>
        <v>0</v>
      </c>
      <c r="Z72" s="1642"/>
      <c r="AA72" s="1642"/>
      <c r="AB72" s="1647"/>
      <c r="AC72" s="1645"/>
      <c r="AD72" s="1645"/>
      <c r="AE72" s="1645"/>
      <c r="AF72" s="1645"/>
      <c r="AG72" s="1645"/>
      <c r="AH72" s="1645"/>
      <c r="AI72" s="1645"/>
      <c r="AJ72" s="1645"/>
      <c r="AK72" s="1645"/>
      <c r="AL72" s="1645"/>
      <c r="AM72" s="1645"/>
      <c r="AN72" s="1645"/>
      <c r="AO72" s="1645"/>
      <c r="AP72" s="1645"/>
      <c r="AQ72" s="1645"/>
      <c r="AR72" s="1645"/>
      <c r="AS72" s="1645"/>
      <c r="AT72" s="1645"/>
      <c r="AU72" s="1645"/>
      <c r="AV72" s="1645"/>
      <c r="AW72" s="1645"/>
      <c r="AX72" s="1645"/>
      <c r="AY72" s="1645"/>
      <c r="AZ72" s="1645"/>
      <c r="BA72" s="1645"/>
    </row>
    <row r="73" spans="1:53" s="824" customFormat="1" ht="18" customHeight="1">
      <c r="A73" s="2272">
        <v>59</v>
      </c>
      <c r="B73" s="2237">
        <v>1</v>
      </c>
      <c r="C73" s="2052" t="str">
        <f>'Chấm công công nhân'!L71</f>
        <v>Thảo Bun</v>
      </c>
      <c r="D73" s="2244"/>
      <c r="E73" s="2245"/>
      <c r="F73" s="2245"/>
      <c r="G73" s="2245"/>
      <c r="H73" s="2245"/>
      <c r="I73" s="2246">
        <f>'kt3'!H14</f>
        <v>0</v>
      </c>
      <c r="J73" s="2289">
        <f>VLOOKUP(C73,'xã cạo t3'!B14:H29,7,0)</f>
        <v>32</v>
      </c>
      <c r="K73" s="2554">
        <f>VLOOKUP(C73,'Trang bị t3'!B14:H29,7,0)</f>
        <v>16</v>
      </c>
      <c r="L73" s="2247"/>
      <c r="M73" s="2246"/>
      <c r="N73" s="2247"/>
      <c r="O73" s="2247"/>
      <c r="P73" s="2247"/>
      <c r="Q73" s="2247"/>
      <c r="R73" s="2555">
        <f>SUM(J73:L73)</f>
        <v>48</v>
      </c>
      <c r="S73" s="2249">
        <f>VLOOKUP(C73,Mủ!C66:AJ81,33,0)</f>
        <v>218</v>
      </c>
      <c r="T73" s="2250"/>
      <c r="U73" s="2251">
        <f>VLOOKUP(C73,Mủ!C66:AJ72,34,0)</f>
        <v>134.48461493411421</v>
      </c>
      <c r="V73" s="2252">
        <f>VLOOKUP(C73,'Chấm công công nhân'!L71:AR81,33,0)</f>
        <v>19</v>
      </c>
      <c r="W73" s="2252">
        <f>VLOOKUP(C73,'Chấm công công nhân'!L71:AS134,34,0)</f>
        <v>4</v>
      </c>
      <c r="X73" s="2252">
        <f>VLOOKUP(C73,'Chấm công công nhân'!L71:AT100,35,0)</f>
        <v>0</v>
      </c>
      <c r="Y73" s="2252">
        <f>VLOOKUP(C73,'Chấm công công nhân'!L71:AU134,36,0)</f>
        <v>0</v>
      </c>
      <c r="Z73" s="2252"/>
      <c r="AA73" s="2252" t="str">
        <f>VLOOKUP(C73,'Kỷ thuật'!C69:M69,11,0)</f>
        <v>B</v>
      </c>
      <c r="AB73" s="2253"/>
    </row>
    <row r="74" spans="1:53" s="824" customFormat="1" ht="18" customHeight="1">
      <c r="A74" s="2272">
        <v>60</v>
      </c>
      <c r="B74" s="2237">
        <v>2</v>
      </c>
      <c r="C74" s="2052" t="str">
        <f>'Chấm công công nhân'!L72</f>
        <v>Thảo Nga</v>
      </c>
      <c r="D74" s="2244"/>
      <c r="E74" s="2245"/>
      <c r="F74" s="2245"/>
      <c r="G74" s="2245"/>
      <c r="H74" s="2245"/>
      <c r="I74" s="2246">
        <f>'kt3'!H15</f>
        <v>0</v>
      </c>
      <c r="J74" s="2289">
        <f>VLOOKUP(C74,'xã cạo t3'!B15:H30,7,0)</f>
        <v>32</v>
      </c>
      <c r="K74" s="2554">
        <f>VLOOKUP(C74,'Trang bị t3'!B15:H30,7,0)</f>
        <v>16</v>
      </c>
      <c r="L74" s="2247"/>
      <c r="M74" s="2246"/>
      <c r="N74" s="2247"/>
      <c r="O74" s="2247"/>
      <c r="P74" s="2247"/>
      <c r="Q74" s="2247"/>
      <c r="R74" s="2555">
        <f t="shared" ref="R74:R88" si="5">SUM(J74:L74)</f>
        <v>48</v>
      </c>
      <c r="S74" s="2249">
        <f>VLOOKUP(C74,Mủ!C67:AJ82,33,0)</f>
        <v>189</v>
      </c>
      <c r="T74" s="2250"/>
      <c r="U74" s="2251">
        <f>VLOOKUP(C74,Mủ!C67:AJ73,34,0)</f>
        <v>116.5944597364568</v>
      </c>
      <c r="V74" s="2252">
        <f>VLOOKUP(C74,'Chấm công công nhân'!L72:AR82,33,0)</f>
        <v>15</v>
      </c>
      <c r="W74" s="2252">
        <f>VLOOKUP(C74,'Chấm công công nhân'!L72:AS135,34,0)</f>
        <v>3</v>
      </c>
      <c r="X74" s="2252">
        <f>VLOOKUP(C74,'Chấm công công nhân'!L72:AT101,35,0)</f>
        <v>0</v>
      </c>
      <c r="Y74" s="2252">
        <f>VLOOKUP(C74,'Chấm công công nhân'!L72:AU135,36,0)</f>
        <v>0</v>
      </c>
      <c r="Z74" s="2252"/>
      <c r="AA74" s="2252" t="str">
        <f>VLOOKUP(C74,'Kỷ thuật'!C70:M70,11,0)</f>
        <v>A</v>
      </c>
      <c r="AB74" s="2253"/>
    </row>
    <row r="75" spans="1:53" s="824" customFormat="1" ht="18" customHeight="1">
      <c r="A75" s="2272">
        <v>61</v>
      </c>
      <c r="B75" s="2237">
        <v>3</v>
      </c>
      <c r="C75" s="2052" t="str">
        <f>'Chấm công công nhân'!L73</f>
        <v>Thảo Tia</v>
      </c>
      <c r="D75" s="2244"/>
      <c r="E75" s="2245"/>
      <c r="F75" s="2245"/>
      <c r="G75" s="2245"/>
      <c r="H75" s="2245"/>
      <c r="I75" s="2246">
        <f>'kt3'!H16</f>
        <v>0</v>
      </c>
      <c r="J75" s="2289">
        <f>VLOOKUP(C75,'xã cạo t3'!B16:H31,7,0)</f>
        <v>32</v>
      </c>
      <c r="K75" s="2554">
        <f>VLOOKUP(C75,'Trang bị t3'!B16:H31,7,0)</f>
        <v>16</v>
      </c>
      <c r="L75" s="2247"/>
      <c r="M75" s="2246"/>
      <c r="N75" s="2247"/>
      <c r="O75" s="2247"/>
      <c r="P75" s="2247"/>
      <c r="Q75" s="2247"/>
      <c r="R75" s="2555">
        <f t="shared" si="5"/>
        <v>48</v>
      </c>
      <c r="S75" s="2249">
        <f>VLOOKUP(C75,Mủ!C68:AJ83,33,0)</f>
        <v>211</v>
      </c>
      <c r="T75" s="2250"/>
      <c r="U75" s="2251">
        <f>VLOOKUP(C75,Mủ!C68:AJ74,34,0)</f>
        <v>130.16630161054172</v>
      </c>
      <c r="V75" s="2252">
        <f>VLOOKUP(C75,'Chấm công công nhân'!L73:AR83,33,0)</f>
        <v>16</v>
      </c>
      <c r="W75" s="2252">
        <f>VLOOKUP(C75,'Chấm công công nhân'!L73:AS136,34,0)</f>
        <v>3</v>
      </c>
      <c r="X75" s="2252">
        <f>VLOOKUP(C75,'Chấm công công nhân'!L73:AT102,35,0)</f>
        <v>0</v>
      </c>
      <c r="Y75" s="2252">
        <f>VLOOKUP(C75,'Chấm công công nhân'!L73:AU136,36,0)</f>
        <v>0</v>
      </c>
      <c r="Z75" s="2252"/>
      <c r="AA75" s="2252" t="str">
        <f>VLOOKUP(C75,'Kỷ thuật'!C71:M71,11,0)</f>
        <v>A</v>
      </c>
      <c r="AB75" s="2253"/>
    </row>
    <row r="76" spans="1:53" s="824" customFormat="1" ht="18" customHeight="1">
      <c r="A76" s="2272">
        <v>62</v>
      </c>
      <c r="B76" s="2237">
        <v>4</v>
      </c>
      <c r="C76" s="2052" t="str">
        <f>'Chấm công công nhân'!L74</f>
        <v>Thảo Nuy</v>
      </c>
      <c r="D76" s="2244"/>
      <c r="E76" s="2245"/>
      <c r="F76" s="2245"/>
      <c r="G76" s="2245"/>
      <c r="H76" s="2245"/>
      <c r="I76" s="2246">
        <f>'kt3'!H17</f>
        <v>0</v>
      </c>
      <c r="J76" s="2289">
        <f>VLOOKUP(C76,'xã cạo t3'!B17:H32,7,0)</f>
        <v>32</v>
      </c>
      <c r="K76" s="2554">
        <f>VLOOKUP(C76,'Trang bị t3'!B17:H32,7,0)</f>
        <v>16</v>
      </c>
      <c r="L76" s="2247"/>
      <c r="M76" s="2246"/>
      <c r="N76" s="2247"/>
      <c r="O76" s="2247"/>
      <c r="P76" s="2247"/>
      <c r="Q76" s="2247"/>
      <c r="R76" s="2555">
        <f t="shared" si="5"/>
        <v>48</v>
      </c>
      <c r="S76" s="2249">
        <f>VLOOKUP(C76,Mủ!C69:AJ84,33,0)</f>
        <v>211</v>
      </c>
      <c r="T76" s="2250"/>
      <c r="U76" s="2251">
        <f>VLOOKUP(C76,Mủ!C69:AJ75,34,0)</f>
        <v>130.16630161054172</v>
      </c>
      <c r="V76" s="2252">
        <f>VLOOKUP(C76,'Chấm công công nhân'!L74:AR84,33,0)</f>
        <v>15</v>
      </c>
      <c r="W76" s="2252">
        <f>VLOOKUP(C76,'Chấm công công nhân'!L74:AS137,34,0)</f>
        <v>3</v>
      </c>
      <c r="X76" s="2252">
        <f>VLOOKUP(C76,'Chấm công công nhân'!L74:AT103,35,0)</f>
        <v>0</v>
      </c>
      <c r="Y76" s="2252">
        <f>VLOOKUP(C76,'Chấm công công nhân'!L74:AU137,36,0)</f>
        <v>0</v>
      </c>
      <c r="Z76" s="2252"/>
      <c r="AA76" s="2252" t="str">
        <f>VLOOKUP(C76,'Kỷ thuật'!C72:M72,11,0)</f>
        <v>B</v>
      </c>
      <c r="AB76" s="2253"/>
    </row>
    <row r="77" spans="1:53" ht="18" customHeight="1">
      <c r="A77" s="2272">
        <v>63</v>
      </c>
      <c r="B77" s="2237">
        <v>5</v>
      </c>
      <c r="C77" s="2052" t="str">
        <f>'Chấm công công nhân'!L75</f>
        <v>Thảo Xay</v>
      </c>
      <c r="D77" s="2244"/>
      <c r="E77" s="2245"/>
      <c r="F77" s="2245"/>
      <c r="G77" s="2245"/>
      <c r="H77" s="2245"/>
      <c r="I77" s="2246">
        <f>'kt3'!H18</f>
        <v>0</v>
      </c>
      <c r="J77" s="2289">
        <f>VLOOKUP(C77,'xã cạo t3'!B18:H33,7,0)</f>
        <v>32</v>
      </c>
      <c r="K77" s="2554">
        <f>VLOOKUP(C77,'Trang bị t3'!B18:H33,7,0)</f>
        <v>16</v>
      </c>
      <c r="L77" s="2247"/>
      <c r="M77" s="2246"/>
      <c r="N77" s="2247"/>
      <c r="O77" s="2247"/>
      <c r="P77" s="2247"/>
      <c r="Q77" s="2247"/>
      <c r="R77" s="2555">
        <f t="shared" si="5"/>
        <v>48</v>
      </c>
      <c r="S77" s="2249">
        <f>VLOOKUP(C77,Mủ!C70:AJ85,33,0)</f>
        <v>65</v>
      </c>
      <c r="T77" s="2250"/>
      <c r="U77" s="2251">
        <f>VLOOKUP(C77,Mủ!C70:AJ76,34,0)</f>
        <v>40.098623718887261</v>
      </c>
      <c r="V77" s="2252">
        <f>VLOOKUP(C77,'Chấm công công nhân'!L75:AR85,33,0)</f>
        <v>10</v>
      </c>
      <c r="W77" s="2252">
        <f>VLOOKUP(C77,'Chấm công công nhân'!L75:AS138,34,0)</f>
        <v>2</v>
      </c>
      <c r="X77" s="2252">
        <f>VLOOKUP(C77,'Chấm công công nhân'!L75:AT104,35,0)</f>
        <v>0</v>
      </c>
      <c r="Y77" s="2252">
        <f>VLOOKUP(C77,'Chấm công công nhân'!L75:AU138,36,0)</f>
        <v>0</v>
      </c>
      <c r="Z77" s="2252"/>
      <c r="AA77" s="2252" t="str">
        <f>VLOOKUP(C77,'Kỷ thuật'!C73:M73,11,0)</f>
        <v>B</v>
      </c>
      <c r="AB77" s="2253"/>
      <c r="AC77" s="824"/>
      <c r="AD77" s="824"/>
      <c r="AE77" s="824"/>
      <c r="AF77" s="824"/>
      <c r="AG77" s="824"/>
      <c r="AH77" s="824"/>
      <c r="AI77" s="824"/>
      <c r="AJ77" s="824"/>
      <c r="AK77" s="824"/>
      <c r="AL77" s="824"/>
      <c r="AM77" s="824"/>
      <c r="AN77" s="824"/>
      <c r="AO77" s="824"/>
      <c r="AP77" s="824"/>
      <c r="AQ77" s="824"/>
      <c r="AR77" s="824"/>
      <c r="AS77" s="824"/>
      <c r="AT77" s="824"/>
      <c r="AU77" s="824"/>
      <c r="AV77" s="824"/>
      <c r="AW77" s="824"/>
      <c r="AX77" s="824"/>
      <c r="AY77" s="824"/>
      <c r="AZ77" s="824"/>
      <c r="BA77" s="824"/>
    </row>
    <row r="78" spans="1:53" ht="18" customHeight="1">
      <c r="A78" s="2272">
        <v>64</v>
      </c>
      <c r="B78" s="2237">
        <v>6</v>
      </c>
      <c r="C78" s="2052" t="str">
        <f>'Chấm công công nhân'!L76</f>
        <v>Nàng Nọi</v>
      </c>
      <c r="D78" s="2244"/>
      <c r="E78" s="2245"/>
      <c r="F78" s="2245"/>
      <c r="G78" s="2245"/>
      <c r="H78" s="2245"/>
      <c r="I78" s="2246">
        <f>'kt3'!H19</f>
        <v>0</v>
      </c>
      <c r="J78" s="2289">
        <f>VLOOKUP(C78,'xã cạo t3'!B19:H34,7,0)</f>
        <v>32</v>
      </c>
      <c r="K78" s="2554">
        <f>VLOOKUP(C78,'Trang bị t3'!B19:H34,7,0)</f>
        <v>16</v>
      </c>
      <c r="L78" s="2247"/>
      <c r="M78" s="2246"/>
      <c r="N78" s="2247"/>
      <c r="O78" s="2247"/>
      <c r="P78" s="2247"/>
      <c r="Q78" s="2247"/>
      <c r="R78" s="2555">
        <f t="shared" si="5"/>
        <v>48</v>
      </c>
      <c r="S78" s="2249">
        <f>VLOOKUP(C78,Mủ!C71:AJ86,33,0)</f>
        <v>0</v>
      </c>
      <c r="T78" s="2250"/>
      <c r="U78" s="2251">
        <f>VLOOKUP(C78,Mủ!C71:AJ77,34,0)</f>
        <v>0</v>
      </c>
      <c r="V78" s="2252">
        <f>VLOOKUP(C78,'Chấm công công nhân'!L76:AR86,33,0)</f>
        <v>10</v>
      </c>
      <c r="W78" s="2252">
        <f>VLOOKUP(C78,'Chấm công công nhân'!L76:AS139,34,0)</f>
        <v>1</v>
      </c>
      <c r="X78" s="2252">
        <f>VLOOKUP(C78,'Chấm công công nhân'!L76:AT105,35,0)</f>
        <v>0</v>
      </c>
      <c r="Y78" s="2252">
        <f>VLOOKUP(C78,'Chấm công công nhân'!L76:AU139,36,0)</f>
        <v>0</v>
      </c>
      <c r="Z78" s="2252"/>
      <c r="AA78" s="2252" t="str">
        <f>VLOOKUP(C78,'Kỷ thuật'!C74:M74,11,0)</f>
        <v>B</v>
      </c>
      <c r="AB78" s="2265"/>
    </row>
    <row r="79" spans="1:53" ht="18" customHeight="1">
      <c r="A79" s="2272">
        <v>65</v>
      </c>
      <c r="B79" s="2237">
        <v>7</v>
      </c>
      <c r="C79" s="2052" t="str">
        <f>'Chấm công công nhân'!L77</f>
        <v>Thảo Khon</v>
      </c>
      <c r="D79" s="2244"/>
      <c r="E79" s="2245"/>
      <c r="F79" s="2245"/>
      <c r="G79" s="2245"/>
      <c r="H79" s="2245"/>
      <c r="I79" s="2246">
        <f>'kt3'!H20</f>
        <v>0</v>
      </c>
      <c r="J79" s="2289">
        <f>VLOOKUP(C79,'xã cạo t3'!B20:H35,7,0)</f>
        <v>32</v>
      </c>
      <c r="K79" s="2554">
        <f>VLOOKUP(C79,'Trang bị t3'!B20:H35,7,0)</f>
        <v>16</v>
      </c>
      <c r="L79" s="2247"/>
      <c r="M79" s="2246"/>
      <c r="N79" s="2247"/>
      <c r="O79" s="2247"/>
      <c r="P79" s="2247"/>
      <c r="Q79" s="2247"/>
      <c r="R79" s="2555">
        <f t="shared" si="5"/>
        <v>48</v>
      </c>
      <c r="S79" s="2249">
        <f>VLOOKUP(C79,Mủ!C72:AJ87,33,0)</f>
        <v>212</v>
      </c>
      <c r="T79" s="2250"/>
      <c r="U79" s="2251">
        <f>VLOOKUP(C79,Mủ!C72:AJ78,34,0)</f>
        <v>130.7832035139092</v>
      </c>
      <c r="V79" s="2252">
        <f>VLOOKUP(C79,'Chấm công công nhân'!L77:AR87,33,0)</f>
        <v>15</v>
      </c>
      <c r="W79" s="2252">
        <f>VLOOKUP(C79,'Chấm công công nhân'!L77:AS140,34,0)</f>
        <v>3</v>
      </c>
      <c r="X79" s="2252">
        <f>VLOOKUP(C79,'Chấm công công nhân'!L77:AT106,35,0)</f>
        <v>0</v>
      </c>
      <c r="Y79" s="2252">
        <f>VLOOKUP(C79,'Chấm công công nhân'!L77:AU140,36,0)</f>
        <v>0</v>
      </c>
      <c r="Z79" s="2252"/>
      <c r="AA79" s="2252" t="str">
        <f>VLOOKUP(C79,'Kỷ thuật'!C75:M75,11,0)</f>
        <v>A</v>
      </c>
      <c r="AB79" s="2265"/>
    </row>
    <row r="80" spans="1:53" ht="18" customHeight="1">
      <c r="A80" s="2272">
        <v>66</v>
      </c>
      <c r="B80" s="2237">
        <v>8</v>
      </c>
      <c r="C80" s="2052" t="str">
        <f>'Chấm công công nhân'!L78</f>
        <v>Thảo Tưng</v>
      </c>
      <c r="D80" s="2244"/>
      <c r="E80" s="2245"/>
      <c r="F80" s="2245"/>
      <c r="G80" s="2245"/>
      <c r="H80" s="2245"/>
      <c r="I80" s="2246">
        <f>'kt3'!H21</f>
        <v>0</v>
      </c>
      <c r="J80" s="2289">
        <f>VLOOKUP(C80,'xã cạo t3'!B21:H36,7,0)</f>
        <v>32</v>
      </c>
      <c r="K80" s="2554">
        <f>VLOOKUP(C80,'Trang bị t3'!B21:H36,7,0)</f>
        <v>16</v>
      </c>
      <c r="L80" s="2247"/>
      <c r="M80" s="2246"/>
      <c r="N80" s="2247"/>
      <c r="O80" s="2247"/>
      <c r="P80" s="2247"/>
      <c r="Q80" s="2247"/>
      <c r="R80" s="2555">
        <f t="shared" si="5"/>
        <v>48</v>
      </c>
      <c r="S80" s="2249">
        <f>VLOOKUP(C80,Mủ!C73:AJ88,33,0)</f>
        <v>23</v>
      </c>
      <c r="T80" s="2250"/>
      <c r="U80" s="2251">
        <f>VLOOKUP(C80,Mủ!C73:AJ79,34,0)</f>
        <v>14.188743777452414</v>
      </c>
      <c r="V80" s="2252">
        <f>VLOOKUP(C80,'Chấm công công nhân'!L78:AR88,33,0)</f>
        <v>14</v>
      </c>
      <c r="W80" s="2252">
        <f>VLOOKUP(C80,'Chấm công công nhân'!L78:AS141,34,0)</f>
        <v>1</v>
      </c>
      <c r="X80" s="2252">
        <f>VLOOKUP(C80,'Chấm công công nhân'!L78:AT107,35,0)</f>
        <v>0</v>
      </c>
      <c r="Y80" s="2252">
        <f>VLOOKUP(C80,'Chấm công công nhân'!L78:AU141,36,0)</f>
        <v>0</v>
      </c>
      <c r="Z80" s="2252"/>
      <c r="AA80" s="2252" t="str">
        <f>VLOOKUP(C80,'Kỷ thuật'!C76:M76,11,0)</f>
        <v>B</v>
      </c>
      <c r="AB80" s="2265"/>
    </row>
    <row r="81" spans="1:53" ht="18" customHeight="1">
      <c r="A81" s="2272">
        <v>67</v>
      </c>
      <c r="B81" s="2237">
        <v>9</v>
      </c>
      <c r="C81" s="2052" t="str">
        <f>'Chấm công công nhân'!L79</f>
        <v>Thảo Bắt</v>
      </c>
      <c r="D81" s="2244"/>
      <c r="E81" s="2245"/>
      <c r="F81" s="2245"/>
      <c r="G81" s="2245"/>
      <c r="H81" s="2245"/>
      <c r="I81" s="2246">
        <f>'kt3'!H22</f>
        <v>0</v>
      </c>
      <c r="J81" s="2289">
        <f>VLOOKUP(C81,'xã cạo t3'!B22:H37,7,0)</f>
        <v>32</v>
      </c>
      <c r="K81" s="2554">
        <f>VLOOKUP(C81,'Trang bị t3'!B22:H37,7,0)</f>
        <v>16</v>
      </c>
      <c r="L81" s="2247"/>
      <c r="M81" s="2246"/>
      <c r="N81" s="2247"/>
      <c r="O81" s="2247"/>
      <c r="P81" s="2247"/>
      <c r="Q81" s="2247"/>
      <c r="R81" s="2555">
        <f t="shared" si="5"/>
        <v>48</v>
      </c>
      <c r="S81" s="2249">
        <f>VLOOKUP(C81,Mủ!C74:AJ89,33,0)</f>
        <v>169</v>
      </c>
      <c r="T81" s="2250"/>
      <c r="U81" s="2251">
        <f>VLOOKUP(C81,Mủ!C74:AJ80,34,0)</f>
        <v>104.25642166910687</v>
      </c>
      <c r="V81" s="2252">
        <f>VLOOKUP(C81,'Chấm công công nhân'!L79:AR89,33,0)</f>
        <v>18</v>
      </c>
      <c r="W81" s="2252">
        <f>VLOOKUP(C81,'Chấm công công nhân'!L79:AS142,34,0)</f>
        <v>3</v>
      </c>
      <c r="X81" s="2252">
        <f>VLOOKUP(C81,'Chấm công công nhân'!L79:AT108,35,0)</f>
        <v>0</v>
      </c>
      <c r="Y81" s="2252">
        <f>VLOOKUP(C81,'Chấm công công nhân'!L79:AU142,36,0)</f>
        <v>0</v>
      </c>
      <c r="Z81" s="2252"/>
      <c r="AA81" s="2252" t="str">
        <f>VLOOKUP(C81,'Kỷ thuật'!C77:M77,11,0)</f>
        <v>A</v>
      </c>
      <c r="AB81" s="2265"/>
    </row>
    <row r="82" spans="1:53" s="871" customFormat="1" ht="18" customHeight="1">
      <c r="A82" s="2272">
        <v>68</v>
      </c>
      <c r="B82" s="2237">
        <v>10</v>
      </c>
      <c r="C82" s="2052" t="str">
        <f>'Chấm công công nhân'!L80</f>
        <v>Thảo Lay</v>
      </c>
      <c r="D82" s="2461"/>
      <c r="E82" s="2461"/>
      <c r="F82" s="2461"/>
      <c r="G82" s="2461"/>
      <c r="H82" s="2461"/>
      <c r="I82" s="2246">
        <f>'kt3'!H23</f>
        <v>0</v>
      </c>
      <c r="J82" s="2289">
        <f>VLOOKUP(C82,'xã cạo t3'!B23:H38,7,0)</f>
        <v>32</v>
      </c>
      <c r="K82" s="2554">
        <f>VLOOKUP(C82,'Trang bị t3'!B23:H38,7,0)</f>
        <v>16</v>
      </c>
      <c r="L82" s="2461"/>
      <c r="M82" s="2246"/>
      <c r="N82" s="2461"/>
      <c r="O82" s="2461"/>
      <c r="P82" s="2461"/>
      <c r="Q82" s="2461"/>
      <c r="R82" s="2555">
        <f t="shared" si="5"/>
        <v>48</v>
      </c>
      <c r="S82" s="2249">
        <f>VLOOKUP(C82,Mủ!C75:AJ90,33,0)</f>
        <v>0</v>
      </c>
      <c r="T82" s="2250"/>
      <c r="U82" s="2251">
        <f>VLOOKUP(C82,Mủ!C75:AJ81,34,0)</f>
        <v>0</v>
      </c>
      <c r="V82" s="2252">
        <f>VLOOKUP(C82,'Chấm công công nhân'!L80:AR90,33,0)</f>
        <v>0</v>
      </c>
      <c r="W82" s="2252">
        <f>VLOOKUP(C82,'Chấm công công nhân'!L80:AS143,34,0)</f>
        <v>0</v>
      </c>
      <c r="X82" s="2252">
        <f>VLOOKUP(C82,'Chấm công công nhân'!L80:AT109,35,0)</f>
        <v>0</v>
      </c>
      <c r="Y82" s="2252">
        <f>VLOOKUP(C82,'Chấm công công nhân'!L80:AU143,36,0)</f>
        <v>0</v>
      </c>
      <c r="Z82" s="2258"/>
      <c r="AA82" s="2252" t="str">
        <f>VLOOKUP(C82,'Kỷ thuật'!C78:M78,11,0)</f>
        <v>B</v>
      </c>
      <c r="AB82" s="2462"/>
      <c r="AC82" s="1856"/>
      <c r="AD82" s="1856"/>
      <c r="AE82" s="1856"/>
      <c r="AF82" s="1856"/>
      <c r="AG82" s="1856"/>
      <c r="AH82" s="1856"/>
      <c r="AI82" s="1856"/>
      <c r="AJ82" s="1856"/>
      <c r="AK82" s="1856"/>
      <c r="AL82" s="1856"/>
      <c r="AM82" s="1856"/>
      <c r="AN82" s="1856"/>
      <c r="AO82" s="1856"/>
      <c r="AP82" s="1856"/>
      <c r="AQ82" s="1856"/>
      <c r="AR82" s="1856"/>
      <c r="AS82" s="1856"/>
      <c r="AT82" s="1856"/>
      <c r="AU82" s="1856"/>
      <c r="AV82" s="1856"/>
      <c r="AW82" s="1856"/>
      <c r="AX82" s="1856"/>
      <c r="AY82" s="1856"/>
      <c r="AZ82" s="1856"/>
      <c r="BA82" s="1856"/>
    </row>
    <row r="83" spans="1:53" s="871" customFormat="1" ht="18" customHeight="1">
      <c r="A83" s="2272">
        <v>69</v>
      </c>
      <c r="B83" s="2237">
        <v>11</v>
      </c>
      <c r="C83" s="2052" t="str">
        <f>'Chấm công công nhân'!L81</f>
        <v>Thảo Chăn</v>
      </c>
      <c r="D83" s="2461"/>
      <c r="E83" s="2461"/>
      <c r="F83" s="2461"/>
      <c r="G83" s="2461"/>
      <c r="H83" s="2461"/>
      <c r="I83" s="2246">
        <f>'kt3'!H24</f>
        <v>0</v>
      </c>
      <c r="J83" s="2289">
        <f>VLOOKUP(C83,'xã cạo t3'!B24:H39,7,0)</f>
        <v>32</v>
      </c>
      <c r="K83" s="2554">
        <f>VLOOKUP(C83,'Trang bị t3'!B24:H39,7,0)</f>
        <v>16</v>
      </c>
      <c r="L83" s="2461"/>
      <c r="M83" s="2246"/>
      <c r="N83" s="2461"/>
      <c r="O83" s="2461"/>
      <c r="P83" s="2461"/>
      <c r="Q83" s="2461"/>
      <c r="R83" s="2555">
        <f t="shared" si="5"/>
        <v>48</v>
      </c>
      <c r="S83" s="2249">
        <f>VLOOKUP(C83,Mủ!C76:AJ91,33,0)</f>
        <v>20</v>
      </c>
      <c r="T83" s="2250"/>
      <c r="U83" s="2251">
        <f>VLOOKUP(C83,Mủ!C76:AJ82,34,0)</f>
        <v>12.338038067349926</v>
      </c>
      <c r="V83" s="2252">
        <f>VLOOKUP(C83,'Chấm công công nhân'!L81:AR91,33,0)</f>
        <v>13</v>
      </c>
      <c r="W83" s="2252">
        <f>VLOOKUP(C83,'Chấm công công nhân'!L81:AS144,34,0)</f>
        <v>2</v>
      </c>
      <c r="X83" s="2252">
        <f>VLOOKUP(C83,'Chấm công công nhân'!L81:AT110,35,0)</f>
        <v>0</v>
      </c>
      <c r="Y83" s="2252">
        <f>VLOOKUP(C83,'Chấm công công nhân'!L81:AU144,36,0)</f>
        <v>0</v>
      </c>
      <c r="Z83" s="2258"/>
      <c r="AA83" s="2252" t="str">
        <f>VLOOKUP(C83,'Kỷ thuật'!C79:M79,11,0)</f>
        <v>A</v>
      </c>
      <c r="AB83" s="2462"/>
      <c r="AC83" s="1856"/>
      <c r="AD83" s="1856"/>
      <c r="AE83" s="1856"/>
      <c r="AF83" s="1856"/>
      <c r="AG83" s="1856"/>
      <c r="AH83" s="1856"/>
      <c r="AI83" s="1856"/>
      <c r="AJ83" s="1856"/>
      <c r="AK83" s="1856"/>
      <c r="AL83" s="1856"/>
      <c r="AM83" s="1856"/>
      <c r="AN83" s="1856"/>
      <c r="AO83" s="1856"/>
      <c r="AP83" s="1856"/>
      <c r="AQ83" s="1856"/>
      <c r="AR83" s="1856"/>
      <c r="AS83" s="1856"/>
      <c r="AT83" s="1856"/>
      <c r="AU83" s="1856"/>
      <c r="AV83" s="1856"/>
      <c r="AW83" s="1856"/>
      <c r="AX83" s="1856"/>
      <c r="AY83" s="1856"/>
      <c r="AZ83" s="1856"/>
      <c r="BA83" s="1856"/>
    </row>
    <row r="84" spans="1:53" s="871" customFormat="1" ht="18" customHeight="1">
      <c r="A84" s="2272">
        <v>70</v>
      </c>
      <c r="B84" s="2237">
        <v>12</v>
      </c>
      <c r="C84" s="2052" t="str">
        <f>'Chấm công công nhân'!L82</f>
        <v>Thảo Lăm Ma</v>
      </c>
      <c r="D84" s="2461"/>
      <c r="E84" s="2461"/>
      <c r="F84" s="2461"/>
      <c r="G84" s="2461"/>
      <c r="H84" s="2461"/>
      <c r="I84" s="2246">
        <f>'kt3'!H25</f>
        <v>0</v>
      </c>
      <c r="J84" s="2289">
        <f>VLOOKUP(C84,'xã cạo t3'!B25:H40,7,0)</f>
        <v>32</v>
      </c>
      <c r="K84" s="2554">
        <f>VLOOKUP(C84,'Trang bị t3'!B25:H40,7,0)</f>
        <v>16</v>
      </c>
      <c r="L84" s="2461"/>
      <c r="M84" s="2246"/>
      <c r="N84" s="2461"/>
      <c r="O84" s="2461"/>
      <c r="P84" s="2461"/>
      <c r="Q84" s="2461"/>
      <c r="R84" s="2555">
        <f t="shared" si="5"/>
        <v>48</v>
      </c>
      <c r="S84" s="2249">
        <f>VLOOKUP(C84,Mủ!C77:AJ92,33,0)</f>
        <v>0</v>
      </c>
      <c r="T84" s="2250"/>
      <c r="U84" s="2251">
        <f>VLOOKUP(C84,Mủ!C77:AJ83,34,0)</f>
        <v>0</v>
      </c>
      <c r="V84" s="2252">
        <f>VLOOKUP(C84,'Chấm công công nhân'!L82:AR92,33,0)</f>
        <v>1</v>
      </c>
      <c r="W84" s="2252">
        <f>VLOOKUP(C84,'Chấm công công nhân'!L82:AS145,34,0)</f>
        <v>0</v>
      </c>
      <c r="X84" s="2252">
        <f>VLOOKUP(C84,'Chấm công công nhân'!L82:AT111,35,0)</f>
        <v>0</v>
      </c>
      <c r="Y84" s="2252">
        <f>VLOOKUP(C84,'Chấm công công nhân'!L82:AU145,36,0)</f>
        <v>0</v>
      </c>
      <c r="Z84" s="2258"/>
      <c r="AA84" s="2252" t="str">
        <f>VLOOKUP(C84,'Kỷ thuật'!C80:M80,11,0)</f>
        <v>B</v>
      </c>
      <c r="AB84" s="2462"/>
      <c r="AC84" s="1856"/>
      <c r="AD84" s="1856"/>
      <c r="AE84" s="1856"/>
      <c r="AF84" s="156"/>
      <c r="AG84" s="156"/>
      <c r="AH84" s="156"/>
      <c r="AI84" s="156"/>
      <c r="AJ84" s="1856"/>
      <c r="AK84" s="1856"/>
      <c r="AL84" s="1856"/>
      <c r="AM84" s="1856"/>
      <c r="AN84" s="1856"/>
      <c r="AO84" s="1856"/>
      <c r="AP84" s="1856"/>
      <c r="AQ84" s="1856"/>
      <c r="AR84" s="1856"/>
      <c r="AS84" s="1856"/>
      <c r="AT84" s="1856"/>
      <c r="AU84" s="1856"/>
      <c r="AV84" s="1856"/>
      <c r="AW84" s="1856"/>
      <c r="AX84" s="1856"/>
      <c r="AY84" s="1856"/>
      <c r="AZ84" s="1856"/>
      <c r="BA84" s="1856"/>
    </row>
    <row r="85" spans="1:53" s="871" customFormat="1" ht="18" customHeight="1">
      <c r="A85" s="2272">
        <v>71</v>
      </c>
      <c r="B85" s="2237">
        <v>13</v>
      </c>
      <c r="C85" s="2052" t="str">
        <f>'Chấm công công nhân'!L83</f>
        <v>Phò Đăm</v>
      </c>
      <c r="D85" s="2461"/>
      <c r="E85" s="2461"/>
      <c r="F85" s="2461"/>
      <c r="G85" s="2461"/>
      <c r="H85" s="2461"/>
      <c r="I85" s="2246">
        <f>'kt3'!H26</f>
        <v>0</v>
      </c>
      <c r="J85" s="2289">
        <f>VLOOKUP(C85,'xã cạo t3'!B26:H41,7,0)</f>
        <v>32</v>
      </c>
      <c r="K85" s="2554">
        <f>VLOOKUP(C85,'Trang bị t3'!B26:H41,7,0)</f>
        <v>16</v>
      </c>
      <c r="L85" s="2461"/>
      <c r="M85" s="2246"/>
      <c r="N85" s="2461"/>
      <c r="O85" s="2461"/>
      <c r="P85" s="2461"/>
      <c r="Q85" s="2461"/>
      <c r="R85" s="2555">
        <f t="shared" si="5"/>
        <v>48</v>
      </c>
      <c r="S85" s="2249">
        <f>VLOOKUP(C85,Mủ!C78:AJ93,33,0)</f>
        <v>0</v>
      </c>
      <c r="T85" s="2250"/>
      <c r="U85" s="2251">
        <f>VLOOKUP(C85,Mủ!C78:AJ84,34,0)</f>
        <v>0</v>
      </c>
      <c r="V85" s="2252">
        <f>VLOOKUP(C85,'Chấm công công nhân'!L83:AR93,33,0)</f>
        <v>15</v>
      </c>
      <c r="W85" s="2252">
        <f>VLOOKUP(C85,'Chấm công công nhân'!L83:AS146,34,0)</f>
        <v>2</v>
      </c>
      <c r="X85" s="2252">
        <f>VLOOKUP(C85,'Chấm công công nhân'!L83:AT112,35,0)</f>
        <v>0</v>
      </c>
      <c r="Y85" s="2252">
        <f>VLOOKUP(C85,'Chấm công công nhân'!L83:AU146,36,0)</f>
        <v>0</v>
      </c>
      <c r="Z85" s="2258"/>
      <c r="AA85" s="2252" t="str">
        <f>VLOOKUP(C85,'Kỷ thuật'!C81:M81,11,0)</f>
        <v>B</v>
      </c>
      <c r="AB85" s="2462"/>
      <c r="AC85" s="1856"/>
      <c r="AD85" s="1856"/>
      <c r="AE85" s="3068"/>
      <c r="AF85" s="3539"/>
      <c r="AG85" s="3539"/>
      <c r="AH85" s="3539"/>
      <c r="AI85" s="3539"/>
      <c r="AJ85" s="1856"/>
      <c r="AK85" s="1856"/>
      <c r="AL85" s="1856"/>
      <c r="AM85" s="1856"/>
      <c r="AN85" s="1856"/>
      <c r="AO85" s="1856"/>
      <c r="AP85" s="1856"/>
      <c r="AQ85" s="1856"/>
      <c r="AR85" s="1856"/>
      <c r="AS85" s="1856"/>
      <c r="AT85" s="1856"/>
      <c r="AU85" s="1856"/>
      <c r="AV85" s="1856"/>
      <c r="AW85" s="1856"/>
      <c r="AX85" s="1856"/>
      <c r="AY85" s="1856"/>
      <c r="AZ85" s="1856"/>
      <c r="BA85" s="1856"/>
    </row>
    <row r="86" spans="1:53" s="871" customFormat="1" ht="15.75" customHeight="1">
      <c r="A86" s="2272">
        <v>72</v>
      </c>
      <c r="B86" s="2237">
        <v>14</v>
      </c>
      <c r="C86" s="2052" t="str">
        <f>'Chấm công công nhân'!L84</f>
        <v>Thảo Đăm Đi</v>
      </c>
      <c r="D86" s="2461"/>
      <c r="E86" s="2461"/>
      <c r="F86" s="2461"/>
      <c r="G86" s="2461"/>
      <c r="H86" s="2461"/>
      <c r="I86" s="2246">
        <f>'kt3'!H27</f>
        <v>0</v>
      </c>
      <c r="J86" s="2289">
        <f>VLOOKUP(C86,'xã cạo t3'!B27:H42,7,0)</f>
        <v>32</v>
      </c>
      <c r="K86" s="2554">
        <f>VLOOKUP(C86,'Trang bị t3'!B27:H42,7,0)</f>
        <v>16</v>
      </c>
      <c r="L86" s="2461"/>
      <c r="M86" s="2246"/>
      <c r="N86" s="2461"/>
      <c r="O86" s="2461"/>
      <c r="P86" s="2461"/>
      <c r="Q86" s="2461"/>
      <c r="R86" s="2555">
        <f t="shared" si="5"/>
        <v>48</v>
      </c>
      <c r="S86" s="2249">
        <f>VLOOKUP(C86,Mủ!C79:AJ94,33,0)</f>
        <v>0</v>
      </c>
      <c r="T86" s="2250"/>
      <c r="U86" s="2251">
        <f>VLOOKUP(C86,Mủ!C79:AJ85,34,0)</f>
        <v>0</v>
      </c>
      <c r="V86" s="2252">
        <f>VLOOKUP(C86,'Chấm công công nhân'!L84:AR94,33,0)</f>
        <v>1</v>
      </c>
      <c r="W86" s="2252">
        <f>VLOOKUP(C86,'Chấm công công nhân'!L84:AS147,34,0)</f>
        <v>0</v>
      </c>
      <c r="X86" s="2252">
        <f>VLOOKUP(C86,'Chấm công công nhân'!L84:AT113,35,0)</f>
        <v>0</v>
      </c>
      <c r="Y86" s="2252">
        <f>VLOOKUP(C86,'Chấm công công nhân'!L84:AU147,36,0)</f>
        <v>0</v>
      </c>
      <c r="Z86" s="2258"/>
      <c r="AA86" s="2252" t="str">
        <f>VLOOKUP(C86,'Kỷ thuật'!C82:M82,11,0)</f>
        <v>B</v>
      </c>
      <c r="AB86" s="2462"/>
      <c r="AC86" s="1856"/>
      <c r="AD86" s="1856"/>
      <c r="AE86" s="1856"/>
      <c r="AF86" s="3539"/>
      <c r="AG86" s="3539"/>
      <c r="AH86" s="3539"/>
      <c r="AI86" s="3539"/>
      <c r="AJ86" s="1856"/>
      <c r="AK86" s="1856"/>
      <c r="AL86" s="1856"/>
      <c r="AM86" s="1856"/>
      <c r="AN86" s="1856"/>
      <c r="AO86" s="1856"/>
      <c r="AP86" s="1856"/>
      <c r="AQ86" s="1856"/>
      <c r="AR86" s="1856"/>
      <c r="AS86" s="1856"/>
      <c r="AT86" s="1856"/>
      <c r="AU86" s="1856"/>
      <c r="AV86" s="1856"/>
      <c r="AW86" s="1856"/>
      <c r="AX86" s="1856"/>
      <c r="AY86" s="1856"/>
      <c r="AZ86" s="1856"/>
      <c r="BA86" s="1856"/>
    </row>
    <row r="87" spans="1:53" s="871" customFormat="1" ht="15.75" customHeight="1">
      <c r="A87" s="2272">
        <v>73</v>
      </c>
      <c r="B87" s="2237">
        <v>15</v>
      </c>
      <c r="C87" s="2052" t="str">
        <f>'Chấm công công nhân'!L85</f>
        <v xml:space="preserve"> Thảo Khên </v>
      </c>
      <c r="D87" s="2461"/>
      <c r="E87" s="2461"/>
      <c r="F87" s="2461"/>
      <c r="G87" s="2461"/>
      <c r="H87" s="2461"/>
      <c r="I87" s="2246">
        <f>'kt3'!H28</f>
        <v>0</v>
      </c>
      <c r="J87" s="2289">
        <f>VLOOKUP(C87,'xã cạo t3'!B28:H43,7,0)</f>
        <v>32</v>
      </c>
      <c r="K87" s="2554">
        <f>VLOOKUP(C87,'Trang bị t3'!B28:H43,7,0)</f>
        <v>16</v>
      </c>
      <c r="L87" s="2461"/>
      <c r="M87" s="2246"/>
      <c r="N87" s="2461"/>
      <c r="O87" s="2461"/>
      <c r="P87" s="2461"/>
      <c r="Q87" s="2461"/>
      <c r="R87" s="2555">
        <f t="shared" si="5"/>
        <v>48</v>
      </c>
      <c r="S87" s="2249">
        <f>VLOOKUP(C87,Mủ!C80:AJ95,33,0)</f>
        <v>13</v>
      </c>
      <c r="T87" s="2250"/>
      <c r="U87" s="2251">
        <f>VLOOKUP(C87,Mủ!C80:AJ86,34,0)</f>
        <v>8.0197247437774521</v>
      </c>
      <c r="V87" s="2252">
        <f>VLOOKUP(C87,'Chấm công công nhân'!L85:AR95,33,0)</f>
        <v>13</v>
      </c>
      <c r="W87" s="2252">
        <f>VLOOKUP(C87,'Chấm công công nhân'!L85:AS148,34,0)</f>
        <v>2</v>
      </c>
      <c r="X87" s="2252">
        <f>VLOOKUP(C87,'Chấm công công nhân'!L85:AT114,35,0)</f>
        <v>0</v>
      </c>
      <c r="Y87" s="2252">
        <f>VLOOKUP(C87,'Chấm công công nhân'!L85:AU148,36,0)</f>
        <v>0</v>
      </c>
      <c r="Z87" s="2258"/>
      <c r="AA87" s="2252" t="str">
        <f>VLOOKUP(C87,'Kỷ thuật'!C83:M83,11,0)</f>
        <v>A</v>
      </c>
      <c r="AB87" s="2462"/>
      <c r="AC87" s="1856"/>
      <c r="AD87" s="1856"/>
      <c r="AE87" s="1856"/>
      <c r="AF87" s="3541"/>
      <c r="AG87" s="3539"/>
      <c r="AH87" s="3539"/>
      <c r="AI87" s="3541"/>
      <c r="AJ87" s="3551"/>
      <c r="AK87" s="1856"/>
      <c r="AL87" s="1856"/>
      <c r="AM87" s="1856"/>
      <c r="AN87" s="1856"/>
      <c r="AO87" s="1856"/>
      <c r="AP87" s="1856"/>
      <c r="AQ87" s="1856"/>
      <c r="AR87" s="1856"/>
      <c r="AS87" s="1856"/>
      <c r="AT87" s="1856"/>
      <c r="AU87" s="1856"/>
      <c r="AV87" s="1856"/>
      <c r="AW87" s="1856"/>
      <c r="AX87" s="1856"/>
      <c r="AY87" s="1856"/>
      <c r="AZ87" s="1856"/>
      <c r="BA87" s="1856"/>
    </row>
    <row r="88" spans="1:53" s="871" customFormat="1" ht="15.75" customHeight="1">
      <c r="A88" s="2272">
        <v>74</v>
      </c>
      <c r="B88" s="2237">
        <v>16</v>
      </c>
      <c r="C88" s="2052" t="str">
        <f>'Chấm công công nhân'!L86</f>
        <v xml:space="preserve"> Thảo Đăm </v>
      </c>
      <c r="D88" s="2461"/>
      <c r="E88" s="2461"/>
      <c r="F88" s="2461"/>
      <c r="G88" s="2461"/>
      <c r="H88" s="2461"/>
      <c r="I88" s="2246">
        <f>'kt3'!H29</f>
        <v>0</v>
      </c>
      <c r="J88" s="2289">
        <f>VLOOKUP(C88,'xã cạo t3'!B29:H44,7,0)</f>
        <v>32</v>
      </c>
      <c r="K88" s="2554">
        <f>VLOOKUP(C88,'Trang bị t3'!B29:H44,7,0)</f>
        <v>16</v>
      </c>
      <c r="L88" s="2461"/>
      <c r="M88" s="2246"/>
      <c r="N88" s="2461"/>
      <c r="O88" s="2461"/>
      <c r="P88" s="2461"/>
      <c r="Q88" s="2461"/>
      <c r="R88" s="2555">
        <f t="shared" si="5"/>
        <v>48</v>
      </c>
      <c r="S88" s="2249">
        <f>VLOOKUP(C88,Mủ!C81:AJ96,33,0)</f>
        <v>35</v>
      </c>
      <c r="T88" s="2250"/>
      <c r="U88" s="2251">
        <f>VLOOKUP(C88,Mủ!C81:AJ87,34,0)</f>
        <v>21.591566617862373</v>
      </c>
      <c r="V88" s="2252">
        <f>VLOOKUP(C88,'Chấm công công nhân'!L86:AR96,33,0)</f>
        <v>16</v>
      </c>
      <c r="W88" s="2252">
        <f>VLOOKUP(C88,'Chấm công công nhân'!L86:AS149,34,0)</f>
        <v>4</v>
      </c>
      <c r="X88" s="2252">
        <f>VLOOKUP(C88,'Chấm công công nhân'!L86:AT115,35,0)</f>
        <v>0</v>
      </c>
      <c r="Y88" s="2252">
        <f>VLOOKUP(C88,'Chấm công công nhân'!L86:AU149,36,0)</f>
        <v>0</v>
      </c>
      <c r="Z88" s="2258"/>
      <c r="AA88" s="2252" t="str">
        <f>VLOOKUP(C88,'Kỷ thuật'!C84:M84,11,0)</f>
        <v>A</v>
      </c>
      <c r="AB88" s="2462"/>
      <c r="AC88" s="1856"/>
      <c r="AD88" s="1856"/>
      <c r="AE88" s="1856"/>
      <c r="AF88" s="3541"/>
      <c r="AG88" s="3539"/>
      <c r="AH88" s="3539"/>
      <c r="AI88" s="3541"/>
      <c r="AJ88" s="1856"/>
      <c r="AK88" s="1856"/>
      <c r="AL88" s="1856"/>
      <c r="AM88" s="1856"/>
      <c r="AN88" s="1856"/>
      <c r="AO88" s="1856"/>
      <c r="AP88" s="1856"/>
      <c r="AQ88" s="1856"/>
      <c r="AR88" s="1856"/>
      <c r="AS88" s="1856"/>
      <c r="AT88" s="1856"/>
      <c r="AU88" s="1856"/>
      <c r="AV88" s="1856"/>
      <c r="AW88" s="1856"/>
      <c r="AX88" s="1856"/>
      <c r="AY88" s="1856"/>
      <c r="AZ88" s="1856"/>
      <c r="BA88" s="1856"/>
    </row>
    <row r="89" spans="1:53" s="871" customFormat="1" ht="15.75" customHeight="1">
      <c r="A89" s="2272">
        <v>75</v>
      </c>
      <c r="B89" s="2237">
        <v>17</v>
      </c>
      <c r="C89" s="2460" t="s">
        <v>1138</v>
      </c>
      <c r="D89" s="2461"/>
      <c r="E89" s="2461"/>
      <c r="F89" s="2461"/>
      <c r="G89" s="2461"/>
      <c r="H89" s="2461"/>
      <c r="I89" s="2461"/>
      <c r="J89" s="2256"/>
      <c r="K89" s="2256"/>
      <c r="L89" s="3546"/>
      <c r="M89" s="2246"/>
      <c r="N89" s="2461"/>
      <c r="O89" s="2461"/>
      <c r="P89" s="2461"/>
      <c r="Q89" s="2461"/>
      <c r="R89" s="3550">
        <f>SUM(J89:M89)</f>
        <v>0</v>
      </c>
      <c r="S89" s="2257"/>
      <c r="T89" s="2258"/>
      <c r="U89" s="2251"/>
      <c r="V89" s="2252"/>
      <c r="W89" s="2258"/>
      <c r="X89" s="2258"/>
      <c r="Y89" s="2258"/>
      <c r="Z89" s="2258"/>
      <c r="AA89" s="2252"/>
      <c r="AB89" s="2462"/>
      <c r="AC89" s="1856"/>
      <c r="AD89" s="1856"/>
      <c r="AE89" s="1856"/>
      <c r="AF89" s="3541"/>
      <c r="AG89" s="3539"/>
      <c r="AH89" s="3539"/>
      <c r="AI89" s="3541"/>
      <c r="AJ89" s="1856"/>
      <c r="AK89" s="1856"/>
      <c r="AL89" s="1856"/>
      <c r="AM89" s="1856"/>
      <c r="AN89" s="1856"/>
      <c r="AO89" s="1856"/>
      <c r="AP89" s="1856"/>
      <c r="AQ89" s="1856"/>
      <c r="AR89" s="1856"/>
      <c r="AS89" s="1856"/>
      <c r="AT89" s="1856"/>
      <c r="AU89" s="1856"/>
      <c r="AV89" s="1856"/>
      <c r="AW89" s="1856"/>
      <c r="AX89" s="1856"/>
      <c r="AY89" s="1856"/>
      <c r="AZ89" s="1856"/>
      <c r="BA89" s="1856"/>
    </row>
    <row r="90" spans="1:53" s="815" customFormat="1" ht="15.75" customHeight="1">
      <c r="A90" s="765"/>
      <c r="B90" s="4291" t="s">
        <v>187</v>
      </c>
      <c r="C90" s="4293"/>
      <c r="D90" s="2266">
        <f>SUM(D13:D79)</f>
        <v>0</v>
      </c>
      <c r="E90" s="2292">
        <f t="shared" ref="E90:Z90" si="6">E12+E51+E72</f>
        <v>0</v>
      </c>
      <c r="F90" s="2292">
        <f t="shared" si="6"/>
        <v>0</v>
      </c>
      <c r="G90" s="2727">
        <f t="shared" si="6"/>
        <v>0</v>
      </c>
      <c r="H90" s="2727">
        <f t="shared" si="6"/>
        <v>0</v>
      </c>
      <c r="I90" s="2727">
        <f t="shared" si="6"/>
        <v>0</v>
      </c>
      <c r="J90" s="2727">
        <f t="shared" si="6"/>
        <v>2260</v>
      </c>
      <c r="K90" s="2727">
        <f t="shared" si="6"/>
        <v>1152</v>
      </c>
      <c r="L90" s="2727">
        <f t="shared" si="6"/>
        <v>120</v>
      </c>
      <c r="M90" s="2727">
        <f t="shared" si="6"/>
        <v>0</v>
      </c>
      <c r="N90" s="2727">
        <f t="shared" si="6"/>
        <v>0</v>
      </c>
      <c r="O90" s="2727">
        <f t="shared" si="6"/>
        <v>0</v>
      </c>
      <c r="P90" s="2727">
        <f t="shared" si="6"/>
        <v>0</v>
      </c>
      <c r="Q90" s="1984">
        <f t="shared" si="6"/>
        <v>0</v>
      </c>
      <c r="R90" s="2727">
        <f t="shared" si="6"/>
        <v>3532</v>
      </c>
      <c r="S90" s="2292">
        <f t="shared" si="6"/>
        <v>9937</v>
      </c>
      <c r="T90" s="2292">
        <f t="shared" si="6"/>
        <v>0</v>
      </c>
      <c r="U90" s="2292">
        <f t="shared" si="6"/>
        <v>5465.5649999999987</v>
      </c>
      <c r="V90" s="2292">
        <f t="shared" si="6"/>
        <v>954</v>
      </c>
      <c r="W90" s="2292">
        <f t="shared" si="6"/>
        <v>168</v>
      </c>
      <c r="X90" s="2292">
        <f t="shared" si="6"/>
        <v>19</v>
      </c>
      <c r="Y90" s="2292">
        <f t="shared" si="6"/>
        <v>1</v>
      </c>
      <c r="Z90" s="2292">
        <f t="shared" si="6"/>
        <v>0</v>
      </c>
      <c r="AA90" s="2267"/>
      <c r="AB90" s="2268"/>
      <c r="AC90" s="714"/>
      <c r="AD90" s="721"/>
      <c r="AE90" s="3352"/>
      <c r="AF90" s="3542"/>
      <c r="AG90" s="3540"/>
      <c r="AH90" s="3543"/>
      <c r="AI90" s="3540"/>
      <c r="AJ90" s="3352"/>
      <c r="AK90" s="3352"/>
      <c r="AL90" s="871"/>
      <c r="AM90" s="714"/>
      <c r="AN90" s="714"/>
      <c r="AO90" s="714"/>
      <c r="AP90" s="714"/>
      <c r="AQ90" s="714"/>
      <c r="AR90" s="714"/>
      <c r="AS90" s="714"/>
      <c r="AT90" s="714"/>
      <c r="AU90" s="714"/>
      <c r="AV90" s="714"/>
      <c r="AW90" s="714"/>
      <c r="AX90" s="714"/>
      <c r="AY90" s="714"/>
      <c r="AZ90" s="714"/>
      <c r="BA90" s="714"/>
    </row>
    <row r="91" spans="1:53" s="815" customFormat="1" ht="15.75" customHeight="1">
      <c r="A91" s="3863"/>
      <c r="B91" s="157"/>
      <c r="D91" s="825"/>
      <c r="E91" s="826"/>
      <c r="F91" s="826"/>
      <c r="G91" s="4325"/>
      <c r="H91" s="4325"/>
      <c r="I91" s="825"/>
      <c r="J91" s="826"/>
      <c r="K91" s="826"/>
      <c r="L91" s="826"/>
      <c r="M91" s="826"/>
      <c r="N91" s="826"/>
      <c r="O91" s="825"/>
      <c r="P91" s="825"/>
      <c r="Q91" s="825"/>
      <c r="R91" s="3863"/>
      <c r="S91" s="3863"/>
      <c r="T91" s="827"/>
      <c r="V91" s="2239"/>
      <c r="W91" s="2239"/>
      <c r="X91" s="2239"/>
      <c r="Y91" s="2239" t="s">
        <v>1811</v>
      </c>
      <c r="Z91" s="2239"/>
      <c r="AA91" s="2239"/>
      <c r="AB91" s="2239"/>
      <c r="AD91" s="3350"/>
      <c r="AE91" s="3353"/>
      <c r="AF91" s="3353"/>
      <c r="AG91" s="3353"/>
      <c r="AH91" s="3536"/>
      <c r="AI91" s="3537"/>
      <c r="AJ91" s="3537"/>
      <c r="AK91" s="3538"/>
    </row>
    <row r="92" spans="1:53" ht="15.75" customHeight="1">
      <c r="A92" s="3863"/>
      <c r="B92" s="157"/>
      <c r="C92" s="4318"/>
      <c r="D92" s="4318"/>
      <c r="E92" s="4318"/>
      <c r="F92" s="4318"/>
      <c r="G92" s="4318"/>
      <c r="H92" s="4318"/>
      <c r="I92" s="828"/>
      <c r="J92" s="828"/>
      <c r="K92" s="828"/>
      <c r="L92" s="828"/>
      <c r="M92" s="828"/>
      <c r="N92" s="828"/>
      <c r="O92" s="829"/>
      <c r="P92" s="829"/>
      <c r="Q92" s="829"/>
      <c r="R92" s="830"/>
      <c r="S92" s="3863"/>
      <c r="T92" s="827"/>
      <c r="U92" s="1870"/>
      <c r="V92" s="1870"/>
      <c r="W92" s="1870"/>
      <c r="X92" s="1870"/>
      <c r="Y92" s="3954" t="s">
        <v>1104</v>
      </c>
      <c r="Z92" s="3954"/>
      <c r="AA92" s="3954"/>
      <c r="AB92" s="3954"/>
      <c r="AC92" s="1332"/>
      <c r="AD92" s="3351"/>
      <c r="AE92" s="3354"/>
      <c r="AF92" s="3354"/>
      <c r="AG92" s="3354"/>
      <c r="AH92" s="3353"/>
      <c r="AI92" s="3353"/>
      <c r="AJ92" s="3353"/>
      <c r="AK92" s="3353"/>
      <c r="AL92" s="815"/>
      <c r="AM92" s="815"/>
      <c r="AN92" s="815"/>
      <c r="AO92" s="815"/>
      <c r="AP92" s="815"/>
      <c r="AQ92" s="815"/>
      <c r="AR92" s="815"/>
      <c r="AS92" s="815"/>
      <c r="AT92" s="815"/>
      <c r="AU92" s="815"/>
      <c r="AV92" s="815"/>
      <c r="AW92" s="815"/>
      <c r="AX92" s="815"/>
      <c r="AY92" s="815"/>
      <c r="AZ92" s="815"/>
      <c r="BA92" s="815"/>
    </row>
    <row r="93" spans="1:53" ht="15.75" customHeight="1">
      <c r="E93" s="832"/>
      <c r="F93" s="832"/>
      <c r="G93" s="791"/>
      <c r="H93" s="833"/>
      <c r="I93" s="834"/>
      <c r="J93" s="835"/>
      <c r="K93" s="835"/>
      <c r="L93" s="835"/>
      <c r="M93" s="835"/>
      <c r="N93" s="835"/>
      <c r="O93" s="986"/>
      <c r="R93" s="837"/>
      <c r="AD93" s="1034"/>
      <c r="AF93" s="1034" t="s">
        <v>1823</v>
      </c>
      <c r="AG93" s="1034" t="s">
        <v>1824</v>
      </c>
      <c r="AH93" s="1034" t="s">
        <v>1825</v>
      </c>
      <c r="AI93" s="1034" t="s">
        <v>1879</v>
      </c>
      <c r="AJ93" s="1034" t="s">
        <v>1878</v>
      </c>
      <c r="AK93" s="1034"/>
    </row>
    <row r="94" spans="1:53" ht="25.5" customHeight="1">
      <c r="A94" s="839"/>
      <c r="B94" s="1856"/>
      <c r="C94" s="3888">
        <f>J90+K90+L90</f>
        <v>3532</v>
      </c>
      <c r="E94" s="839"/>
      <c r="F94" s="839"/>
      <c r="H94" s="833"/>
      <c r="I94" s="834"/>
      <c r="J94" s="834"/>
      <c r="K94" s="834"/>
      <c r="L94" s="834"/>
      <c r="M94" s="834"/>
      <c r="N94" s="834"/>
      <c r="R94" s="840"/>
      <c r="AD94" s="1034"/>
      <c r="AE94" s="1034" t="s">
        <v>1374</v>
      </c>
      <c r="AF94" s="3544">
        <v>1140</v>
      </c>
      <c r="AG94" s="3544">
        <v>592</v>
      </c>
      <c r="AH94" s="3544">
        <v>24</v>
      </c>
      <c r="AI94" s="3544"/>
      <c r="AJ94" s="3355"/>
      <c r="AK94" s="3393"/>
    </row>
    <row r="95" spans="1:53" ht="15" customHeight="1">
      <c r="B95" s="3067"/>
      <c r="C95" s="908"/>
      <c r="E95" s="842"/>
      <c r="F95" s="832"/>
      <c r="I95" s="834"/>
      <c r="J95" s="834"/>
      <c r="K95" s="834"/>
      <c r="L95" s="834"/>
      <c r="M95" s="834"/>
      <c r="N95" s="834"/>
      <c r="S95" s="840"/>
      <c r="T95" s="844"/>
      <c r="AB95" s="3555">
        <f>V90+W90+X90+Y90</f>
        <v>1142</v>
      </c>
      <c r="AE95" s="3355" t="s">
        <v>1375</v>
      </c>
      <c r="AF95" s="833">
        <v>608</v>
      </c>
      <c r="AG95" s="833">
        <v>304</v>
      </c>
      <c r="AH95" s="833">
        <v>96</v>
      </c>
      <c r="AI95" s="833"/>
    </row>
    <row r="96" spans="1:53" s="708" customFormat="1">
      <c r="A96" s="3879"/>
      <c r="B96" s="156"/>
      <c r="C96" s="841"/>
      <c r="D96" s="831"/>
      <c r="E96" s="831"/>
      <c r="F96" s="831"/>
      <c r="G96" s="156"/>
      <c r="H96" s="833"/>
      <c r="I96" s="836"/>
      <c r="J96" s="845"/>
      <c r="K96" s="845"/>
      <c r="L96" s="845"/>
      <c r="M96" s="845"/>
      <c r="N96" s="845"/>
      <c r="O96" s="836"/>
      <c r="P96" s="836"/>
      <c r="Q96" s="836"/>
      <c r="R96" s="843"/>
      <c r="S96" s="843"/>
      <c r="T96" s="838"/>
      <c r="U96" s="1572"/>
      <c r="V96" s="838"/>
      <c r="W96" s="838"/>
      <c r="X96" s="838"/>
      <c r="Y96" s="838"/>
      <c r="Z96" s="838"/>
      <c r="AA96" s="838"/>
      <c r="AB96" s="697"/>
      <c r="AC96" s="697"/>
      <c r="AD96" s="899"/>
      <c r="AE96" s="697" t="s">
        <v>1376</v>
      </c>
      <c r="AF96" s="833">
        <v>512</v>
      </c>
      <c r="AG96" s="833">
        <v>256</v>
      </c>
      <c r="AH96" s="833"/>
      <c r="AI96" s="833"/>
      <c r="AJ96" s="697"/>
      <c r="AK96" s="697"/>
      <c r="AL96" s="697"/>
      <c r="AM96" s="697"/>
      <c r="AN96" s="697"/>
      <c r="AO96" s="697"/>
      <c r="AP96" s="697"/>
      <c r="AQ96" s="697"/>
      <c r="AR96" s="697"/>
      <c r="AS96" s="697"/>
      <c r="AT96" s="697"/>
      <c r="AU96" s="697"/>
      <c r="AV96" s="697"/>
      <c r="AW96" s="697"/>
      <c r="AX96" s="697"/>
      <c r="AY96" s="697"/>
      <c r="AZ96" s="697"/>
      <c r="BA96" s="697"/>
    </row>
    <row r="97" spans="1:53" ht="17.25">
      <c r="A97" s="2274"/>
      <c r="B97" s="1646"/>
      <c r="C97" s="4317"/>
      <c r="D97" s="4317"/>
      <c r="E97" s="4317"/>
      <c r="F97" s="4317"/>
      <c r="G97" s="4317"/>
      <c r="H97" s="4317"/>
      <c r="I97" s="846"/>
      <c r="J97" s="847"/>
      <c r="K97" s="847"/>
      <c r="L97" s="847"/>
      <c r="M97" s="847"/>
      <c r="N97" s="847"/>
      <c r="O97" s="948"/>
      <c r="P97" s="846"/>
      <c r="Q97" s="846"/>
      <c r="R97" s="848"/>
      <c r="S97" s="1648"/>
      <c r="T97" s="849"/>
      <c r="U97" s="4317"/>
      <c r="V97" s="4317"/>
      <c r="W97" s="4317"/>
      <c r="X97" s="4317"/>
      <c r="Y97" s="4317"/>
      <c r="Z97" s="4317"/>
      <c r="AA97" s="4317"/>
      <c r="AB97" s="4317"/>
      <c r="AC97" s="708"/>
      <c r="AD97" s="708"/>
      <c r="AE97" s="697" t="s">
        <v>21</v>
      </c>
      <c r="AF97" s="3548">
        <f>SUM(AF94:AF96)</f>
        <v>2260</v>
      </c>
      <c r="AG97" s="3548">
        <f t="shared" ref="AG97:AH97" si="7">SUM(AG94:AG96)</f>
        <v>1152</v>
      </c>
      <c r="AH97" s="3548">
        <f t="shared" si="7"/>
        <v>120</v>
      </c>
      <c r="AI97" s="3548">
        <v>1456</v>
      </c>
      <c r="AJ97" s="3887">
        <v>190.52</v>
      </c>
      <c r="AK97" s="708"/>
      <c r="AL97" s="708"/>
      <c r="AM97" s="708"/>
      <c r="AN97" s="708"/>
      <c r="AO97" s="708"/>
      <c r="AP97" s="708"/>
      <c r="AQ97" s="708"/>
      <c r="AR97" s="708"/>
      <c r="AS97" s="708"/>
      <c r="AT97" s="708"/>
      <c r="AU97" s="708"/>
      <c r="AV97" s="708"/>
      <c r="AW97" s="708"/>
      <c r="AX97" s="708"/>
      <c r="AY97" s="708"/>
      <c r="AZ97" s="708"/>
      <c r="BA97" s="708"/>
    </row>
    <row r="98" spans="1:53">
      <c r="J98" s="834"/>
      <c r="K98" s="834"/>
      <c r="L98" s="834"/>
      <c r="M98" s="834"/>
      <c r="N98" s="834"/>
      <c r="AE98" s="697" t="s">
        <v>612</v>
      </c>
      <c r="AF98" s="3549">
        <f>AF97+AG97+AH97+AI97+AJ97</f>
        <v>5178.5200000000004</v>
      </c>
    </row>
    <row r="99" spans="1:53">
      <c r="P99" s="845"/>
      <c r="Q99" s="845"/>
    </row>
    <row r="100" spans="1:53">
      <c r="D100" s="4313"/>
      <c r="E100" s="4313"/>
      <c r="F100" s="3875"/>
      <c r="V100" s="850"/>
    </row>
  </sheetData>
  <mergeCells count="18">
    <mergeCell ref="D100:E100"/>
    <mergeCell ref="D10:AA10"/>
    <mergeCell ref="U97:AB97"/>
    <mergeCell ref="C97:H97"/>
    <mergeCell ref="C92:H92"/>
    <mergeCell ref="B12:C12"/>
    <mergeCell ref="B51:C51"/>
    <mergeCell ref="B72:C72"/>
    <mergeCell ref="Y92:AB92"/>
    <mergeCell ref="G91:H91"/>
    <mergeCell ref="B90:C90"/>
    <mergeCell ref="B10:B11"/>
    <mergeCell ref="C10:C11"/>
    <mergeCell ref="A2:AB2"/>
    <mergeCell ref="A3:AB3"/>
    <mergeCell ref="A10:A11"/>
    <mergeCell ref="B8:AB8"/>
    <mergeCell ref="S4:T4"/>
  </mergeCells>
  <pageMargins left="0.82677165354330717" right="0.51181102362204722" top="0.74803149606299213" bottom="0.74803149606299213" header="0.31496062992125984" footer="0.31496062992125984"/>
  <pageSetup paperSize="9" scale="76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opLeftCell="A31" workbookViewId="0">
      <selection activeCell="D29" sqref="D29"/>
    </sheetView>
  </sheetViews>
  <sheetFormatPr defaultColWidth="7.75" defaultRowHeight="15.75"/>
  <cols>
    <col min="1" max="1" width="3.875" style="1846" customWidth="1"/>
    <col min="2" max="2" width="34.625" style="1847" customWidth="1"/>
    <col min="3" max="3" width="7.125" style="1848" customWidth="1"/>
    <col min="4" max="4" width="5.875" style="2353" customWidth="1"/>
    <col min="5" max="5" width="4.5" style="3532" customWidth="1"/>
    <col min="6" max="6" width="6.125" style="1851" customWidth="1"/>
    <col min="7" max="7" width="4.5" style="3533" customWidth="1"/>
    <col min="8" max="8" width="6.125" style="1851" customWidth="1"/>
    <col min="9" max="9" width="4.75" style="3534" customWidth="1"/>
    <col min="10" max="10" width="6" style="2355" customWidth="1"/>
    <col min="11" max="11" width="4.75" style="1849" customWidth="1"/>
    <col min="12" max="12" width="6.125" style="2357" customWidth="1"/>
    <col min="13" max="13" width="8.375" style="3535" customWidth="1"/>
    <col min="14" max="14" width="4.5" style="1851" customWidth="1"/>
    <col min="15" max="15" width="11.75" style="1841" customWidth="1"/>
    <col min="16" max="16" width="11.375" style="1854" customWidth="1"/>
    <col min="17" max="18" width="7.75" style="117"/>
    <col min="19" max="19" width="10.5" style="117" customWidth="1"/>
    <col min="20" max="20" width="10.25" style="117" customWidth="1"/>
    <col min="21" max="21" width="11" style="117" customWidth="1"/>
    <col min="22" max="16384" width="7.75" style="117"/>
  </cols>
  <sheetData>
    <row r="1" spans="1:21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1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1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1">
      <c r="A4" s="4342" t="s">
        <v>809</v>
      </c>
      <c r="B4" s="4342"/>
      <c r="C4" s="4342"/>
      <c r="D4" s="4342"/>
      <c r="E4" s="4342"/>
      <c r="F4" s="4342"/>
      <c r="G4" s="4340"/>
      <c r="H4" s="4340"/>
      <c r="I4" s="4340"/>
      <c r="J4" s="4340"/>
      <c r="K4" s="4340"/>
      <c r="L4" s="4340"/>
      <c r="M4" s="4340"/>
      <c r="N4" s="4340"/>
      <c r="O4" s="4340"/>
      <c r="P4" s="4340"/>
    </row>
    <row r="5" spans="1:21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</row>
    <row r="6" spans="1:21" ht="18.75" customHeight="1">
      <c r="A6" s="1749"/>
      <c r="B6" s="1749"/>
      <c r="C6" s="1749"/>
      <c r="D6" s="1751"/>
      <c r="E6" s="3462"/>
      <c r="F6" s="1747"/>
      <c r="G6" s="1747"/>
      <c r="H6" s="1747"/>
      <c r="I6" s="2316"/>
      <c r="J6" s="2316"/>
      <c r="K6" s="1749"/>
      <c r="L6" s="1751"/>
      <c r="M6" s="1753"/>
      <c r="N6" s="1749"/>
      <c r="O6" s="1753"/>
      <c r="P6" s="1749"/>
    </row>
    <row r="7" spans="1:21" ht="25.5" customHeight="1">
      <c r="A7" s="4328" t="s">
        <v>1817</v>
      </c>
      <c r="B7" s="4328"/>
      <c r="C7" s="4328"/>
      <c r="D7" s="4328"/>
      <c r="E7" s="4328"/>
      <c r="F7" s="4328"/>
      <c r="G7" s="4328"/>
      <c r="H7" s="4328"/>
      <c r="I7" s="4328"/>
      <c r="J7" s="4328"/>
      <c r="K7" s="4328"/>
      <c r="L7" s="4328"/>
      <c r="M7" s="4328"/>
      <c r="N7" s="4328"/>
      <c r="O7" s="4328"/>
      <c r="P7" s="4328"/>
    </row>
    <row r="8" spans="1:21" ht="19.5" customHeight="1">
      <c r="A8" s="4329" t="s">
        <v>1818</v>
      </c>
      <c r="B8" s="4329"/>
      <c r="C8" s="4329"/>
      <c r="D8" s="4329"/>
      <c r="E8" s="4329"/>
      <c r="F8" s="4329"/>
      <c r="G8" s="4329"/>
      <c r="H8" s="4329"/>
      <c r="I8" s="4329"/>
      <c r="J8" s="4329"/>
      <c r="K8" s="4329"/>
      <c r="L8" s="4329"/>
      <c r="M8" s="4329"/>
      <c r="N8" s="4329"/>
      <c r="O8" s="4329"/>
      <c r="P8" s="4329"/>
    </row>
    <row r="9" spans="1:21" ht="28.5" customHeight="1">
      <c r="A9" s="4330" t="s">
        <v>19</v>
      </c>
      <c r="B9" s="4330" t="s">
        <v>1206</v>
      </c>
      <c r="C9" s="4330" t="s">
        <v>623</v>
      </c>
      <c r="D9" s="4332" t="s">
        <v>361</v>
      </c>
      <c r="E9" s="4330" t="s">
        <v>811</v>
      </c>
      <c r="F9" s="4330"/>
      <c r="G9" s="4330"/>
      <c r="H9" s="4330"/>
      <c r="I9" s="4330"/>
      <c r="J9" s="4330"/>
      <c r="K9" s="4330"/>
      <c r="L9" s="4330"/>
      <c r="M9" s="4330"/>
      <c r="N9" s="4330" t="s">
        <v>812</v>
      </c>
      <c r="O9" s="4334" t="s">
        <v>47</v>
      </c>
      <c r="P9" s="4336" t="s">
        <v>813</v>
      </c>
    </row>
    <row r="10" spans="1:21" ht="25.5" customHeight="1">
      <c r="A10" s="4331"/>
      <c r="B10" s="4331"/>
      <c r="C10" s="4331"/>
      <c r="D10" s="4333"/>
      <c r="E10" s="3463" t="s">
        <v>814</v>
      </c>
      <c r="F10" s="3463" t="s">
        <v>815</v>
      </c>
      <c r="G10" s="3463" t="s">
        <v>814</v>
      </c>
      <c r="H10" s="3463" t="s">
        <v>815</v>
      </c>
      <c r="I10" s="3463" t="s">
        <v>814</v>
      </c>
      <c r="J10" s="3463" t="s">
        <v>815</v>
      </c>
      <c r="K10" s="3463" t="s">
        <v>814</v>
      </c>
      <c r="L10" s="3464" t="s">
        <v>815</v>
      </c>
      <c r="M10" s="3465" t="s">
        <v>21</v>
      </c>
      <c r="N10" s="4331"/>
      <c r="O10" s="4335"/>
      <c r="P10" s="4337"/>
    </row>
    <row r="11" spans="1:21" ht="37.5" customHeight="1">
      <c r="A11" s="3466" t="s">
        <v>52</v>
      </c>
      <c r="B11" s="3467" t="s">
        <v>816</v>
      </c>
      <c r="C11" s="3468"/>
      <c r="D11" s="3469"/>
      <c r="E11" s="3470"/>
      <c r="F11" s="3470"/>
      <c r="G11" s="3470"/>
      <c r="H11" s="3470"/>
      <c r="I11" s="3470"/>
      <c r="J11" s="3470"/>
      <c r="K11" s="3470"/>
      <c r="L11" s="3471"/>
      <c r="M11" s="3472"/>
      <c r="N11" s="3470"/>
      <c r="O11" s="3473">
        <f>O22+O12+O15</f>
        <v>3532</v>
      </c>
      <c r="P11" s="3474"/>
    </row>
    <row r="12" spans="1:21" ht="33" customHeight="1">
      <c r="A12" s="3506" t="s">
        <v>147</v>
      </c>
      <c r="B12" s="3507" t="s">
        <v>817</v>
      </c>
      <c r="C12" s="3508"/>
      <c r="D12" s="3509"/>
      <c r="E12" s="3511"/>
      <c r="F12" s="3511"/>
      <c r="G12" s="3511"/>
      <c r="H12" s="3511"/>
      <c r="I12" s="3511"/>
      <c r="J12" s="3511"/>
      <c r="K12" s="3511"/>
      <c r="L12" s="3704"/>
      <c r="M12" s="3510"/>
      <c r="N12" s="3511"/>
      <c r="O12" s="3512"/>
      <c r="P12" s="3513"/>
    </row>
    <row r="13" spans="1:21" ht="33" customHeight="1">
      <c r="A13" s="3705">
        <v>1</v>
      </c>
      <c r="B13" s="3706" t="s">
        <v>49</v>
      </c>
      <c r="C13" s="3707" t="s">
        <v>818</v>
      </c>
      <c r="D13" s="3509"/>
      <c r="E13" s="3511"/>
      <c r="F13" s="3511"/>
      <c r="G13" s="3511"/>
      <c r="H13" s="3511"/>
      <c r="I13" s="3511"/>
      <c r="J13" s="3511"/>
      <c r="K13" s="3511"/>
      <c r="L13" s="3704"/>
      <c r="M13" s="3510"/>
      <c r="N13" s="3511"/>
      <c r="O13" s="3512"/>
      <c r="P13" s="3513"/>
    </row>
    <row r="14" spans="1:21" ht="33" customHeight="1">
      <c r="A14" s="3705">
        <v>2</v>
      </c>
      <c r="B14" s="3706" t="s">
        <v>819</v>
      </c>
      <c r="C14" s="3707" t="s">
        <v>818</v>
      </c>
      <c r="D14" s="3509"/>
      <c r="E14" s="3511"/>
      <c r="F14" s="3511"/>
      <c r="G14" s="3511"/>
      <c r="H14" s="3511"/>
      <c r="I14" s="3511"/>
      <c r="J14" s="3511"/>
      <c r="K14" s="3511"/>
      <c r="L14" s="3704"/>
      <c r="M14" s="3708"/>
      <c r="N14" s="3511"/>
      <c r="O14" s="3512"/>
      <c r="P14" s="3513"/>
    </row>
    <row r="15" spans="1:21" ht="36" customHeight="1">
      <c r="A15" s="3709" t="s">
        <v>1819</v>
      </c>
      <c r="B15" s="3710" t="s">
        <v>820</v>
      </c>
      <c r="C15" s="3711"/>
      <c r="D15" s="3712"/>
      <c r="E15" s="3713"/>
      <c r="F15" s="3713"/>
      <c r="G15" s="3713"/>
      <c r="H15" s="3713"/>
      <c r="I15" s="3713"/>
      <c r="J15" s="3713"/>
      <c r="K15" s="3713"/>
      <c r="L15" s="3714"/>
      <c r="M15" s="3715"/>
      <c r="N15" s="3713"/>
      <c r="O15" s="3716"/>
      <c r="P15" s="3717"/>
    </row>
    <row r="16" spans="1:21" s="3727" customFormat="1" ht="35.25" customHeight="1">
      <c r="A16" s="3718">
        <v>1</v>
      </c>
      <c r="B16" s="3719" t="s">
        <v>821</v>
      </c>
      <c r="C16" s="3720" t="s">
        <v>362</v>
      </c>
      <c r="D16" s="3721"/>
      <c r="E16" s="4338"/>
      <c r="F16" s="4338"/>
      <c r="G16" s="4338"/>
      <c r="H16" s="4338"/>
      <c r="I16" s="4338"/>
      <c r="J16" s="4338"/>
      <c r="K16" s="4338"/>
      <c r="L16" s="4338"/>
      <c r="M16" s="3722"/>
      <c r="N16" s="3718"/>
      <c r="O16" s="3723"/>
      <c r="P16" s="3724"/>
      <c r="Q16" s="3725"/>
      <c r="R16" s="3726"/>
      <c r="S16" s="3726"/>
      <c r="T16" s="3726"/>
      <c r="U16" s="3726"/>
    </row>
    <row r="17" spans="1:21" s="3727" customFormat="1" ht="33" customHeight="1">
      <c r="A17" s="3718">
        <v>2</v>
      </c>
      <c r="B17" s="3719" t="s">
        <v>1294</v>
      </c>
      <c r="C17" s="3718" t="s">
        <v>362</v>
      </c>
      <c r="D17" s="3721"/>
      <c r="E17" s="4338"/>
      <c r="F17" s="4338"/>
      <c r="G17" s="4338"/>
      <c r="H17" s="4338"/>
      <c r="I17" s="4338"/>
      <c r="J17" s="4338"/>
      <c r="K17" s="4338"/>
      <c r="L17" s="4338"/>
      <c r="M17" s="3722"/>
      <c r="N17" s="3718"/>
      <c r="O17" s="3723"/>
      <c r="P17" s="3724"/>
      <c r="Q17" s="3725"/>
      <c r="R17" s="3726"/>
      <c r="S17" s="3726"/>
      <c r="T17" s="3726"/>
      <c r="U17" s="3726"/>
    </row>
    <row r="18" spans="1:21" s="3727" customFormat="1" ht="33" customHeight="1">
      <c r="A18" s="3718">
        <v>3</v>
      </c>
      <c r="B18" s="3719" t="s">
        <v>1038</v>
      </c>
      <c r="C18" s="3720" t="s">
        <v>362</v>
      </c>
      <c r="D18" s="3721"/>
      <c r="E18" s="4338"/>
      <c r="F18" s="4338"/>
      <c r="G18" s="4338"/>
      <c r="H18" s="4338"/>
      <c r="I18" s="4338"/>
      <c r="J18" s="4338"/>
      <c r="K18" s="4338"/>
      <c r="L18" s="4338"/>
      <c r="M18" s="3722"/>
      <c r="N18" s="3718"/>
      <c r="O18" s="3723"/>
      <c r="P18" s="3724"/>
      <c r="Q18" s="3725"/>
      <c r="R18" s="3726"/>
      <c r="S18" s="3726"/>
      <c r="T18" s="3726"/>
      <c r="U18" s="3726"/>
    </row>
    <row r="19" spans="1:21" s="3727" customFormat="1" ht="33" customHeight="1">
      <c r="A19" s="3718">
        <v>4</v>
      </c>
      <c r="B19" s="3719" t="s">
        <v>1296</v>
      </c>
      <c r="C19" s="3718" t="s">
        <v>362</v>
      </c>
      <c r="D19" s="3721"/>
      <c r="E19" s="4338"/>
      <c r="F19" s="4338"/>
      <c r="G19" s="4338"/>
      <c r="H19" s="4338"/>
      <c r="I19" s="4338"/>
      <c r="J19" s="4338"/>
      <c r="K19" s="4338"/>
      <c r="L19" s="4338"/>
      <c r="M19" s="3722"/>
      <c r="N19" s="3718"/>
      <c r="O19" s="3723"/>
      <c r="P19" s="3724"/>
      <c r="Q19" s="3725"/>
      <c r="R19" s="3726"/>
      <c r="S19" s="3726"/>
      <c r="T19" s="3726"/>
      <c r="U19" s="3726"/>
    </row>
    <row r="20" spans="1:21" s="3736" customFormat="1" ht="37.5" customHeight="1">
      <c r="A20" s="3728">
        <v>5</v>
      </c>
      <c r="B20" s="3729" t="s">
        <v>1285</v>
      </c>
      <c r="C20" s="3728" t="s">
        <v>362</v>
      </c>
      <c r="D20" s="3730"/>
      <c r="E20" s="4339"/>
      <c r="F20" s="4339"/>
      <c r="G20" s="4339"/>
      <c r="H20" s="4339"/>
      <c r="I20" s="4339"/>
      <c r="J20" s="4339"/>
      <c r="K20" s="4339"/>
      <c r="L20" s="4339"/>
      <c r="M20" s="3731"/>
      <c r="N20" s="3728"/>
      <c r="O20" s="3732"/>
      <c r="P20" s="3733"/>
      <c r="Q20" s="3734"/>
      <c r="R20" s="3735"/>
      <c r="S20" s="3735"/>
      <c r="T20" s="3735"/>
      <c r="U20" s="3735"/>
    </row>
    <row r="21" spans="1:21" s="3745" customFormat="1" ht="37.5" customHeight="1">
      <c r="A21" s="3737">
        <v>6</v>
      </c>
      <c r="B21" s="3738" t="s">
        <v>1352</v>
      </c>
      <c r="C21" s="3737" t="s">
        <v>362</v>
      </c>
      <c r="D21" s="3739"/>
      <c r="E21" s="4344"/>
      <c r="F21" s="4345"/>
      <c r="G21" s="4345"/>
      <c r="H21" s="4345"/>
      <c r="I21" s="4345"/>
      <c r="J21" s="4345"/>
      <c r="K21" s="4345"/>
      <c r="L21" s="4346"/>
      <c r="M21" s="3740"/>
      <c r="N21" s="3737"/>
      <c r="O21" s="3741"/>
      <c r="P21" s="3742"/>
      <c r="Q21" s="3743"/>
      <c r="R21" s="3744"/>
      <c r="S21" s="3744"/>
      <c r="T21" s="3744"/>
      <c r="U21" s="3744"/>
    </row>
    <row r="22" spans="1:21" s="3501" customFormat="1" ht="37.5" customHeight="1">
      <c r="A22" s="3506" t="s">
        <v>149</v>
      </c>
      <c r="B22" s="3746" t="s">
        <v>1687</v>
      </c>
      <c r="C22" s="3495"/>
      <c r="D22" s="3497"/>
      <c r="E22" s="3495"/>
      <c r="F22" s="3495"/>
      <c r="G22" s="3495"/>
      <c r="H22" s="3495"/>
      <c r="I22" s="3495"/>
      <c r="J22" s="3495"/>
      <c r="K22" s="3495"/>
      <c r="L22" s="3495"/>
      <c r="M22" s="3747"/>
      <c r="N22" s="3495"/>
      <c r="O22" s="3748">
        <f>O23+O40+O48</f>
        <v>3532</v>
      </c>
      <c r="P22" s="3500"/>
    </row>
    <row r="23" spans="1:21" s="3749" customFormat="1" ht="33" customHeight="1">
      <c r="A23" s="3475"/>
      <c r="B23" s="3476" t="s">
        <v>321</v>
      </c>
      <c r="C23" s="3477"/>
      <c r="D23" s="3478"/>
      <c r="E23" s="3477"/>
      <c r="F23" s="3477"/>
      <c r="G23" s="3477"/>
      <c r="H23" s="3477"/>
      <c r="I23" s="3477"/>
      <c r="J23" s="3477"/>
      <c r="K23" s="3477"/>
      <c r="L23" s="3477"/>
      <c r="M23" s="3479"/>
      <c r="N23" s="3477"/>
      <c r="O23" s="3480">
        <f>O24+O28+O34+O37+O31</f>
        <v>1756</v>
      </c>
      <c r="P23" s="3481"/>
    </row>
    <row r="24" spans="1:21" s="3750" customFormat="1" ht="33" customHeight="1">
      <c r="A24" s="3475">
        <v>1</v>
      </c>
      <c r="B24" s="3476" t="s">
        <v>1734</v>
      </c>
      <c r="C24" s="3477"/>
      <c r="D24" s="3478"/>
      <c r="E24" s="3477"/>
      <c r="F24" s="3477"/>
      <c r="G24" s="3477"/>
      <c r="H24" s="3477"/>
      <c r="I24" s="3477"/>
      <c r="J24" s="3477"/>
      <c r="K24" s="3477"/>
      <c r="L24" s="3477"/>
      <c r="M24" s="3479"/>
      <c r="N24" s="3477"/>
      <c r="O24" s="3480">
        <f>SUM(O25:O27)</f>
        <v>72</v>
      </c>
      <c r="P24" s="3481"/>
    </row>
    <row r="25" spans="1:21" s="3749" customFormat="1" ht="35.25" customHeight="1">
      <c r="A25" s="3495" t="s">
        <v>837</v>
      </c>
      <c r="B25" s="3496" t="s">
        <v>1820</v>
      </c>
      <c r="C25" s="3495" t="s">
        <v>957</v>
      </c>
      <c r="D25" s="3497">
        <f>25000/200000</f>
        <v>0.125</v>
      </c>
      <c r="E25" s="3705"/>
      <c r="F25" s="3751"/>
      <c r="G25" s="3705"/>
      <c r="H25" s="3751"/>
      <c r="I25" s="3495"/>
      <c r="J25" s="3495"/>
      <c r="K25" s="3495"/>
      <c r="L25" s="3495"/>
      <c r="M25" s="3498">
        <v>4</v>
      </c>
      <c r="N25" s="3495">
        <v>1</v>
      </c>
      <c r="O25" s="3499">
        <f>ROUND((M25/D25)*N25,9)</f>
        <v>32</v>
      </c>
      <c r="P25" s="3500"/>
    </row>
    <row r="26" spans="1:21" s="3482" customFormat="1" ht="36" customHeight="1">
      <c r="A26" s="3495" t="s">
        <v>838</v>
      </c>
      <c r="B26" s="3496" t="s">
        <v>1736</v>
      </c>
      <c r="C26" s="3495" t="s">
        <v>957</v>
      </c>
      <c r="D26" s="3497">
        <f>1/6</f>
        <v>0.16666666666666666</v>
      </c>
      <c r="E26" s="3705"/>
      <c r="F26" s="3751"/>
      <c r="G26" s="3705"/>
      <c r="H26" s="3751"/>
      <c r="I26" s="3495"/>
      <c r="J26" s="3495"/>
      <c r="K26" s="3495"/>
      <c r="L26" s="3495"/>
      <c r="M26" s="3498">
        <v>4</v>
      </c>
      <c r="N26" s="3495">
        <v>1</v>
      </c>
      <c r="O26" s="3499">
        <f>ROUND((M26/D26)*N26,9)</f>
        <v>24</v>
      </c>
      <c r="P26" s="3500"/>
    </row>
    <row r="27" spans="1:21" s="3482" customFormat="1" ht="36" customHeight="1">
      <c r="A27" s="3477" t="s">
        <v>1044</v>
      </c>
      <c r="B27" s="3483" t="s">
        <v>1737</v>
      </c>
      <c r="C27" s="3477" t="s">
        <v>957</v>
      </c>
      <c r="D27" s="3478">
        <f>1/4</f>
        <v>0.25</v>
      </c>
      <c r="E27" s="3484"/>
      <c r="F27" s="3485"/>
      <c r="G27" s="3484"/>
      <c r="H27" s="3485"/>
      <c r="I27" s="3477"/>
      <c r="J27" s="3477"/>
      <c r="K27" s="3477"/>
      <c r="L27" s="3477"/>
      <c r="M27" s="3486">
        <v>4</v>
      </c>
      <c r="N27" s="3477">
        <v>1</v>
      </c>
      <c r="O27" s="3489">
        <f>ROUND((M27/D27)*N27,9)</f>
        <v>16</v>
      </c>
      <c r="P27" s="3481"/>
      <c r="R27" s="3752"/>
    </row>
    <row r="28" spans="1:21" s="3488" customFormat="1" ht="35.25" customHeight="1">
      <c r="A28" s="3475">
        <v>2</v>
      </c>
      <c r="B28" s="3476" t="s">
        <v>1735</v>
      </c>
      <c r="C28" s="3477"/>
      <c r="D28" s="3478"/>
      <c r="E28" s="3477"/>
      <c r="F28" s="3477"/>
      <c r="G28" s="3477"/>
      <c r="H28" s="3477"/>
      <c r="I28" s="3477"/>
      <c r="J28" s="3477"/>
      <c r="K28" s="3477"/>
      <c r="L28" s="3477"/>
      <c r="M28" s="3487"/>
      <c r="N28" s="3477"/>
      <c r="O28" s="3480">
        <f>SUM(O29:O30)</f>
        <v>220</v>
      </c>
      <c r="P28" s="3481"/>
      <c r="R28" s="3753"/>
    </row>
    <row r="29" spans="1:21" s="3482" customFormat="1" ht="35.25" customHeight="1">
      <c r="A29" s="3477" t="s">
        <v>967</v>
      </c>
      <c r="B29" s="3483" t="s">
        <v>1820</v>
      </c>
      <c r="C29" s="3477" t="s">
        <v>957</v>
      </c>
      <c r="D29" s="3478">
        <f>1/6</f>
        <v>0.16666666666666666</v>
      </c>
      <c r="E29" s="3477"/>
      <c r="F29" s="3477"/>
      <c r="G29" s="3477"/>
      <c r="H29" s="3477"/>
      <c r="I29" s="3477"/>
      <c r="J29" s="3477"/>
      <c r="K29" s="3477"/>
      <c r="L29" s="3477"/>
      <c r="M29" s="3486">
        <v>22</v>
      </c>
      <c r="N29" s="3477">
        <v>1</v>
      </c>
      <c r="O29" s="3489">
        <f t="shared" ref="O29:O39" si="0">ROUND((M29/D29)*N29,9)</f>
        <v>132</v>
      </c>
      <c r="P29" s="3481"/>
    </row>
    <row r="30" spans="1:21" s="3482" customFormat="1" ht="35.25" customHeight="1">
      <c r="A30" s="3477" t="s">
        <v>1062</v>
      </c>
      <c r="B30" s="3483" t="s">
        <v>1737</v>
      </c>
      <c r="C30" s="3477" t="s">
        <v>957</v>
      </c>
      <c r="D30" s="3478">
        <f>1/4</f>
        <v>0.25</v>
      </c>
      <c r="E30" s="3477"/>
      <c r="F30" s="3477"/>
      <c r="G30" s="3477"/>
      <c r="H30" s="3477"/>
      <c r="I30" s="3477"/>
      <c r="J30" s="3477"/>
      <c r="K30" s="3477"/>
      <c r="L30" s="3477"/>
      <c r="M30" s="3486">
        <v>22</v>
      </c>
      <c r="N30" s="3477">
        <v>1</v>
      </c>
      <c r="O30" s="3489">
        <f t="shared" si="0"/>
        <v>88</v>
      </c>
      <c r="P30" s="3481"/>
    </row>
    <row r="31" spans="1:21" s="3749" customFormat="1" ht="33" customHeight="1">
      <c r="A31" s="3475">
        <v>3</v>
      </c>
      <c r="B31" s="3476" t="s">
        <v>824</v>
      </c>
      <c r="C31" s="3477"/>
      <c r="D31" s="3478"/>
      <c r="E31" s="3477"/>
      <c r="F31" s="3477"/>
      <c r="G31" s="3477"/>
      <c r="H31" s="3477"/>
      <c r="I31" s="3477"/>
      <c r="J31" s="3477"/>
      <c r="K31" s="3477"/>
      <c r="L31" s="3477"/>
      <c r="M31" s="3486"/>
      <c r="N31" s="3477"/>
      <c r="O31" s="3480">
        <f>SUM(O32:O33)</f>
        <v>144</v>
      </c>
      <c r="P31" s="3481"/>
      <c r="R31" s="3482"/>
      <c r="S31" s="3482"/>
      <c r="T31" s="3482"/>
      <c r="U31" s="3482"/>
    </row>
    <row r="32" spans="1:21" s="3749" customFormat="1" ht="33" customHeight="1">
      <c r="A32" s="3705" t="s">
        <v>889</v>
      </c>
      <c r="B32" s="3496" t="s">
        <v>1820</v>
      </c>
      <c r="C32" s="3495" t="s">
        <v>957</v>
      </c>
      <c r="D32" s="3497">
        <f>25000/200000</f>
        <v>0.125</v>
      </c>
      <c r="E32" s="3495"/>
      <c r="F32" s="3495"/>
      <c r="G32" s="3495"/>
      <c r="H32" s="3495"/>
      <c r="I32" s="3495"/>
      <c r="J32" s="3495"/>
      <c r="K32" s="3495"/>
      <c r="L32" s="3495"/>
      <c r="M32" s="3498">
        <v>12</v>
      </c>
      <c r="N32" s="3495">
        <v>1</v>
      </c>
      <c r="O32" s="3499">
        <f t="shared" ref="O32:O33" si="1">ROUND((M32/D32)*N32,9)</f>
        <v>96</v>
      </c>
      <c r="P32" s="3500"/>
    </row>
    <row r="33" spans="1:21" s="3482" customFormat="1" ht="33" customHeight="1">
      <c r="A33" s="3495" t="s">
        <v>968</v>
      </c>
      <c r="B33" s="3496" t="s">
        <v>1737</v>
      </c>
      <c r="C33" s="3495" t="s">
        <v>957</v>
      </c>
      <c r="D33" s="3497">
        <f>1/4</f>
        <v>0.25</v>
      </c>
      <c r="E33" s="3495"/>
      <c r="F33" s="3495"/>
      <c r="G33" s="3495"/>
      <c r="H33" s="3495"/>
      <c r="I33" s="3495"/>
      <c r="J33" s="3495"/>
      <c r="K33" s="3495"/>
      <c r="L33" s="3495"/>
      <c r="M33" s="3754">
        <v>12</v>
      </c>
      <c r="N33" s="3495">
        <v>1</v>
      </c>
      <c r="O33" s="3499">
        <f t="shared" si="1"/>
        <v>48</v>
      </c>
      <c r="P33" s="3500"/>
      <c r="R33" s="3749"/>
      <c r="S33" s="3749"/>
      <c r="T33" s="3749"/>
      <c r="U33" s="3749"/>
    </row>
    <row r="34" spans="1:21" s="3749" customFormat="1" ht="33" customHeight="1">
      <c r="A34" s="3475">
        <v>4</v>
      </c>
      <c r="B34" s="3476" t="s">
        <v>928</v>
      </c>
      <c r="C34" s="3477"/>
      <c r="D34" s="3478"/>
      <c r="E34" s="3477"/>
      <c r="F34" s="3477"/>
      <c r="G34" s="3477"/>
      <c r="H34" s="3477"/>
      <c r="I34" s="3477"/>
      <c r="J34" s="3477"/>
      <c r="K34" s="3477"/>
      <c r="L34" s="3477"/>
      <c r="M34" s="3486"/>
      <c r="N34" s="3477"/>
      <c r="O34" s="3480">
        <f>SUM(O35:O36)</f>
        <v>216</v>
      </c>
      <c r="P34" s="3481"/>
      <c r="S34" s="3755"/>
      <c r="T34" s="3755"/>
      <c r="U34" s="3755"/>
    </row>
    <row r="35" spans="1:21" s="3750" customFormat="1" ht="33" customHeight="1">
      <c r="A35" s="3484" t="s">
        <v>929</v>
      </c>
      <c r="B35" s="3483" t="s">
        <v>1820</v>
      </c>
      <c r="C35" s="3477" t="s">
        <v>957</v>
      </c>
      <c r="D35" s="3478">
        <f>25000/200000</f>
        <v>0.125</v>
      </c>
      <c r="E35" s="3477"/>
      <c r="F35" s="3477"/>
      <c r="G35" s="3477"/>
      <c r="H35" s="3477"/>
      <c r="I35" s="3477"/>
      <c r="J35" s="3477"/>
      <c r="K35" s="3477"/>
      <c r="L35" s="3477"/>
      <c r="M35" s="3486">
        <v>18</v>
      </c>
      <c r="N35" s="3477">
        <v>1</v>
      </c>
      <c r="O35" s="3489">
        <f t="shared" si="0"/>
        <v>144</v>
      </c>
      <c r="P35" s="3481"/>
      <c r="S35" s="3756"/>
      <c r="T35" s="3756"/>
      <c r="U35" s="3756"/>
    </row>
    <row r="36" spans="1:21" s="3757" customFormat="1" ht="33" customHeight="1">
      <c r="A36" s="3491" t="s">
        <v>1094</v>
      </c>
      <c r="B36" s="3502" t="s">
        <v>1737</v>
      </c>
      <c r="C36" s="3491" t="s">
        <v>957</v>
      </c>
      <c r="D36" s="3492">
        <f>1/4</f>
        <v>0.25</v>
      </c>
      <c r="E36" s="3491"/>
      <c r="F36" s="3491"/>
      <c r="G36" s="3491"/>
      <c r="H36" s="3491"/>
      <c r="I36" s="3491"/>
      <c r="J36" s="3491"/>
      <c r="K36" s="3491"/>
      <c r="L36" s="3491"/>
      <c r="M36" s="3493">
        <v>18</v>
      </c>
      <c r="N36" s="3491">
        <v>1</v>
      </c>
      <c r="O36" s="3503">
        <f t="shared" si="0"/>
        <v>72</v>
      </c>
      <c r="P36" s="3494"/>
      <c r="S36" s="3758"/>
      <c r="T36" s="3758"/>
      <c r="U36" s="3758"/>
    </row>
    <row r="37" spans="1:21" s="3749" customFormat="1" ht="36" customHeight="1">
      <c r="A37" s="3506">
        <v>5</v>
      </c>
      <c r="B37" s="3746" t="s">
        <v>1740</v>
      </c>
      <c r="C37" s="3495"/>
      <c r="D37" s="3497"/>
      <c r="E37" s="3495"/>
      <c r="F37" s="3495"/>
      <c r="G37" s="3495"/>
      <c r="H37" s="3495"/>
      <c r="I37" s="3495"/>
      <c r="J37" s="3495"/>
      <c r="K37" s="3495"/>
      <c r="L37" s="3495"/>
      <c r="M37" s="3759"/>
      <c r="N37" s="3495"/>
      <c r="O37" s="3748">
        <f>SUM(O38:O39)</f>
        <v>1104</v>
      </c>
      <c r="P37" s="3500"/>
    </row>
    <row r="38" spans="1:21" s="3750" customFormat="1" ht="36.75" customHeight="1">
      <c r="A38" s="3477" t="s">
        <v>1821</v>
      </c>
      <c r="B38" s="3483" t="s">
        <v>1820</v>
      </c>
      <c r="C38" s="3477" t="s">
        <v>957</v>
      </c>
      <c r="D38" s="3478">
        <f>25000/200000</f>
        <v>0.125</v>
      </c>
      <c r="E38" s="3477"/>
      <c r="F38" s="3477"/>
      <c r="G38" s="3477"/>
      <c r="H38" s="3477"/>
      <c r="I38" s="3477"/>
      <c r="J38" s="3477"/>
      <c r="K38" s="3477"/>
      <c r="L38" s="3477"/>
      <c r="M38" s="3486">
        <v>92</v>
      </c>
      <c r="N38" s="3477">
        <v>1</v>
      </c>
      <c r="O38" s="3489">
        <f t="shared" si="0"/>
        <v>736</v>
      </c>
      <c r="P38" s="3481"/>
    </row>
    <row r="39" spans="1:21" s="3482" customFormat="1" ht="34.5" customHeight="1">
      <c r="A39" s="3495" t="s">
        <v>1822</v>
      </c>
      <c r="B39" s="3496" t="s">
        <v>1737</v>
      </c>
      <c r="C39" s="3495" t="s">
        <v>957</v>
      </c>
      <c r="D39" s="3497">
        <f>1/4</f>
        <v>0.25</v>
      </c>
      <c r="E39" s="3495"/>
      <c r="F39" s="3495"/>
      <c r="G39" s="3495"/>
      <c r="H39" s="3495"/>
      <c r="I39" s="3495"/>
      <c r="J39" s="3495"/>
      <c r="K39" s="3495"/>
      <c r="L39" s="3495"/>
      <c r="M39" s="3498">
        <v>92</v>
      </c>
      <c r="N39" s="3495">
        <v>1</v>
      </c>
      <c r="O39" s="3499">
        <f t="shared" si="0"/>
        <v>368</v>
      </c>
      <c r="P39" s="3500"/>
    </row>
    <row r="40" spans="1:21" s="3482" customFormat="1" ht="36.75" customHeight="1">
      <c r="A40" s="3506"/>
      <c r="B40" s="3746" t="s">
        <v>322</v>
      </c>
      <c r="C40" s="3495"/>
      <c r="D40" s="3497"/>
      <c r="E40" s="3495"/>
      <c r="F40" s="3495"/>
      <c r="G40" s="3495"/>
      <c r="H40" s="3495"/>
      <c r="I40" s="3495"/>
      <c r="J40" s="3495"/>
      <c r="K40" s="3495"/>
      <c r="L40" s="3495"/>
      <c r="M40" s="3760"/>
      <c r="N40" s="3495"/>
      <c r="O40" s="3761">
        <f>O41+O45</f>
        <v>1008</v>
      </c>
      <c r="P40" s="3500"/>
    </row>
    <row r="41" spans="1:21" s="3482" customFormat="1" ht="36.75" customHeight="1">
      <c r="A41" s="3475">
        <v>1</v>
      </c>
      <c r="B41" s="3476" t="s">
        <v>1734</v>
      </c>
      <c r="C41" s="3477"/>
      <c r="D41" s="3478"/>
      <c r="E41" s="3477"/>
      <c r="F41" s="3477"/>
      <c r="G41" s="3477"/>
      <c r="H41" s="3477"/>
      <c r="I41" s="3477"/>
      <c r="J41" s="3477"/>
      <c r="K41" s="3477"/>
      <c r="L41" s="3477"/>
      <c r="M41" s="3487"/>
      <c r="N41" s="3477"/>
      <c r="O41" s="3480">
        <f>SUM(O42:O44)</f>
        <v>288</v>
      </c>
      <c r="P41" s="3481"/>
      <c r="S41" s="3762"/>
    </row>
    <row r="42" spans="1:21" s="3482" customFormat="1" ht="33" customHeight="1">
      <c r="A42" s="3477" t="s">
        <v>837</v>
      </c>
      <c r="B42" s="3483" t="s">
        <v>1820</v>
      </c>
      <c r="C42" s="3477" t="s">
        <v>957</v>
      </c>
      <c r="D42" s="3478">
        <f>25000/200000</f>
        <v>0.125</v>
      </c>
      <c r="E42" s="3484"/>
      <c r="F42" s="3485"/>
      <c r="G42" s="3484"/>
      <c r="H42" s="3485"/>
      <c r="I42" s="3477"/>
      <c r="J42" s="3477"/>
      <c r="K42" s="3477"/>
      <c r="L42" s="3477"/>
      <c r="M42" s="3486">
        <v>16</v>
      </c>
      <c r="N42" s="3477">
        <v>1</v>
      </c>
      <c r="O42" s="3489">
        <f>ROUND((M42/D42)*N42,9)</f>
        <v>128</v>
      </c>
      <c r="P42" s="3481"/>
    </row>
    <row r="43" spans="1:21" s="3482" customFormat="1" ht="33" customHeight="1">
      <c r="A43" s="3477" t="s">
        <v>838</v>
      </c>
      <c r="B43" s="3483" t="s">
        <v>1736</v>
      </c>
      <c r="C43" s="3477" t="s">
        <v>957</v>
      </c>
      <c r="D43" s="3478">
        <f>1/6</f>
        <v>0.16666666666666666</v>
      </c>
      <c r="E43" s="3484"/>
      <c r="F43" s="3485"/>
      <c r="G43" s="3484"/>
      <c r="H43" s="3485"/>
      <c r="I43" s="3477"/>
      <c r="J43" s="3477"/>
      <c r="K43" s="3477"/>
      <c r="L43" s="3477"/>
      <c r="M43" s="3486">
        <v>16</v>
      </c>
      <c r="N43" s="3477">
        <v>1</v>
      </c>
      <c r="O43" s="3489">
        <f>ROUND((M43/D43)*N43,9)</f>
        <v>96</v>
      </c>
      <c r="P43" s="3481"/>
    </row>
    <row r="44" spans="1:21" s="3482" customFormat="1" ht="33" customHeight="1">
      <c r="A44" s="3477" t="s">
        <v>1044</v>
      </c>
      <c r="B44" s="3483" t="s">
        <v>1737</v>
      </c>
      <c r="C44" s="3477" t="s">
        <v>957</v>
      </c>
      <c r="D44" s="3478">
        <f>1/4</f>
        <v>0.25</v>
      </c>
      <c r="E44" s="3484"/>
      <c r="F44" s="3485"/>
      <c r="G44" s="3484"/>
      <c r="H44" s="3485"/>
      <c r="I44" s="3477"/>
      <c r="J44" s="3477"/>
      <c r="K44" s="3477"/>
      <c r="L44" s="3477"/>
      <c r="M44" s="3486">
        <v>16</v>
      </c>
      <c r="N44" s="3477">
        <v>1</v>
      </c>
      <c r="O44" s="3489">
        <f>ROUND((M44/D44)*N44,9)</f>
        <v>64</v>
      </c>
      <c r="P44" s="3481"/>
    </row>
    <row r="45" spans="1:21" s="3482" customFormat="1" ht="33" customHeight="1">
      <c r="A45" s="3475">
        <v>2</v>
      </c>
      <c r="B45" s="3476" t="s">
        <v>928</v>
      </c>
      <c r="C45" s="3477"/>
      <c r="D45" s="3478"/>
      <c r="E45" s="3477"/>
      <c r="F45" s="3477"/>
      <c r="G45" s="3477"/>
      <c r="H45" s="3477"/>
      <c r="I45" s="3477"/>
      <c r="J45" s="3477"/>
      <c r="K45" s="3477"/>
      <c r="L45" s="3477"/>
      <c r="M45" s="3487"/>
      <c r="N45" s="3477"/>
      <c r="O45" s="3480">
        <f>SUM(O46:O47)</f>
        <v>720</v>
      </c>
      <c r="P45" s="3481"/>
    </row>
    <row r="46" spans="1:21" s="3482" customFormat="1" ht="33" customHeight="1">
      <c r="A46" s="3763" t="s">
        <v>967</v>
      </c>
      <c r="B46" s="3483" t="s">
        <v>1820</v>
      </c>
      <c r="C46" s="3477" t="s">
        <v>957</v>
      </c>
      <c r="D46" s="3764">
        <f>25000/200000</f>
        <v>0.125</v>
      </c>
      <c r="E46" s="3765"/>
      <c r="F46" s="3765"/>
      <c r="G46" s="3765"/>
      <c r="H46" s="3765"/>
      <c r="I46" s="3765"/>
      <c r="J46" s="3765"/>
      <c r="K46" s="3765"/>
      <c r="L46" s="3765"/>
      <c r="M46" s="3766">
        <v>60</v>
      </c>
      <c r="N46" s="3765">
        <v>1</v>
      </c>
      <c r="O46" s="3767">
        <f t="shared" ref="O46:O47" si="2">ROUND((M46/D46)*N46,9)</f>
        <v>480</v>
      </c>
      <c r="P46" s="3768"/>
    </row>
    <row r="47" spans="1:21" s="3749" customFormat="1" ht="33" customHeight="1">
      <c r="A47" s="3477" t="s">
        <v>1062</v>
      </c>
      <c r="B47" s="3483" t="s">
        <v>1737</v>
      </c>
      <c r="C47" s="3477" t="s">
        <v>957</v>
      </c>
      <c r="D47" s="3478">
        <f>1/4</f>
        <v>0.25</v>
      </c>
      <c r="E47" s="3477"/>
      <c r="F47" s="3477"/>
      <c r="G47" s="3477"/>
      <c r="H47" s="3477"/>
      <c r="I47" s="3477"/>
      <c r="J47" s="3477"/>
      <c r="K47" s="3477"/>
      <c r="L47" s="3477"/>
      <c r="M47" s="3486">
        <f>60</f>
        <v>60</v>
      </c>
      <c r="N47" s="3477">
        <v>1</v>
      </c>
      <c r="O47" s="3489">
        <f t="shared" si="2"/>
        <v>240</v>
      </c>
      <c r="P47" s="3481"/>
    </row>
    <row r="48" spans="1:21" s="3482" customFormat="1" ht="33" customHeight="1">
      <c r="A48" s="3495"/>
      <c r="B48" s="3746" t="s">
        <v>371</v>
      </c>
      <c r="C48" s="3769"/>
      <c r="D48" s="3497"/>
      <c r="E48" s="3495"/>
      <c r="F48" s="3495"/>
      <c r="G48" s="3495"/>
      <c r="H48" s="3495"/>
      <c r="I48" s="3495"/>
      <c r="J48" s="3495"/>
      <c r="K48" s="3495"/>
      <c r="L48" s="3495"/>
      <c r="M48" s="3498"/>
      <c r="N48" s="3495"/>
      <c r="O48" s="3748">
        <f>O49</f>
        <v>768</v>
      </c>
      <c r="P48" s="3500"/>
    </row>
    <row r="49" spans="1:21" s="3482" customFormat="1" ht="33" customHeight="1">
      <c r="A49" s="3475">
        <v>1</v>
      </c>
      <c r="B49" s="3476" t="s">
        <v>928</v>
      </c>
      <c r="C49" s="3504"/>
      <c r="D49" s="3478"/>
      <c r="E49" s="3477"/>
      <c r="F49" s="3477"/>
      <c r="G49" s="3477"/>
      <c r="H49" s="3477"/>
      <c r="I49" s="3477"/>
      <c r="J49" s="3477"/>
      <c r="K49" s="3477"/>
      <c r="L49" s="3477"/>
      <c r="M49" s="3486"/>
      <c r="N49" s="3477"/>
      <c r="O49" s="3480">
        <f>SUM(O50:O51)</f>
        <v>768</v>
      </c>
      <c r="P49" s="3481"/>
    </row>
    <row r="50" spans="1:21" s="3749" customFormat="1" ht="33" customHeight="1">
      <c r="A50" s="3484" t="s">
        <v>837</v>
      </c>
      <c r="B50" s="3483" t="s">
        <v>1820</v>
      </c>
      <c r="C50" s="3477" t="s">
        <v>957</v>
      </c>
      <c r="D50" s="3478">
        <f>25000/200000</f>
        <v>0.125</v>
      </c>
      <c r="E50" s="3477"/>
      <c r="F50" s="3477"/>
      <c r="G50" s="3477"/>
      <c r="H50" s="3477"/>
      <c r="I50" s="3477"/>
      <c r="J50" s="3477"/>
      <c r="K50" s="3477"/>
      <c r="L50" s="3477"/>
      <c r="M50" s="3486">
        <v>64</v>
      </c>
      <c r="N50" s="3477">
        <v>1</v>
      </c>
      <c r="O50" s="3489">
        <f t="shared" ref="O50:O51" si="3">ROUND((M50/D50)*N50,9)</f>
        <v>512</v>
      </c>
      <c r="P50" s="3481"/>
    </row>
    <row r="51" spans="1:21" s="3757" customFormat="1" ht="33" customHeight="1">
      <c r="A51" s="3491" t="s">
        <v>838</v>
      </c>
      <c r="B51" s="3502" t="s">
        <v>1737</v>
      </c>
      <c r="C51" s="3491" t="s">
        <v>957</v>
      </c>
      <c r="D51" s="3492">
        <f>1/4</f>
        <v>0.25</v>
      </c>
      <c r="E51" s="3491"/>
      <c r="F51" s="3491"/>
      <c r="G51" s="3491"/>
      <c r="H51" s="3491"/>
      <c r="I51" s="3491"/>
      <c r="J51" s="3491"/>
      <c r="K51" s="3491"/>
      <c r="L51" s="3491"/>
      <c r="M51" s="3493">
        <v>64</v>
      </c>
      <c r="N51" s="3491">
        <v>1</v>
      </c>
      <c r="O51" s="3503">
        <f t="shared" si="3"/>
        <v>256</v>
      </c>
      <c r="P51" s="3494"/>
    </row>
    <row r="52" spans="1:21" ht="33" customHeight="1">
      <c r="A52" s="3506" t="s">
        <v>92</v>
      </c>
      <c r="B52" s="3507" t="s">
        <v>825</v>
      </c>
      <c r="C52" s="3508"/>
      <c r="D52" s="3509"/>
      <c r="E52" s="3495"/>
      <c r="F52" s="3495"/>
      <c r="G52" s="3495"/>
      <c r="H52" s="3495"/>
      <c r="I52" s="3495"/>
      <c r="J52" s="3495"/>
      <c r="K52" s="3495"/>
      <c r="L52" s="3495"/>
      <c r="M52" s="3510"/>
      <c r="N52" s="3511"/>
      <c r="O52" s="3512">
        <f>SUM(O53:O54)</f>
        <v>1456</v>
      </c>
      <c r="P52" s="3513"/>
      <c r="S52" s="117" t="s">
        <v>1823</v>
      </c>
      <c r="T52" s="117" t="s">
        <v>1824</v>
      </c>
      <c r="U52" s="117" t="s">
        <v>1825</v>
      </c>
    </row>
    <row r="53" spans="1:21" ht="33" customHeight="1">
      <c r="A53" s="3514">
        <v>1</v>
      </c>
      <c r="B53" s="3515" t="s">
        <v>826</v>
      </c>
      <c r="C53" s="3516" t="s">
        <v>362</v>
      </c>
      <c r="D53" s="3517"/>
      <c r="E53" s="4354" t="s">
        <v>1218</v>
      </c>
      <c r="F53" s="4354"/>
      <c r="G53" s="4354"/>
      <c r="H53" s="4354"/>
      <c r="I53" s="4354"/>
      <c r="J53" s="4354"/>
      <c r="K53" s="4354"/>
      <c r="L53" s="4354"/>
      <c r="M53" s="3518"/>
      <c r="N53" s="3519"/>
      <c r="O53" s="3520">
        <f>4*2600000/25000</f>
        <v>416</v>
      </c>
      <c r="P53" s="3521"/>
      <c r="S53" s="117">
        <f>O25+O29+O32+O35+O38+O42+O46+O50</f>
        <v>2260</v>
      </c>
      <c r="T53" s="117">
        <f>O27+O30+O33+O36+O39+O44+O47+O51</f>
        <v>1152</v>
      </c>
      <c r="U53" s="117">
        <f>O26+O43</f>
        <v>120</v>
      </c>
    </row>
    <row r="54" spans="1:21" s="3749" customFormat="1" ht="33" customHeight="1">
      <c r="A54" s="3514">
        <v>2</v>
      </c>
      <c r="B54" s="3515" t="s">
        <v>1732</v>
      </c>
      <c r="C54" s="3516" t="s">
        <v>362</v>
      </c>
      <c r="D54" s="3517"/>
      <c r="E54" s="4354" t="s">
        <v>1826</v>
      </c>
      <c r="F54" s="4354"/>
      <c r="G54" s="4354"/>
      <c r="H54" s="4354"/>
      <c r="I54" s="4354"/>
      <c r="J54" s="4354"/>
      <c r="K54" s="4354"/>
      <c r="L54" s="4354"/>
      <c r="M54" s="3518"/>
      <c r="N54" s="3519"/>
      <c r="O54" s="3520">
        <f>10*2600000/25000</f>
        <v>1040</v>
      </c>
      <c r="P54" s="3521"/>
      <c r="S54" s="3749" t="s">
        <v>1731</v>
      </c>
      <c r="T54" s="3749" t="s">
        <v>1827</v>
      </c>
    </row>
    <row r="55" spans="1:21" s="3749" customFormat="1" ht="33" customHeight="1">
      <c r="A55" s="3770" t="s">
        <v>53</v>
      </c>
      <c r="B55" s="3771" t="s">
        <v>1100</v>
      </c>
      <c r="C55" s="3772"/>
      <c r="D55" s="3773"/>
      <c r="E55" s="3774"/>
      <c r="F55" s="3775"/>
      <c r="G55" s="3775"/>
      <c r="H55" s="3775"/>
      <c r="I55" s="3775"/>
      <c r="J55" s="3775"/>
      <c r="K55" s="3775"/>
      <c r="L55" s="3776"/>
      <c r="M55" s="3777"/>
      <c r="N55" s="3778"/>
      <c r="O55" s="3779">
        <f>SUM(O56:O57)</f>
        <v>190.52</v>
      </c>
      <c r="P55" s="3780"/>
      <c r="S55" s="3749">
        <f>O52</f>
        <v>1456</v>
      </c>
      <c r="T55" s="3749">
        <f>O55</f>
        <v>190.52</v>
      </c>
    </row>
    <row r="56" spans="1:21" s="3750" customFormat="1" ht="39" customHeight="1">
      <c r="A56" s="3490">
        <v>1</v>
      </c>
      <c r="B56" s="3781" t="s">
        <v>1733</v>
      </c>
      <c r="C56" s="3516" t="s">
        <v>362</v>
      </c>
      <c r="D56" s="3517">
        <v>1</v>
      </c>
      <c r="E56" s="4355" t="s">
        <v>1828</v>
      </c>
      <c r="F56" s="4356"/>
      <c r="G56" s="4356"/>
      <c r="H56" s="4356"/>
      <c r="I56" s="4356"/>
      <c r="J56" s="4356"/>
      <c r="K56" s="4356"/>
      <c r="L56" s="4357"/>
      <c r="M56" s="3782">
        <v>20</v>
      </c>
      <c r="N56" s="3519">
        <v>1</v>
      </c>
      <c r="O56" s="3520">
        <f>M56</f>
        <v>20</v>
      </c>
      <c r="P56" s="3521"/>
    </row>
    <row r="57" spans="1:21" s="3482" customFormat="1" ht="51.75" customHeight="1">
      <c r="A57" s="3783">
        <v>2</v>
      </c>
      <c r="B57" s="3784" t="s">
        <v>1829</v>
      </c>
      <c r="C57" s="3516" t="s">
        <v>362</v>
      </c>
      <c r="D57" s="3785">
        <v>1</v>
      </c>
      <c r="E57" s="4347" t="s">
        <v>1830</v>
      </c>
      <c r="F57" s="4348"/>
      <c r="G57" s="4348"/>
      <c r="H57" s="4348"/>
      <c r="I57" s="4348"/>
      <c r="J57" s="4348"/>
      <c r="K57" s="4348"/>
      <c r="L57" s="4349"/>
      <c r="M57" s="3786">
        <f>(609*7000)/25000</f>
        <v>170.52</v>
      </c>
      <c r="N57" s="3787">
        <v>1</v>
      </c>
      <c r="O57" s="3788">
        <f>M57</f>
        <v>170.52</v>
      </c>
      <c r="P57" s="3789"/>
      <c r="S57" s="3790">
        <f>S53+T53+U53+S55+T55</f>
        <v>5178.5200000000004</v>
      </c>
    </row>
    <row r="58" spans="1:21" ht="27" customHeight="1">
      <c r="A58" s="4049" t="s">
        <v>1219</v>
      </c>
      <c r="B58" s="4049"/>
      <c r="C58" s="4049"/>
      <c r="D58" s="3522"/>
      <c r="E58" s="4350"/>
      <c r="F58" s="4351"/>
      <c r="G58" s="4351"/>
      <c r="H58" s="4351"/>
      <c r="I58" s="4351"/>
      <c r="J58" s="4351"/>
      <c r="K58" s="4351"/>
      <c r="L58" s="4352"/>
      <c r="M58" s="3523"/>
      <c r="N58" s="3524"/>
      <c r="O58" s="3525">
        <f>O11+O52+O55</f>
        <v>5178.5200000000004</v>
      </c>
      <c r="P58" s="3524"/>
    </row>
    <row r="59" spans="1:21" ht="20.45" customHeight="1">
      <c r="A59" s="3664"/>
      <c r="B59" s="1833"/>
      <c r="C59" s="3526"/>
      <c r="D59" s="3527"/>
      <c r="E59" s="1842"/>
      <c r="F59" s="3526"/>
      <c r="G59" s="1842"/>
      <c r="H59" s="3526"/>
      <c r="I59" s="3672"/>
      <c r="J59" s="3528"/>
      <c r="K59" s="3672"/>
      <c r="L59" s="4359" t="s">
        <v>1831</v>
      </c>
      <c r="M59" s="4359"/>
      <c r="N59" s="4359"/>
      <c r="O59" s="4359"/>
      <c r="P59" s="4359"/>
    </row>
    <row r="60" spans="1:21" ht="18" customHeight="1">
      <c r="A60" s="4340"/>
      <c r="B60" s="4340"/>
      <c r="C60" s="4340"/>
      <c r="D60" s="4340"/>
      <c r="E60" s="4340"/>
      <c r="F60" s="1832"/>
      <c r="G60" s="1832"/>
      <c r="H60" s="4353"/>
      <c r="I60" s="4353"/>
      <c r="J60" s="4353"/>
      <c r="K60" s="3663"/>
      <c r="L60" s="4340" t="s">
        <v>1832</v>
      </c>
      <c r="M60" s="4340"/>
      <c r="N60" s="4340"/>
      <c r="O60" s="4340"/>
      <c r="P60" s="4340"/>
    </row>
    <row r="61" spans="1:21" ht="20.45" customHeight="1">
      <c r="A61" s="3664"/>
      <c r="B61" s="1832"/>
      <c r="C61" s="1833"/>
      <c r="D61" s="2345"/>
      <c r="E61" s="1833"/>
      <c r="F61" s="1833"/>
      <c r="G61" s="3529"/>
      <c r="H61" s="1833"/>
      <c r="I61" s="3663"/>
      <c r="J61" s="3663"/>
      <c r="K61" s="3663"/>
      <c r="L61" s="2345"/>
      <c r="M61" s="3530"/>
      <c r="N61" s="1837"/>
      <c r="O61" s="4353"/>
      <c r="P61" s="4353"/>
    </row>
    <row r="62" spans="1:21" ht="20.45" customHeight="1">
      <c r="A62" s="3664"/>
      <c r="B62" s="1832"/>
      <c r="C62" s="1832"/>
      <c r="D62" s="2347"/>
      <c r="E62" s="1832"/>
      <c r="F62" s="1839"/>
      <c r="G62" s="1747"/>
      <c r="H62" s="1839"/>
      <c r="I62" s="2316"/>
      <c r="J62" s="2348"/>
      <c r="K62" s="3662"/>
      <c r="L62" s="2350"/>
      <c r="M62" s="3531"/>
      <c r="N62" s="1839"/>
      <c r="P62" s="3664"/>
    </row>
    <row r="63" spans="1:21" ht="20.45" customHeight="1">
      <c r="A63" s="3664"/>
      <c r="B63" s="1832"/>
      <c r="C63" s="1832"/>
      <c r="D63" s="2347"/>
      <c r="E63" s="1832"/>
      <c r="F63" s="1839"/>
      <c r="G63" s="1747"/>
      <c r="H63" s="1839"/>
      <c r="I63" s="2316"/>
      <c r="J63" s="2348"/>
      <c r="K63" s="3662"/>
      <c r="L63" s="2350"/>
      <c r="M63" s="3531"/>
      <c r="N63" s="1839"/>
      <c r="P63" s="3664"/>
    </row>
    <row r="64" spans="1:21" ht="17.45" customHeight="1">
      <c r="L64" s="4360" t="s">
        <v>1010</v>
      </c>
      <c r="M64" s="4360"/>
      <c r="N64" s="4360"/>
      <c r="O64" s="4360"/>
      <c r="P64" s="4360"/>
    </row>
    <row r="65" spans="1:16" ht="25.5" customHeight="1">
      <c r="A65" s="4358" t="s">
        <v>828</v>
      </c>
      <c r="B65" s="4358"/>
      <c r="C65" s="4358"/>
      <c r="D65" s="4358"/>
      <c r="E65" s="4358"/>
      <c r="F65" s="4358"/>
      <c r="G65" s="4358"/>
      <c r="H65" s="4358"/>
      <c r="I65" s="4358"/>
      <c r="J65" s="4358"/>
      <c r="K65" s="4358"/>
      <c r="L65" s="4358"/>
      <c r="M65" s="4358"/>
      <c r="N65" s="4358"/>
      <c r="O65" s="4358"/>
      <c r="P65" s="4358"/>
    </row>
    <row r="66" spans="1:16" ht="24.75" customHeight="1">
      <c r="A66" s="4343" t="s">
        <v>1833</v>
      </c>
      <c r="B66" s="4343"/>
      <c r="C66" s="4343"/>
      <c r="D66" s="4343"/>
      <c r="E66" s="4343"/>
      <c r="F66" s="4343"/>
      <c r="G66" s="4343"/>
      <c r="H66" s="4343"/>
      <c r="I66" s="4343"/>
      <c r="J66" s="4343"/>
      <c r="K66" s="4343"/>
      <c r="L66" s="4343"/>
      <c r="M66" s="4343"/>
      <c r="N66" s="4343"/>
      <c r="O66" s="4343"/>
      <c r="P66" s="4343"/>
    </row>
    <row r="67" spans="1:16" ht="27.75" customHeight="1"/>
    <row r="68" spans="1:16" ht="27.75" customHeight="1">
      <c r="N68" s="1845"/>
    </row>
    <row r="69" spans="1:16" ht="27.75" customHeight="1"/>
    <row r="70" spans="1:16" ht="27.75" customHeight="1"/>
    <row r="71" spans="1:16" ht="27.75" customHeight="1"/>
    <row r="72" spans="1:16" ht="27.75" customHeight="1"/>
    <row r="73" spans="1:16" ht="27.75" customHeight="1"/>
    <row r="74" spans="1:16" ht="27.75" customHeight="1"/>
    <row r="75" spans="1:16" ht="27.75" customHeight="1"/>
    <row r="76" spans="1:16" ht="27.75" customHeight="1"/>
    <row r="77" spans="1:16" ht="27.75" customHeight="1"/>
    <row r="78" spans="1:16" ht="27.75" customHeight="1"/>
    <row r="79" spans="1:16" ht="27.75" customHeight="1"/>
    <row r="80" spans="1:16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103" ht="10.5" customHeight="1"/>
    <row r="104" ht="10.5" customHeight="1"/>
    <row r="105" ht="10.5" customHeight="1"/>
    <row r="106" ht="10.5" customHeight="1"/>
    <row r="107" ht="10.5" customHeight="1"/>
    <row r="108" ht="6" customHeight="1"/>
  </sheetData>
  <mergeCells count="37">
    <mergeCell ref="A66:P66"/>
    <mergeCell ref="E21:L21"/>
    <mergeCell ref="E57:L57"/>
    <mergeCell ref="A58:C58"/>
    <mergeCell ref="E58:L58"/>
    <mergeCell ref="A60:E60"/>
    <mergeCell ref="H60:J60"/>
    <mergeCell ref="L60:P60"/>
    <mergeCell ref="E53:L53"/>
    <mergeCell ref="E54:L54"/>
    <mergeCell ref="E56:L56"/>
    <mergeCell ref="A65:P65"/>
    <mergeCell ref="L59:P59"/>
    <mergeCell ref="O61:P61"/>
    <mergeCell ref="L64:P64"/>
    <mergeCell ref="A5:F5"/>
    <mergeCell ref="G5:P5"/>
    <mergeCell ref="A1:P1"/>
    <mergeCell ref="A2:P2"/>
    <mergeCell ref="A3:P3"/>
    <mergeCell ref="A4:F4"/>
    <mergeCell ref="G4:P4"/>
    <mergeCell ref="E16:L16"/>
    <mergeCell ref="E17:L17"/>
    <mergeCell ref="E18:L18"/>
    <mergeCell ref="E19:L19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topLeftCell="A42" workbookViewId="0">
      <selection activeCell="J44" sqref="J44"/>
    </sheetView>
  </sheetViews>
  <sheetFormatPr defaultColWidth="7.75" defaultRowHeight="15.75"/>
  <cols>
    <col min="1" max="1" width="3.875" style="1846" customWidth="1"/>
    <col min="2" max="2" width="34" style="1847" customWidth="1"/>
    <col min="3" max="3" width="6.125" style="1848" customWidth="1"/>
    <col min="4" max="4" width="5.875" style="2353" customWidth="1"/>
    <col min="5" max="5" width="4.5" style="3532" customWidth="1"/>
    <col min="6" max="6" width="8.25" style="1851" customWidth="1"/>
    <col min="7" max="7" width="4.5" style="3533" customWidth="1"/>
    <col min="8" max="8" width="7" style="1851" customWidth="1"/>
    <col min="9" max="9" width="4.75" style="3534" customWidth="1"/>
    <col min="10" max="10" width="6.625" style="2355" customWidth="1"/>
    <col min="11" max="11" width="4.75" style="1849" customWidth="1"/>
    <col min="12" max="12" width="6.875" style="2357" customWidth="1"/>
    <col min="13" max="13" width="8.875" style="3535" customWidth="1"/>
    <col min="14" max="14" width="5.5" style="1851" customWidth="1"/>
    <col min="15" max="15" width="12.375" style="1841" customWidth="1"/>
    <col min="16" max="16" width="11.625" style="1854" customWidth="1"/>
    <col min="17" max="18" width="7.75" style="117"/>
    <col min="19" max="19" width="10.5" style="117" customWidth="1"/>
    <col min="20" max="20" width="10.25" style="117" customWidth="1"/>
    <col min="21" max="21" width="11" style="117" customWidth="1"/>
    <col min="22" max="16384" width="7.75" style="117"/>
  </cols>
  <sheetData>
    <row r="1" spans="1:21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1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1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1">
      <c r="A4" s="4342" t="s">
        <v>809</v>
      </c>
      <c r="B4" s="4342"/>
      <c r="C4" s="4342"/>
      <c r="D4" s="4342"/>
      <c r="E4" s="4342"/>
      <c r="F4" s="4342"/>
      <c r="G4" s="4340"/>
      <c r="H4" s="4340"/>
      <c r="I4" s="4340"/>
      <c r="J4" s="4340"/>
      <c r="K4" s="4340"/>
      <c r="L4" s="4340"/>
      <c r="M4" s="4340"/>
      <c r="N4" s="4340"/>
      <c r="O4" s="4340"/>
      <c r="P4" s="4340"/>
    </row>
    <row r="5" spans="1:21">
      <c r="A5" s="4340" t="s">
        <v>1834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</row>
    <row r="6" spans="1:21" ht="18.75" customHeight="1">
      <c r="A6" s="1749"/>
      <c r="B6" s="1749"/>
      <c r="C6" s="1749"/>
      <c r="D6" s="1751"/>
      <c r="E6" s="3462"/>
      <c r="F6" s="1747"/>
      <c r="G6" s="1747"/>
      <c r="H6" s="1747"/>
      <c r="I6" s="2316"/>
      <c r="J6" s="2316"/>
      <c r="K6" s="1749"/>
      <c r="L6" s="1751"/>
      <c r="M6" s="1753"/>
      <c r="N6" s="1749"/>
      <c r="O6" s="1753"/>
      <c r="P6" s="1749"/>
    </row>
    <row r="7" spans="1:21" ht="19.5">
      <c r="A7" s="4328" t="s">
        <v>1835</v>
      </c>
      <c r="B7" s="4328"/>
      <c r="C7" s="4328"/>
      <c r="D7" s="4328"/>
      <c r="E7" s="4328"/>
      <c r="F7" s="4328"/>
      <c r="G7" s="4328"/>
      <c r="H7" s="4328"/>
      <c r="I7" s="4328"/>
      <c r="J7" s="4328"/>
      <c r="K7" s="4328"/>
      <c r="L7" s="4328"/>
      <c r="M7" s="4328"/>
      <c r="N7" s="4328"/>
      <c r="O7" s="4328"/>
      <c r="P7" s="4328"/>
    </row>
    <row r="8" spans="1:21">
      <c r="A8" s="4329" t="s">
        <v>1836</v>
      </c>
      <c r="B8" s="4329"/>
      <c r="C8" s="4329"/>
      <c r="D8" s="4329"/>
      <c r="E8" s="4329"/>
      <c r="F8" s="4329"/>
      <c r="G8" s="4329"/>
      <c r="H8" s="4329"/>
      <c r="I8" s="4329"/>
      <c r="J8" s="4329"/>
      <c r="K8" s="4329"/>
      <c r="L8" s="4329"/>
      <c r="M8" s="4329"/>
      <c r="N8" s="4329"/>
      <c r="O8" s="4329"/>
      <c r="P8" s="4329"/>
    </row>
    <row r="9" spans="1:21" ht="27" customHeight="1">
      <c r="A9" s="4330" t="s">
        <v>19</v>
      </c>
      <c r="B9" s="4330" t="s">
        <v>1206</v>
      </c>
      <c r="C9" s="4330" t="s">
        <v>623</v>
      </c>
      <c r="D9" s="4332" t="s">
        <v>361</v>
      </c>
      <c r="E9" s="4330" t="s">
        <v>811</v>
      </c>
      <c r="F9" s="4330"/>
      <c r="G9" s="4330"/>
      <c r="H9" s="4330"/>
      <c r="I9" s="4330"/>
      <c r="J9" s="4330"/>
      <c r="K9" s="4330"/>
      <c r="L9" s="4330"/>
      <c r="M9" s="4330"/>
      <c r="N9" s="4330" t="s">
        <v>812</v>
      </c>
      <c r="O9" s="4334" t="s">
        <v>47</v>
      </c>
      <c r="P9" s="4336" t="s">
        <v>813</v>
      </c>
    </row>
    <row r="10" spans="1:21" ht="28.5" customHeight="1">
      <c r="A10" s="4331"/>
      <c r="B10" s="4331"/>
      <c r="C10" s="4331"/>
      <c r="D10" s="4333"/>
      <c r="E10" s="3463" t="s">
        <v>814</v>
      </c>
      <c r="F10" s="3463" t="s">
        <v>815</v>
      </c>
      <c r="G10" s="3463" t="s">
        <v>814</v>
      </c>
      <c r="H10" s="3463" t="s">
        <v>815</v>
      </c>
      <c r="I10" s="3463" t="s">
        <v>814</v>
      </c>
      <c r="J10" s="3463" t="s">
        <v>815</v>
      </c>
      <c r="K10" s="3463" t="s">
        <v>814</v>
      </c>
      <c r="L10" s="3464" t="s">
        <v>815</v>
      </c>
      <c r="M10" s="3465" t="s">
        <v>21</v>
      </c>
      <c r="N10" s="4331"/>
      <c r="O10" s="4335"/>
      <c r="P10" s="4337"/>
    </row>
    <row r="11" spans="1:21" ht="40.5" customHeight="1">
      <c r="A11" s="3466" t="s">
        <v>52</v>
      </c>
      <c r="B11" s="3467" t="s">
        <v>816</v>
      </c>
      <c r="C11" s="3468"/>
      <c r="D11" s="3469"/>
      <c r="E11" s="3470"/>
      <c r="F11" s="3470"/>
      <c r="G11" s="3470"/>
      <c r="H11" s="3470"/>
      <c r="I11" s="3470"/>
      <c r="J11" s="3470"/>
      <c r="K11" s="3470"/>
      <c r="L11" s="3471"/>
      <c r="M11" s="3472"/>
      <c r="N11" s="3470"/>
      <c r="O11" s="3473">
        <f>O21+O12+O15</f>
        <v>12191.68</v>
      </c>
      <c r="P11" s="3474"/>
    </row>
    <row r="12" spans="1:21" ht="37.5" customHeight="1">
      <c r="A12" s="3506" t="s">
        <v>147</v>
      </c>
      <c r="B12" s="3507" t="s">
        <v>817</v>
      </c>
      <c r="C12" s="3508"/>
      <c r="D12" s="3509"/>
      <c r="E12" s="3511"/>
      <c r="F12" s="3511"/>
      <c r="G12" s="3511"/>
      <c r="H12" s="3511"/>
      <c r="I12" s="3511"/>
      <c r="J12" s="3511"/>
      <c r="K12" s="3511"/>
      <c r="L12" s="3704"/>
      <c r="M12" s="3510"/>
      <c r="N12" s="3511"/>
      <c r="O12" s="3512"/>
      <c r="P12" s="3513"/>
    </row>
    <row r="13" spans="1:21" ht="39.75" customHeight="1">
      <c r="A13" s="3705">
        <v>1</v>
      </c>
      <c r="B13" s="3706" t="s">
        <v>49</v>
      </c>
      <c r="C13" s="3707" t="s">
        <v>818</v>
      </c>
      <c r="D13" s="3509"/>
      <c r="E13" s="3511"/>
      <c r="F13" s="3511"/>
      <c r="G13" s="3511"/>
      <c r="H13" s="3511"/>
      <c r="I13" s="3511"/>
      <c r="J13" s="3511"/>
      <c r="K13" s="3511"/>
      <c r="L13" s="3704"/>
      <c r="M13" s="3510"/>
      <c r="N13" s="3511"/>
      <c r="O13" s="3512"/>
      <c r="P13" s="3513"/>
    </row>
    <row r="14" spans="1:21" ht="38.25" customHeight="1">
      <c r="A14" s="3705">
        <v>2</v>
      </c>
      <c r="B14" s="3706" t="s">
        <v>819</v>
      </c>
      <c r="C14" s="3707" t="s">
        <v>818</v>
      </c>
      <c r="D14" s="3509"/>
      <c r="E14" s="3511"/>
      <c r="F14" s="3511"/>
      <c r="G14" s="3511"/>
      <c r="H14" s="3511"/>
      <c r="I14" s="3511"/>
      <c r="J14" s="3511"/>
      <c r="K14" s="3511"/>
      <c r="L14" s="3704"/>
      <c r="M14" s="3708">
        <v>35</v>
      </c>
      <c r="N14" s="3511"/>
      <c r="O14" s="3512"/>
      <c r="P14" s="3513"/>
    </row>
    <row r="15" spans="1:21" ht="38.25" customHeight="1">
      <c r="A15" s="3791" t="s">
        <v>1819</v>
      </c>
      <c r="B15" s="3771" t="s">
        <v>820</v>
      </c>
      <c r="C15" s="3707"/>
      <c r="D15" s="3509"/>
      <c r="E15" s="3511"/>
      <c r="F15" s="3511"/>
      <c r="G15" s="3511"/>
      <c r="H15" s="3511"/>
      <c r="I15" s="3511"/>
      <c r="J15" s="3511"/>
      <c r="K15" s="3511"/>
      <c r="L15" s="3704"/>
      <c r="M15" s="3708"/>
      <c r="N15" s="3511"/>
      <c r="O15" s="3512">
        <f>SUM(O16:O20)</f>
        <v>5759.2</v>
      </c>
      <c r="P15" s="3513"/>
    </row>
    <row r="16" spans="1:21" s="3736" customFormat="1" ht="43.5" customHeight="1">
      <c r="A16" s="3792">
        <v>1</v>
      </c>
      <c r="B16" s="3793" t="s">
        <v>821</v>
      </c>
      <c r="C16" s="3794" t="s">
        <v>362</v>
      </c>
      <c r="D16" s="3795"/>
      <c r="E16" s="4362" t="s">
        <v>1837</v>
      </c>
      <c r="F16" s="4362"/>
      <c r="G16" s="4362"/>
      <c r="H16" s="4362"/>
      <c r="I16" s="4362"/>
      <c r="J16" s="4362"/>
      <c r="K16" s="4362"/>
      <c r="L16" s="4362"/>
      <c r="M16" s="3796"/>
      <c r="N16" s="3792"/>
      <c r="O16" s="3797">
        <f>51*4*70000/25000</f>
        <v>571.20000000000005</v>
      </c>
      <c r="P16" s="3798"/>
      <c r="Q16" s="3734"/>
      <c r="R16" s="3735"/>
      <c r="S16" s="3735"/>
      <c r="T16" s="3735"/>
      <c r="U16" s="3735"/>
    </row>
    <row r="17" spans="1:21" s="3727" customFormat="1" ht="43.5" customHeight="1">
      <c r="A17" s="3718">
        <v>2</v>
      </c>
      <c r="B17" s="3719" t="s">
        <v>1294</v>
      </c>
      <c r="C17" s="3718" t="s">
        <v>362</v>
      </c>
      <c r="D17" s="3721"/>
      <c r="E17" s="4338" t="s">
        <v>1838</v>
      </c>
      <c r="F17" s="4338"/>
      <c r="G17" s="4338"/>
      <c r="H17" s="4338"/>
      <c r="I17" s="4338"/>
      <c r="J17" s="4338"/>
      <c r="K17" s="4338"/>
      <c r="L17" s="4338"/>
      <c r="M17" s="3722"/>
      <c r="N17" s="3718"/>
      <c r="O17" s="3723">
        <f>51*27*50000/25000</f>
        <v>2754</v>
      </c>
      <c r="P17" s="3724"/>
      <c r="Q17" s="3725"/>
      <c r="R17" s="3726"/>
      <c r="S17" s="3726"/>
      <c r="T17" s="3726"/>
      <c r="U17" s="3726"/>
    </row>
    <row r="18" spans="1:21" s="3727" customFormat="1" ht="43.5" customHeight="1">
      <c r="A18" s="3718">
        <v>3</v>
      </c>
      <c r="B18" s="3719" t="s">
        <v>1038</v>
      </c>
      <c r="C18" s="3720" t="s">
        <v>362</v>
      </c>
      <c r="D18" s="3721"/>
      <c r="E18" s="4338" t="s">
        <v>1839</v>
      </c>
      <c r="F18" s="4338"/>
      <c r="G18" s="4338"/>
      <c r="H18" s="4338"/>
      <c r="I18" s="4338"/>
      <c r="J18" s="4338"/>
      <c r="K18" s="4338"/>
      <c r="L18" s="4338"/>
      <c r="M18" s="3722"/>
      <c r="N18" s="3718"/>
      <c r="O18" s="3723">
        <f>5*4*90000/25000</f>
        <v>72</v>
      </c>
      <c r="P18" s="3724"/>
      <c r="Q18" s="3725"/>
      <c r="R18" s="3726"/>
      <c r="S18" s="3726"/>
      <c r="T18" s="3726"/>
      <c r="U18" s="3726"/>
    </row>
    <row r="19" spans="1:21" s="3727" customFormat="1" ht="43.5" customHeight="1">
      <c r="A19" s="3718">
        <v>4</v>
      </c>
      <c r="B19" s="3719" t="s">
        <v>1296</v>
      </c>
      <c r="C19" s="3718" t="s">
        <v>362</v>
      </c>
      <c r="D19" s="3721"/>
      <c r="E19" s="4338" t="s">
        <v>1840</v>
      </c>
      <c r="F19" s="4338"/>
      <c r="G19" s="4338"/>
      <c r="H19" s="4338"/>
      <c r="I19" s="4338"/>
      <c r="J19" s="4338"/>
      <c r="K19" s="4338"/>
      <c r="L19" s="4338"/>
      <c r="M19" s="3722"/>
      <c r="N19" s="3718"/>
      <c r="O19" s="3723">
        <f>5*27*70000/25000</f>
        <v>378</v>
      </c>
      <c r="P19" s="3724"/>
      <c r="Q19" s="3725"/>
      <c r="R19" s="3726"/>
      <c r="S19" s="3726"/>
      <c r="T19" s="3726"/>
      <c r="U19" s="3726"/>
    </row>
    <row r="20" spans="1:21" s="3745" customFormat="1" ht="43.5" customHeight="1">
      <c r="A20" s="3737">
        <v>5</v>
      </c>
      <c r="B20" s="3738" t="s">
        <v>1285</v>
      </c>
      <c r="C20" s="3737" t="s">
        <v>362</v>
      </c>
      <c r="D20" s="3739"/>
      <c r="E20" s="4363" t="s">
        <v>1329</v>
      </c>
      <c r="F20" s="4363"/>
      <c r="G20" s="4363"/>
      <c r="H20" s="4363"/>
      <c r="I20" s="4363"/>
      <c r="J20" s="4363"/>
      <c r="K20" s="4363"/>
      <c r="L20" s="4363"/>
      <c r="M20" s="3740"/>
      <c r="N20" s="3737"/>
      <c r="O20" s="3741">
        <f>16*31*100000/25000</f>
        <v>1984</v>
      </c>
      <c r="P20" s="3742"/>
      <c r="Q20" s="3743"/>
      <c r="R20" s="3744"/>
      <c r="S20" s="3744"/>
      <c r="T20" s="3744"/>
      <c r="U20" s="3744"/>
    </row>
    <row r="21" spans="1:21" s="3501" customFormat="1" ht="33" customHeight="1">
      <c r="A21" s="3506" t="s">
        <v>149</v>
      </c>
      <c r="B21" s="3746" t="s">
        <v>1687</v>
      </c>
      <c r="C21" s="3495"/>
      <c r="D21" s="3497"/>
      <c r="E21" s="3495"/>
      <c r="F21" s="3495"/>
      <c r="G21" s="3495"/>
      <c r="H21" s="3495"/>
      <c r="I21" s="3495"/>
      <c r="J21" s="3495"/>
      <c r="K21" s="3495"/>
      <c r="L21" s="3495"/>
      <c r="M21" s="3747"/>
      <c r="N21" s="3495"/>
      <c r="O21" s="3748">
        <f>O22+O26+O31+O35+O44</f>
        <v>6432.48</v>
      </c>
      <c r="P21" s="3500"/>
    </row>
    <row r="22" spans="1:21" s="3750" customFormat="1" ht="28.5" customHeight="1">
      <c r="A22" s="3475">
        <v>1</v>
      </c>
      <c r="B22" s="3476" t="s">
        <v>1734</v>
      </c>
      <c r="C22" s="3477"/>
      <c r="D22" s="3478"/>
      <c r="E22" s="3477"/>
      <c r="F22" s="3477"/>
      <c r="G22" s="3477"/>
      <c r="H22" s="3477"/>
      <c r="I22" s="3477"/>
      <c r="J22" s="3477"/>
      <c r="K22" s="3477"/>
      <c r="L22" s="3477"/>
      <c r="M22" s="3479"/>
      <c r="N22" s="3477"/>
      <c r="O22" s="3480">
        <f>SUM(O23:O25)</f>
        <v>276</v>
      </c>
      <c r="P22" s="3481"/>
    </row>
    <row r="23" spans="1:21" s="3482" customFormat="1" ht="38.25" customHeight="1">
      <c r="A23" s="3495" t="s">
        <v>837</v>
      </c>
      <c r="B23" s="3496" t="s">
        <v>1043</v>
      </c>
      <c r="C23" s="3495" t="s">
        <v>957</v>
      </c>
      <c r="D23" s="3497">
        <f>1/6</f>
        <v>0.16666666666666666</v>
      </c>
      <c r="E23" s="3705"/>
      <c r="F23" s="3751"/>
      <c r="G23" s="3705"/>
      <c r="H23" s="3751"/>
      <c r="I23" s="3495"/>
      <c r="J23" s="3495"/>
      <c r="K23" s="3495"/>
      <c r="L23" s="3495"/>
      <c r="M23" s="3498">
        <v>20</v>
      </c>
      <c r="N23" s="3495">
        <v>1</v>
      </c>
      <c r="O23" s="3799">
        <f>ROUND((M23/D23)*N23,9)</f>
        <v>120</v>
      </c>
      <c r="P23" s="3500"/>
    </row>
    <row r="24" spans="1:21" s="3482" customFormat="1" ht="39" customHeight="1">
      <c r="A24" s="3495" t="s">
        <v>838</v>
      </c>
      <c r="B24" s="3496" t="s">
        <v>1841</v>
      </c>
      <c r="C24" s="3495" t="s">
        <v>957</v>
      </c>
      <c r="D24" s="3497">
        <f>1/7</f>
        <v>0.14285714285714285</v>
      </c>
      <c r="E24" s="3705"/>
      <c r="F24" s="3751"/>
      <c r="G24" s="3705"/>
      <c r="H24" s="3751"/>
      <c r="I24" s="3495"/>
      <c r="J24" s="3495"/>
      <c r="K24" s="3495"/>
      <c r="L24" s="3495"/>
      <c r="M24" s="3498">
        <v>20</v>
      </c>
      <c r="N24" s="3495">
        <v>1</v>
      </c>
      <c r="O24" s="3799">
        <f>ROUND((M24/D24)*N24,9)</f>
        <v>140</v>
      </c>
      <c r="P24" s="3500"/>
    </row>
    <row r="25" spans="1:21" s="3482" customFormat="1" ht="42" customHeight="1">
      <c r="A25" s="3495" t="s">
        <v>1044</v>
      </c>
      <c r="B25" s="3496" t="s">
        <v>204</v>
      </c>
      <c r="C25" s="3495" t="s">
        <v>957</v>
      </c>
      <c r="D25" s="3497">
        <v>1.25</v>
      </c>
      <c r="E25" s="3705"/>
      <c r="F25" s="3751"/>
      <c r="G25" s="3705"/>
      <c r="H25" s="3751"/>
      <c r="I25" s="3495"/>
      <c r="J25" s="3495"/>
      <c r="K25" s="3495"/>
      <c r="L25" s="3495"/>
      <c r="M25" s="3498">
        <v>20</v>
      </c>
      <c r="N25" s="3495">
        <v>1</v>
      </c>
      <c r="O25" s="3799">
        <f>ROUND((M25/D25)*N25,9)</f>
        <v>16</v>
      </c>
      <c r="P25" s="3500"/>
    </row>
    <row r="26" spans="1:21" s="3488" customFormat="1" ht="41.25" customHeight="1">
      <c r="A26" s="3475">
        <v>2</v>
      </c>
      <c r="B26" s="3476" t="s">
        <v>1735</v>
      </c>
      <c r="C26" s="3477"/>
      <c r="D26" s="3478"/>
      <c r="E26" s="3477"/>
      <c r="F26" s="3477"/>
      <c r="G26" s="3477"/>
      <c r="H26" s="3477"/>
      <c r="I26" s="3477"/>
      <c r="J26" s="3477"/>
      <c r="K26" s="3477"/>
      <c r="L26" s="3477"/>
      <c r="M26" s="3487"/>
      <c r="N26" s="3477"/>
      <c r="O26" s="3480">
        <f>SUM(O27:O30)</f>
        <v>662.6400000000001</v>
      </c>
      <c r="P26" s="3481"/>
    </row>
    <row r="27" spans="1:21" s="3482" customFormat="1" ht="42" customHeight="1">
      <c r="A27" s="3765" t="s">
        <v>967</v>
      </c>
      <c r="B27" s="3483" t="s">
        <v>1043</v>
      </c>
      <c r="C27" s="3477" t="s">
        <v>957</v>
      </c>
      <c r="D27" s="3764">
        <f>1/6</f>
        <v>0.16666666666666666</v>
      </c>
      <c r="E27" s="3765"/>
      <c r="F27" s="3765"/>
      <c r="G27" s="3765"/>
      <c r="H27" s="3765"/>
      <c r="I27" s="3765"/>
      <c r="J27" s="3765"/>
      <c r="K27" s="3765"/>
      <c r="L27" s="3765"/>
      <c r="M27" s="3486">
        <v>22</v>
      </c>
      <c r="N27" s="3765">
        <v>1</v>
      </c>
      <c r="O27" s="3767">
        <f t="shared" ref="O27:O50" si="0">ROUND((M27/D27)*N27,9)</f>
        <v>132</v>
      </c>
      <c r="P27" s="3768"/>
      <c r="T27" s="3800"/>
      <c r="U27" s="3800"/>
    </row>
    <row r="28" spans="1:21" s="3482" customFormat="1" ht="38.25" customHeight="1">
      <c r="A28" s="3765" t="s">
        <v>1062</v>
      </c>
      <c r="B28" s="3496" t="s">
        <v>1841</v>
      </c>
      <c r="C28" s="3495" t="s">
        <v>957</v>
      </c>
      <c r="D28" s="3764">
        <f>1/7</f>
        <v>0.14285714285714285</v>
      </c>
      <c r="E28" s="3765"/>
      <c r="F28" s="3765"/>
      <c r="G28" s="3765"/>
      <c r="H28" s="3765"/>
      <c r="I28" s="3765"/>
      <c r="J28" s="3765"/>
      <c r="K28" s="3765"/>
      <c r="L28" s="3765"/>
      <c r="M28" s="3486">
        <v>22</v>
      </c>
      <c r="N28" s="3765">
        <v>1</v>
      </c>
      <c r="O28" s="3767">
        <f t="shared" si="0"/>
        <v>154</v>
      </c>
      <c r="P28" s="3768"/>
      <c r="T28" s="3800"/>
      <c r="U28" s="3800"/>
    </row>
    <row r="29" spans="1:21" s="3482" customFormat="1" ht="42.75" customHeight="1">
      <c r="A29" s="3765" t="s">
        <v>1063</v>
      </c>
      <c r="B29" s="3483" t="s">
        <v>204</v>
      </c>
      <c r="C29" s="3477" t="s">
        <v>957</v>
      </c>
      <c r="D29" s="3764">
        <v>1.25</v>
      </c>
      <c r="E29" s="3765"/>
      <c r="F29" s="3765"/>
      <c r="G29" s="3765"/>
      <c r="H29" s="3765"/>
      <c r="I29" s="3765"/>
      <c r="J29" s="3765"/>
      <c r="K29" s="3765"/>
      <c r="L29" s="3765"/>
      <c r="M29" s="3486">
        <v>22</v>
      </c>
      <c r="N29" s="3765">
        <v>1</v>
      </c>
      <c r="O29" s="3767">
        <f t="shared" si="0"/>
        <v>17.600000000000001</v>
      </c>
      <c r="P29" s="3768"/>
      <c r="T29" s="3800"/>
      <c r="U29" s="3800"/>
    </row>
    <row r="30" spans="1:21" s="3482" customFormat="1" ht="44.25" customHeight="1">
      <c r="A30" s="3765" t="s">
        <v>1064</v>
      </c>
      <c r="B30" s="3496" t="s">
        <v>976</v>
      </c>
      <c r="C30" s="3477" t="s">
        <v>1047</v>
      </c>
      <c r="D30" s="3764">
        <f>25000/400000</f>
        <v>6.25E-2</v>
      </c>
      <c r="E30" s="3765" t="s">
        <v>1054</v>
      </c>
      <c r="F30" s="3801">
        <v>6.09</v>
      </c>
      <c r="G30" s="3802">
        <v>9</v>
      </c>
      <c r="H30" s="3801">
        <v>9.84</v>
      </c>
      <c r="I30" s="3802" t="s">
        <v>1054</v>
      </c>
      <c r="J30" s="3801">
        <v>6.51</v>
      </c>
      <c r="K30" s="3802"/>
      <c r="L30" s="3765"/>
      <c r="M30" s="3486">
        <f>F30+H30+J30</f>
        <v>22.439999999999998</v>
      </c>
      <c r="N30" s="3765">
        <v>1</v>
      </c>
      <c r="O30" s="3767">
        <f t="shared" si="0"/>
        <v>359.04</v>
      </c>
      <c r="P30" s="3768"/>
      <c r="T30" s="3800"/>
      <c r="U30" s="3800"/>
    </row>
    <row r="31" spans="1:21" s="3749" customFormat="1" ht="41.25" customHeight="1">
      <c r="A31" s="3475">
        <v>3</v>
      </c>
      <c r="B31" s="3476" t="s">
        <v>824</v>
      </c>
      <c r="C31" s="3477"/>
      <c r="D31" s="3478"/>
      <c r="E31" s="3477"/>
      <c r="F31" s="3477"/>
      <c r="G31" s="3477"/>
      <c r="H31" s="3477"/>
      <c r="I31" s="3477"/>
      <c r="J31" s="3477"/>
      <c r="K31" s="3477"/>
      <c r="L31" s="3477"/>
      <c r="M31" s="3486"/>
      <c r="N31" s="3477"/>
      <c r="O31" s="3480">
        <f>SUM(O32:O34)</f>
        <v>177.6</v>
      </c>
      <c r="P31" s="3481"/>
      <c r="T31" s="3755"/>
      <c r="U31" s="3755"/>
    </row>
    <row r="32" spans="1:21" s="3749" customFormat="1" ht="42" customHeight="1">
      <c r="A32" s="3495" t="s">
        <v>889</v>
      </c>
      <c r="B32" s="3496" t="s">
        <v>1043</v>
      </c>
      <c r="C32" s="3495" t="s">
        <v>957</v>
      </c>
      <c r="D32" s="3497">
        <f>1/6</f>
        <v>0.16666666666666666</v>
      </c>
      <c r="E32" s="3495"/>
      <c r="F32" s="3495"/>
      <c r="G32" s="3495"/>
      <c r="H32" s="3495"/>
      <c r="I32" s="3495"/>
      <c r="J32" s="3495"/>
      <c r="K32" s="3495"/>
      <c r="L32" s="3495"/>
      <c r="M32" s="3486">
        <v>12</v>
      </c>
      <c r="N32" s="3495">
        <v>1</v>
      </c>
      <c r="O32" s="3499">
        <f t="shared" ref="O32:O34" si="1">ROUND((M32/D32)*N32,9)</f>
        <v>72</v>
      </c>
      <c r="P32" s="3500"/>
    </row>
    <row r="33" spans="1:21" s="3749" customFormat="1" ht="43.5" customHeight="1">
      <c r="A33" s="3495" t="s">
        <v>968</v>
      </c>
      <c r="B33" s="3483" t="s">
        <v>1842</v>
      </c>
      <c r="C33" s="3495" t="s">
        <v>957</v>
      </c>
      <c r="D33" s="3497">
        <f>25000/200000</f>
        <v>0.125</v>
      </c>
      <c r="E33" s="3495"/>
      <c r="F33" s="3495"/>
      <c r="G33" s="3495"/>
      <c r="H33" s="3495"/>
      <c r="I33" s="3495"/>
      <c r="J33" s="3495"/>
      <c r="K33" s="3495"/>
      <c r="L33" s="3495"/>
      <c r="M33" s="3498">
        <v>12</v>
      </c>
      <c r="N33" s="3495">
        <v>1</v>
      </c>
      <c r="O33" s="3499">
        <f t="shared" si="1"/>
        <v>96</v>
      </c>
      <c r="P33" s="3500"/>
    </row>
    <row r="34" spans="1:21" s="3757" customFormat="1" ht="38.25" customHeight="1">
      <c r="A34" s="3491" t="s">
        <v>1076</v>
      </c>
      <c r="B34" s="3502" t="s">
        <v>204</v>
      </c>
      <c r="C34" s="3491" t="s">
        <v>957</v>
      </c>
      <c r="D34" s="3492">
        <v>1.25</v>
      </c>
      <c r="E34" s="3491"/>
      <c r="F34" s="3491"/>
      <c r="G34" s="3491"/>
      <c r="H34" s="3491"/>
      <c r="I34" s="3491"/>
      <c r="J34" s="3491"/>
      <c r="K34" s="3491"/>
      <c r="L34" s="3491"/>
      <c r="M34" s="3493">
        <v>12</v>
      </c>
      <c r="N34" s="3491">
        <v>1</v>
      </c>
      <c r="O34" s="3503">
        <f t="shared" si="1"/>
        <v>9.6</v>
      </c>
      <c r="P34" s="3494"/>
      <c r="S34" s="3803"/>
    </row>
    <row r="35" spans="1:21" s="3749" customFormat="1" ht="37.5" customHeight="1">
      <c r="A35" s="3506">
        <v>4</v>
      </c>
      <c r="B35" s="3746" t="s">
        <v>928</v>
      </c>
      <c r="C35" s="3495"/>
      <c r="D35" s="3497"/>
      <c r="E35" s="3495"/>
      <c r="F35" s="3495"/>
      <c r="G35" s="3495"/>
      <c r="H35" s="3495"/>
      <c r="I35" s="3495"/>
      <c r="J35" s="3495"/>
      <c r="K35" s="3495"/>
      <c r="L35" s="3495"/>
      <c r="M35" s="3498"/>
      <c r="N35" s="3495"/>
      <c r="O35" s="3748">
        <f>SUM(O36:O43)</f>
        <v>3654.16</v>
      </c>
      <c r="P35" s="3500"/>
    </row>
    <row r="36" spans="1:21" s="3749" customFormat="1" ht="39.75" customHeight="1">
      <c r="A36" s="3477" t="s">
        <v>929</v>
      </c>
      <c r="B36" s="3483" t="s">
        <v>1043</v>
      </c>
      <c r="C36" s="3477" t="s">
        <v>957</v>
      </c>
      <c r="D36" s="3478">
        <f>1/6</f>
        <v>0.16666666666666666</v>
      </c>
      <c r="E36" s="3495"/>
      <c r="F36" s="3495"/>
      <c r="G36" s="3495"/>
      <c r="H36" s="3495"/>
      <c r="I36" s="3495"/>
      <c r="J36" s="3495"/>
      <c r="K36" s="3495"/>
      <c r="L36" s="3495"/>
      <c r="M36" s="3486">
        <v>142</v>
      </c>
      <c r="N36" s="3495">
        <v>1</v>
      </c>
      <c r="O36" s="3499">
        <f t="shared" si="0"/>
        <v>852</v>
      </c>
      <c r="P36" s="3500"/>
    </row>
    <row r="37" spans="1:21" s="3749" customFormat="1" ht="39.75" customHeight="1">
      <c r="A37" s="3477" t="s">
        <v>1094</v>
      </c>
      <c r="B37" s="3483" t="s">
        <v>1842</v>
      </c>
      <c r="C37" s="3505" t="s">
        <v>957</v>
      </c>
      <c r="D37" s="3478">
        <f>25000/200000</f>
        <v>0.125</v>
      </c>
      <c r="E37" s="3495"/>
      <c r="F37" s="3495"/>
      <c r="G37" s="3495"/>
      <c r="H37" s="3495"/>
      <c r="I37" s="3495"/>
      <c r="J37" s="3495"/>
      <c r="K37" s="3495"/>
      <c r="L37" s="3495"/>
      <c r="M37" s="3486">
        <v>142</v>
      </c>
      <c r="N37" s="3495">
        <v>1</v>
      </c>
      <c r="O37" s="3499">
        <f t="shared" si="0"/>
        <v>1136</v>
      </c>
      <c r="P37" s="3500"/>
    </row>
    <row r="38" spans="1:21" s="3750" customFormat="1" ht="40.5" customHeight="1">
      <c r="A38" s="3477" t="s">
        <v>1095</v>
      </c>
      <c r="B38" s="3483" t="s">
        <v>204</v>
      </c>
      <c r="C38" s="3477" t="s">
        <v>957</v>
      </c>
      <c r="D38" s="3478">
        <v>1.25</v>
      </c>
      <c r="E38" s="3477"/>
      <c r="F38" s="3477"/>
      <c r="G38" s="3477"/>
      <c r="H38" s="3477"/>
      <c r="I38" s="3477"/>
      <c r="J38" s="3477"/>
      <c r="K38" s="3477"/>
      <c r="L38" s="3477"/>
      <c r="M38" s="3486">
        <v>142</v>
      </c>
      <c r="N38" s="3477">
        <v>1</v>
      </c>
      <c r="O38" s="3489">
        <f t="shared" si="0"/>
        <v>113.6</v>
      </c>
      <c r="P38" s="3481"/>
    </row>
    <row r="39" spans="1:21" s="3750" customFormat="1" ht="35.25" customHeight="1">
      <c r="A39" s="4364" t="s">
        <v>1230</v>
      </c>
      <c r="B39" s="4367" t="s">
        <v>976</v>
      </c>
      <c r="C39" s="4364" t="s">
        <v>1047</v>
      </c>
      <c r="D39" s="4370">
        <f>25000/400000</f>
        <v>6.25E-2</v>
      </c>
      <c r="E39" s="3477">
        <v>8</v>
      </c>
      <c r="F39" s="3804">
        <v>1.55</v>
      </c>
      <c r="G39" s="3805" t="s">
        <v>1082</v>
      </c>
      <c r="H39" s="3804">
        <v>11.11</v>
      </c>
      <c r="I39" s="3805" t="s">
        <v>209</v>
      </c>
      <c r="J39" s="3804">
        <v>1.77</v>
      </c>
      <c r="K39" s="3805">
        <v>6</v>
      </c>
      <c r="L39" s="3804">
        <v>4.03</v>
      </c>
      <c r="M39" s="4373">
        <f>F39+H39+J39+L39+F40+H40+J40+L40+F41+H41+J41+L41+F42</f>
        <v>92.97</v>
      </c>
      <c r="N39" s="4364">
        <v>1</v>
      </c>
      <c r="O39" s="4376">
        <f t="shared" si="0"/>
        <v>1487.52</v>
      </c>
      <c r="P39" s="3481"/>
    </row>
    <row r="40" spans="1:21" s="3749" customFormat="1" ht="36" customHeight="1">
      <c r="A40" s="4365"/>
      <c r="B40" s="4368"/>
      <c r="C40" s="4365"/>
      <c r="D40" s="4371"/>
      <c r="E40" s="3495" t="s">
        <v>160</v>
      </c>
      <c r="F40" s="3806">
        <v>12.18</v>
      </c>
      <c r="G40" s="3807" t="s">
        <v>1217</v>
      </c>
      <c r="H40" s="3806">
        <v>8.44</v>
      </c>
      <c r="I40" s="3807" t="s">
        <v>158</v>
      </c>
      <c r="J40" s="3806">
        <v>12.57</v>
      </c>
      <c r="K40" s="3807" t="s">
        <v>1085</v>
      </c>
      <c r="L40" s="3806">
        <v>1.19</v>
      </c>
      <c r="M40" s="4374"/>
      <c r="N40" s="4365"/>
      <c r="O40" s="4377"/>
      <c r="P40" s="3500"/>
    </row>
    <row r="41" spans="1:21" s="3749" customFormat="1" ht="36" customHeight="1">
      <c r="A41" s="4365"/>
      <c r="B41" s="4368"/>
      <c r="C41" s="4365"/>
      <c r="D41" s="4371"/>
      <c r="E41" s="3495" t="s">
        <v>1087</v>
      </c>
      <c r="F41" s="3806">
        <v>8.01</v>
      </c>
      <c r="G41" s="3807" t="s">
        <v>1089</v>
      </c>
      <c r="H41" s="3806">
        <v>6.48</v>
      </c>
      <c r="I41" s="3807" t="s">
        <v>1086</v>
      </c>
      <c r="J41" s="3806">
        <v>13.34</v>
      </c>
      <c r="K41" s="3807" t="s">
        <v>1086</v>
      </c>
      <c r="L41" s="3806">
        <v>1.21</v>
      </c>
      <c r="M41" s="4374"/>
      <c r="N41" s="4365"/>
      <c r="O41" s="4377"/>
      <c r="P41" s="3500"/>
    </row>
    <row r="42" spans="1:21" s="3749" customFormat="1" ht="36.75" customHeight="1">
      <c r="A42" s="4366"/>
      <c r="B42" s="4369"/>
      <c r="C42" s="4366"/>
      <c r="D42" s="4372"/>
      <c r="E42" s="3495" t="s">
        <v>1088</v>
      </c>
      <c r="F42" s="3806">
        <v>11.09</v>
      </c>
      <c r="G42" s="3807"/>
      <c r="H42" s="3806"/>
      <c r="I42" s="3807"/>
      <c r="J42" s="3806"/>
      <c r="K42" s="3807"/>
      <c r="L42" s="3806"/>
      <c r="M42" s="4375"/>
      <c r="N42" s="4366"/>
      <c r="O42" s="4378"/>
      <c r="P42" s="3500"/>
    </row>
    <row r="43" spans="1:21" s="3749" customFormat="1" ht="36.75" customHeight="1">
      <c r="A43" s="3495" t="s">
        <v>1843</v>
      </c>
      <c r="B43" s="3496" t="s">
        <v>976</v>
      </c>
      <c r="C43" s="3495" t="s">
        <v>1047</v>
      </c>
      <c r="D43" s="3497">
        <f>1/12</f>
        <v>8.3333333333333329E-2</v>
      </c>
      <c r="E43" s="3495" t="s">
        <v>1071</v>
      </c>
      <c r="F43" s="3804">
        <v>2.96</v>
      </c>
      <c r="G43" s="3805">
        <v>9</v>
      </c>
      <c r="H43" s="3804">
        <v>2.46</v>
      </c>
      <c r="I43" s="3807"/>
      <c r="J43" s="3806"/>
      <c r="K43" s="3807"/>
      <c r="L43" s="3806"/>
      <c r="M43" s="3498">
        <f>F43+H43</f>
        <v>5.42</v>
      </c>
      <c r="N43" s="3495">
        <v>1</v>
      </c>
      <c r="O43" s="3499">
        <f t="shared" si="0"/>
        <v>65.040000000000006</v>
      </c>
      <c r="P43" s="3500"/>
    </row>
    <row r="44" spans="1:21" s="3749" customFormat="1" ht="37.5" customHeight="1">
      <c r="A44" s="3506">
        <v>5</v>
      </c>
      <c r="B44" s="3746" t="s">
        <v>1740</v>
      </c>
      <c r="C44" s="3495"/>
      <c r="D44" s="3497"/>
      <c r="E44" s="3495"/>
      <c r="F44" s="3495"/>
      <c r="G44" s="3495"/>
      <c r="H44" s="3495"/>
      <c r="I44" s="3495"/>
      <c r="J44" s="3495"/>
      <c r="K44" s="3495"/>
      <c r="L44" s="3495"/>
      <c r="M44" s="3759"/>
      <c r="N44" s="3495"/>
      <c r="O44" s="3748">
        <f>SUM(O45:O50)</f>
        <v>1662.08</v>
      </c>
      <c r="P44" s="3500"/>
    </row>
    <row r="45" spans="1:21" s="3482" customFormat="1" ht="40.5" customHeight="1">
      <c r="A45" s="3495" t="s">
        <v>1821</v>
      </c>
      <c r="B45" s="3483" t="s">
        <v>1043</v>
      </c>
      <c r="C45" s="3477" t="s">
        <v>957</v>
      </c>
      <c r="D45" s="3478">
        <f>1/6</f>
        <v>0.16666666666666666</v>
      </c>
      <c r="E45" s="3477"/>
      <c r="F45" s="3477"/>
      <c r="G45" s="3477"/>
      <c r="H45" s="3477"/>
      <c r="I45" s="3477"/>
      <c r="J45" s="3477"/>
      <c r="K45" s="3477"/>
      <c r="L45" s="3477"/>
      <c r="M45" s="3486">
        <v>92</v>
      </c>
      <c r="N45" s="3477">
        <v>1</v>
      </c>
      <c r="O45" s="3489">
        <f t="shared" si="0"/>
        <v>552</v>
      </c>
      <c r="P45" s="3481"/>
      <c r="S45" s="3762" t="s">
        <v>1844</v>
      </c>
      <c r="T45" s="3762" t="s">
        <v>1739</v>
      </c>
      <c r="U45" s="3482" t="s">
        <v>1207</v>
      </c>
    </row>
    <row r="46" spans="1:21" s="3482" customFormat="1" ht="35.25" customHeight="1">
      <c r="A46" s="3495" t="s">
        <v>1822</v>
      </c>
      <c r="B46" s="3483" t="s">
        <v>1842</v>
      </c>
      <c r="C46" s="3477" t="s">
        <v>957</v>
      </c>
      <c r="D46" s="3478">
        <f>25000/200000</f>
        <v>0.125</v>
      </c>
      <c r="E46" s="3477"/>
      <c r="F46" s="3477"/>
      <c r="G46" s="3477"/>
      <c r="H46" s="3477"/>
      <c r="I46" s="3477"/>
      <c r="J46" s="3477"/>
      <c r="K46" s="3477"/>
      <c r="L46" s="3477"/>
      <c r="M46" s="3486">
        <v>41</v>
      </c>
      <c r="N46" s="3477">
        <v>1</v>
      </c>
      <c r="O46" s="3489">
        <f t="shared" si="0"/>
        <v>328</v>
      </c>
      <c r="P46" s="3481"/>
      <c r="S46" s="3762">
        <f>O23+O27+O32+O36+O45</f>
        <v>1728</v>
      </c>
      <c r="T46" s="3762">
        <f>O24+O28+O33+O37+O46+O47</f>
        <v>2211</v>
      </c>
      <c r="U46" s="3482">
        <f>O30+O39+O43+O49+O50</f>
        <v>2263.08</v>
      </c>
    </row>
    <row r="47" spans="1:21" s="3482" customFormat="1" ht="37.5" customHeight="1">
      <c r="A47" s="3495" t="s">
        <v>1845</v>
      </c>
      <c r="B47" s="3483" t="s">
        <v>1841</v>
      </c>
      <c r="C47" s="3477" t="s">
        <v>957</v>
      </c>
      <c r="D47" s="3478">
        <f>1/7</f>
        <v>0.14285714285714285</v>
      </c>
      <c r="E47" s="3477"/>
      <c r="F47" s="3477"/>
      <c r="G47" s="3477"/>
      <c r="H47" s="3477"/>
      <c r="I47" s="3477"/>
      <c r="J47" s="3477"/>
      <c r="K47" s="3477"/>
      <c r="L47" s="3477"/>
      <c r="M47" s="3486">
        <v>51</v>
      </c>
      <c r="N47" s="3477">
        <v>1</v>
      </c>
      <c r="O47" s="3489">
        <f t="shared" si="0"/>
        <v>357</v>
      </c>
      <c r="P47" s="3481"/>
      <c r="S47" s="3762" t="s">
        <v>1846</v>
      </c>
      <c r="T47" s="3762" t="s">
        <v>1738</v>
      </c>
      <c r="U47" s="3482" t="s">
        <v>1847</v>
      </c>
    </row>
    <row r="48" spans="1:21" s="3488" customFormat="1" ht="37.5" customHeight="1">
      <c r="A48" s="3491" t="s">
        <v>1848</v>
      </c>
      <c r="B48" s="3502" t="s">
        <v>204</v>
      </c>
      <c r="C48" s="3491" t="s">
        <v>957</v>
      </c>
      <c r="D48" s="3492">
        <v>1.25</v>
      </c>
      <c r="E48" s="3491"/>
      <c r="F48" s="3491"/>
      <c r="G48" s="3491"/>
      <c r="H48" s="3491"/>
      <c r="I48" s="3491"/>
      <c r="J48" s="3491"/>
      <c r="K48" s="3491"/>
      <c r="L48" s="3491"/>
      <c r="M48" s="3493">
        <v>92</v>
      </c>
      <c r="N48" s="3491">
        <v>1</v>
      </c>
      <c r="O48" s="3503">
        <f t="shared" si="0"/>
        <v>73.599999999999994</v>
      </c>
      <c r="P48" s="3494"/>
      <c r="S48" s="3808">
        <f>O25+O29+O34+O38+O48</f>
        <v>230.4</v>
      </c>
      <c r="T48" s="3808">
        <f>O51</f>
        <v>1464</v>
      </c>
      <c r="U48" s="3488">
        <f>O15</f>
        <v>5759.2</v>
      </c>
    </row>
    <row r="49" spans="1:20" s="3749" customFormat="1" ht="37.5" customHeight="1">
      <c r="A49" s="3495" t="s">
        <v>1849</v>
      </c>
      <c r="B49" s="3496" t="s">
        <v>976</v>
      </c>
      <c r="C49" s="3495" t="s">
        <v>1047</v>
      </c>
      <c r="D49" s="3497">
        <f>25000/400000</f>
        <v>6.25E-2</v>
      </c>
      <c r="E49" s="3495" t="s">
        <v>1096</v>
      </c>
      <c r="F49" s="3806">
        <v>17.88</v>
      </c>
      <c r="G49" s="3495"/>
      <c r="H49" s="3751"/>
      <c r="I49" s="3495"/>
      <c r="J49" s="3495"/>
      <c r="K49" s="3495"/>
      <c r="L49" s="3495"/>
      <c r="M49" s="3498">
        <f>F49+H49</f>
        <v>17.88</v>
      </c>
      <c r="N49" s="3495">
        <v>1</v>
      </c>
      <c r="O49" s="3499">
        <f t="shared" si="0"/>
        <v>286.08</v>
      </c>
      <c r="P49" s="3500"/>
      <c r="S49" s="3809"/>
      <c r="T49" s="3809"/>
    </row>
    <row r="50" spans="1:20" s="3749" customFormat="1" ht="37.5" customHeight="1">
      <c r="A50" s="3495" t="s">
        <v>1850</v>
      </c>
      <c r="B50" s="3483" t="s">
        <v>976</v>
      </c>
      <c r="C50" s="3477" t="s">
        <v>1047</v>
      </c>
      <c r="D50" s="3497">
        <f>1/12</f>
        <v>8.3333333333333329E-2</v>
      </c>
      <c r="E50" s="3495" t="s">
        <v>1098</v>
      </c>
      <c r="F50" s="3804">
        <v>5.45</v>
      </c>
      <c r="G50" s="3495"/>
      <c r="H50" s="3751"/>
      <c r="I50" s="3495"/>
      <c r="J50" s="3495"/>
      <c r="K50" s="3495"/>
      <c r="L50" s="3495"/>
      <c r="M50" s="3498">
        <f>F50</f>
        <v>5.45</v>
      </c>
      <c r="N50" s="3477">
        <v>1</v>
      </c>
      <c r="O50" s="3489">
        <f t="shared" si="0"/>
        <v>65.400000000000006</v>
      </c>
      <c r="P50" s="3500"/>
      <c r="S50" s="3809">
        <f>F50+F49+F43+H43+F42+F41+H41+J41+L41+L40+J40+J39+L39+H39+H40+F40+F39+F30+H30+J30</f>
        <v>144.15999999999997</v>
      </c>
      <c r="T50" s="3809"/>
    </row>
    <row r="51" spans="1:20" ht="33.75" customHeight="1">
      <c r="A51" s="3506" t="s">
        <v>92</v>
      </c>
      <c r="B51" s="3507" t="s">
        <v>825</v>
      </c>
      <c r="C51" s="3508"/>
      <c r="D51" s="3509"/>
      <c r="E51" s="3495"/>
      <c r="F51" s="3495"/>
      <c r="G51" s="3495"/>
      <c r="H51" s="3495"/>
      <c r="I51" s="3495"/>
      <c r="J51" s="3495"/>
      <c r="K51" s="3495"/>
      <c r="L51" s="3495"/>
      <c r="M51" s="3510"/>
      <c r="N51" s="3511"/>
      <c r="O51" s="3512">
        <f>SUM(O52:O53)</f>
        <v>1464</v>
      </c>
      <c r="P51" s="3513"/>
      <c r="S51" s="3810">
        <f>S46+T46+U46+S48+T48+U48</f>
        <v>13655.68</v>
      </c>
    </row>
    <row r="52" spans="1:20" ht="33" customHeight="1">
      <c r="A52" s="3514">
        <v>1</v>
      </c>
      <c r="B52" s="3515" t="s">
        <v>826</v>
      </c>
      <c r="C52" s="3516" t="s">
        <v>362</v>
      </c>
      <c r="D52" s="3517"/>
      <c r="E52" s="4354" t="s">
        <v>1218</v>
      </c>
      <c r="F52" s="4354"/>
      <c r="G52" s="4354"/>
      <c r="H52" s="4354"/>
      <c r="I52" s="4354"/>
      <c r="J52" s="4354"/>
      <c r="K52" s="4354"/>
      <c r="L52" s="4354"/>
      <c r="M52" s="3518"/>
      <c r="N52" s="3519"/>
      <c r="O52" s="3520">
        <f>4*2600000/25000</f>
        <v>416</v>
      </c>
      <c r="P52" s="3521"/>
    </row>
    <row r="53" spans="1:20" s="3501" customFormat="1" ht="30" customHeight="1">
      <c r="A53" s="3811">
        <v>2</v>
      </c>
      <c r="B53" s="3812" t="s">
        <v>1732</v>
      </c>
      <c r="C53" s="3813" t="s">
        <v>362</v>
      </c>
      <c r="D53" s="3814"/>
      <c r="E53" s="4361" t="s">
        <v>1741</v>
      </c>
      <c r="F53" s="4361"/>
      <c r="G53" s="4361"/>
      <c r="H53" s="4361"/>
      <c r="I53" s="4361"/>
      <c r="J53" s="4361"/>
      <c r="K53" s="4361"/>
      <c r="L53" s="4361"/>
      <c r="M53" s="3815"/>
      <c r="N53" s="3816"/>
      <c r="O53" s="3817">
        <f>10*2620000/25000</f>
        <v>1048</v>
      </c>
      <c r="P53" s="3818"/>
    </row>
    <row r="54" spans="1:20" ht="27.75" customHeight="1">
      <c r="A54" s="4049" t="s">
        <v>1219</v>
      </c>
      <c r="B54" s="4049"/>
      <c r="C54" s="4049"/>
      <c r="D54" s="3522"/>
      <c r="E54" s="4350"/>
      <c r="F54" s="4351"/>
      <c r="G54" s="4351"/>
      <c r="H54" s="4351"/>
      <c r="I54" s="4351"/>
      <c r="J54" s="4351"/>
      <c r="K54" s="4351"/>
      <c r="L54" s="4352"/>
      <c r="M54" s="3523"/>
      <c r="N54" s="3524"/>
      <c r="O54" s="3525">
        <f>O51+O11</f>
        <v>13655.68</v>
      </c>
      <c r="P54" s="3524"/>
    </row>
    <row r="55" spans="1:20" ht="20.45" customHeight="1">
      <c r="A55" s="3664"/>
      <c r="B55" s="1833"/>
      <c r="C55" s="3526"/>
      <c r="D55" s="3527"/>
      <c r="E55" s="1842"/>
      <c r="F55" s="3526"/>
      <c r="G55" s="1842"/>
      <c r="H55" s="3526"/>
      <c r="I55" s="3672"/>
      <c r="J55" s="3528"/>
      <c r="K55" s="3672"/>
      <c r="L55" s="4359" t="s">
        <v>1831</v>
      </c>
      <c r="M55" s="4359"/>
      <c r="N55" s="4359"/>
      <c r="O55" s="4359"/>
      <c r="P55" s="4359"/>
    </row>
    <row r="56" spans="1:20" ht="18" customHeight="1">
      <c r="A56" s="4340" t="s">
        <v>615</v>
      </c>
      <c r="B56" s="4340"/>
      <c r="C56" s="4340"/>
      <c r="D56" s="4340"/>
      <c r="E56" s="4340"/>
      <c r="F56" s="1832"/>
      <c r="G56" s="1832"/>
      <c r="H56" s="4353"/>
      <c r="I56" s="4353"/>
      <c r="J56" s="4353"/>
      <c r="K56" s="3663"/>
      <c r="L56" s="4340" t="s">
        <v>1851</v>
      </c>
      <c r="M56" s="4340"/>
      <c r="N56" s="4340"/>
      <c r="O56" s="4340"/>
      <c r="P56" s="4340"/>
    </row>
    <row r="57" spans="1:20" ht="20.45" customHeight="1">
      <c r="A57" s="3664"/>
      <c r="B57" s="1832"/>
      <c r="C57" s="1833"/>
      <c r="D57" s="2345"/>
      <c r="E57" s="1833"/>
      <c r="F57" s="1833"/>
      <c r="G57" s="3529"/>
      <c r="H57" s="1833"/>
      <c r="I57" s="3663"/>
      <c r="J57" s="3663"/>
      <c r="K57" s="3663"/>
      <c r="L57" s="2345"/>
      <c r="M57" s="3530"/>
      <c r="N57" s="1837"/>
      <c r="O57" s="4353"/>
      <c r="P57" s="4353"/>
    </row>
    <row r="58" spans="1:20" ht="20.45" customHeight="1">
      <c r="A58" s="3664"/>
      <c r="B58" s="1832"/>
      <c r="C58" s="1832"/>
      <c r="D58" s="2347"/>
      <c r="E58" s="1832"/>
      <c r="F58" s="1839"/>
      <c r="G58" s="1747"/>
      <c r="H58" s="1839"/>
      <c r="I58" s="2316"/>
      <c r="J58" s="2348"/>
      <c r="K58" s="3662"/>
      <c r="L58" s="2350"/>
      <c r="M58" s="3531"/>
      <c r="N58" s="1839"/>
      <c r="P58" s="3664"/>
    </row>
    <row r="59" spans="1:20" ht="20.45" customHeight="1">
      <c r="A59" s="3664"/>
      <c r="B59" s="1832"/>
      <c r="C59" s="1832"/>
      <c r="D59" s="2347"/>
      <c r="E59" s="1832"/>
      <c r="F59" s="1839"/>
      <c r="G59" s="1747"/>
      <c r="H59" s="1839"/>
      <c r="I59" s="2316"/>
      <c r="J59" s="2348"/>
      <c r="K59" s="3662"/>
      <c r="L59" s="2350"/>
      <c r="M59" s="3531"/>
      <c r="N59" s="1839"/>
      <c r="P59" s="3664"/>
    </row>
    <row r="60" spans="1:20" ht="17.45" customHeight="1">
      <c r="A60" s="117"/>
      <c r="B60" s="117"/>
      <c r="C60" s="117"/>
      <c r="D60" s="117"/>
      <c r="E60" s="117"/>
      <c r="L60" s="117"/>
      <c r="M60" s="117"/>
      <c r="N60" s="117"/>
      <c r="O60" s="117"/>
      <c r="P60" s="117"/>
    </row>
    <row r="61" spans="1:20" ht="17.45" customHeight="1">
      <c r="A61" s="4379" t="s">
        <v>1010</v>
      </c>
      <c r="B61" s="4379"/>
      <c r="C61" s="4379"/>
      <c r="D61" s="4379"/>
      <c r="E61" s="4379"/>
      <c r="L61" s="4360" t="s">
        <v>1306</v>
      </c>
      <c r="M61" s="4360"/>
      <c r="N61" s="4360"/>
      <c r="O61" s="4360"/>
      <c r="P61" s="4360"/>
    </row>
    <row r="62" spans="1:20" ht="25.5" customHeight="1">
      <c r="A62" s="4358" t="s">
        <v>828</v>
      </c>
      <c r="B62" s="4358"/>
      <c r="C62" s="4358"/>
      <c r="D62" s="4358"/>
      <c r="E62" s="4358"/>
      <c r="F62" s="4358"/>
      <c r="G62" s="4358"/>
      <c r="H62" s="4358"/>
      <c r="I62" s="4358"/>
      <c r="J62" s="4358"/>
      <c r="K62" s="4358"/>
      <c r="L62" s="4358"/>
      <c r="M62" s="4358"/>
      <c r="N62" s="4358"/>
      <c r="O62" s="4358"/>
      <c r="P62" s="4358"/>
    </row>
    <row r="63" spans="1:20" ht="24.75" customHeight="1">
      <c r="A63" s="4343" t="s">
        <v>1852</v>
      </c>
      <c r="B63" s="4343"/>
      <c r="C63" s="4343"/>
      <c r="D63" s="4343"/>
      <c r="E63" s="4343"/>
      <c r="F63" s="4343"/>
      <c r="G63" s="4343"/>
      <c r="H63" s="4343"/>
      <c r="I63" s="4343"/>
      <c r="J63" s="4343"/>
      <c r="K63" s="4343"/>
      <c r="L63" s="4343"/>
      <c r="M63" s="4343"/>
      <c r="N63" s="4343"/>
      <c r="O63" s="4343"/>
      <c r="P63" s="4343"/>
    </row>
    <row r="64" spans="1:20" ht="27.75" customHeight="1"/>
    <row r="65" spans="14:14" ht="27.75" customHeight="1">
      <c r="N65" s="1845"/>
    </row>
    <row r="66" spans="14:14" ht="27.75" customHeight="1"/>
    <row r="67" spans="14:14" ht="27.75" customHeight="1"/>
    <row r="68" spans="14:14" ht="27.75" customHeight="1"/>
    <row r="69" spans="14:14" ht="27.75" customHeight="1"/>
    <row r="70" spans="14:14" ht="27.75" customHeight="1"/>
    <row r="71" spans="14:14" ht="27.75" customHeight="1"/>
    <row r="72" spans="14:14" ht="27.75" customHeight="1"/>
    <row r="73" spans="14:14" ht="27.75" customHeight="1"/>
    <row r="74" spans="14:14" ht="27.75" customHeight="1"/>
    <row r="75" spans="14:14" ht="27.75" customHeight="1"/>
    <row r="76" spans="14:14" ht="27.75" customHeight="1"/>
    <row r="77" spans="14:14" ht="27.75" customHeight="1"/>
    <row r="78" spans="14:14" ht="27.75" customHeight="1"/>
    <row r="79" spans="14:14" ht="27.75" customHeight="1"/>
    <row r="80" spans="14:14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100" ht="10.5" customHeight="1"/>
    <row r="101" ht="10.5" customHeight="1"/>
    <row r="102" ht="10.5" customHeight="1"/>
    <row r="103" ht="10.5" customHeight="1"/>
    <row r="104" ht="10.5" customHeight="1"/>
    <row r="105" ht="6" customHeight="1"/>
  </sheetData>
  <mergeCells count="42">
    <mergeCell ref="A56:E56"/>
    <mergeCell ref="H56:J56"/>
    <mergeCell ref="O57:P57"/>
    <mergeCell ref="A61:E61"/>
    <mergeCell ref="L61:P61"/>
    <mergeCell ref="N39:N42"/>
    <mergeCell ref="O39:O42"/>
    <mergeCell ref="E52:L52"/>
    <mergeCell ref="A54:C54"/>
    <mergeCell ref="L55:P55"/>
    <mergeCell ref="O9:O10"/>
    <mergeCell ref="P9:P10"/>
    <mergeCell ref="E53:L53"/>
    <mergeCell ref="E54:L54"/>
    <mergeCell ref="A62:P62"/>
    <mergeCell ref="L56:P56"/>
    <mergeCell ref="E16:L16"/>
    <mergeCell ref="E17:L17"/>
    <mergeCell ref="E18:L18"/>
    <mergeCell ref="E19:L19"/>
    <mergeCell ref="E20:L20"/>
    <mergeCell ref="A39:A42"/>
    <mergeCell ref="B39:B42"/>
    <mergeCell ref="C39:C42"/>
    <mergeCell ref="D39:D42"/>
    <mergeCell ref="M39:M42"/>
    <mergeCell ref="A63:P6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5"/>
  <sheetViews>
    <sheetView topLeftCell="A14" zoomScale="85" zoomScaleNormal="85" workbookViewId="0">
      <selection activeCell="J29" sqref="J29"/>
    </sheetView>
  </sheetViews>
  <sheetFormatPr defaultColWidth="9.25" defaultRowHeight="16.5"/>
  <cols>
    <col min="1" max="1" width="7.25" style="3079" customWidth="1"/>
    <col min="2" max="2" width="9.375" style="3072" hidden="1" customWidth="1"/>
    <col min="3" max="3" width="26.625" style="3108" customWidth="1"/>
    <col min="4" max="4" width="6.375" style="3108" hidden="1" customWidth="1"/>
    <col min="5" max="5" width="8" style="3072" hidden="1" customWidth="1"/>
    <col min="6" max="6" width="29.375" style="3072" customWidth="1"/>
    <col min="7" max="7" width="17.875" style="3109" hidden="1" customWidth="1"/>
    <col min="8" max="8" width="17.875" style="3072" hidden="1" customWidth="1"/>
    <col min="9" max="9" width="17.875" style="3072" customWidth="1"/>
    <col min="10" max="10" width="18.25" style="3109" customWidth="1"/>
    <col min="11" max="11" width="9.375" style="3110" customWidth="1"/>
    <col min="12" max="12" width="23.875" style="3117" customWidth="1"/>
    <col min="13" max="13" width="11.75" style="3072" hidden="1" customWidth="1"/>
    <col min="14" max="14" width="9.75" style="3072" hidden="1" customWidth="1"/>
    <col min="15" max="15" width="11.75" style="3072" hidden="1" customWidth="1"/>
    <col min="16" max="16" width="14" style="3072" hidden="1" customWidth="1"/>
    <col min="17" max="17" width="15.125" style="3072" hidden="1" customWidth="1"/>
    <col min="18" max="18" width="22.625" style="3072" customWidth="1"/>
    <col min="19" max="19" width="12.375" style="3072" customWidth="1"/>
    <col min="20" max="20" width="15.125" style="3072" bestFit="1" customWidth="1"/>
    <col min="21" max="16384" width="9.25" style="3072"/>
  </cols>
  <sheetData>
    <row r="1" spans="1:20">
      <c r="A1" s="4383" t="s">
        <v>165</v>
      </c>
      <c r="B1" s="4383"/>
      <c r="C1" s="4383"/>
      <c r="D1" s="4383"/>
      <c r="E1" s="4383"/>
      <c r="F1" s="4383"/>
      <c r="G1" s="4383"/>
      <c r="H1" s="4383"/>
      <c r="I1" s="4383"/>
      <c r="J1" s="4383"/>
      <c r="K1" s="4383"/>
      <c r="L1" s="4383"/>
      <c r="M1" s="4383"/>
      <c r="N1" s="4383"/>
      <c r="O1" s="4383"/>
      <c r="P1" s="4383"/>
      <c r="Q1" s="4383"/>
      <c r="R1" s="4383"/>
    </row>
    <row r="2" spans="1:20">
      <c r="A2" s="4383" t="s">
        <v>171</v>
      </c>
      <c r="B2" s="4383"/>
      <c r="C2" s="4383"/>
      <c r="D2" s="4383"/>
      <c r="E2" s="4383"/>
      <c r="F2" s="4383"/>
      <c r="G2" s="4383"/>
      <c r="H2" s="4383"/>
      <c r="I2" s="4383"/>
      <c r="J2" s="4383"/>
      <c r="K2" s="4383"/>
      <c r="L2" s="4383"/>
      <c r="M2" s="4383"/>
      <c r="N2" s="4383"/>
      <c r="O2" s="4383"/>
      <c r="P2" s="4383"/>
      <c r="Q2" s="4383"/>
      <c r="R2" s="4383"/>
    </row>
    <row r="3" spans="1:20">
      <c r="A3" s="4383" t="s">
        <v>726</v>
      </c>
      <c r="B3" s="4383"/>
      <c r="C3" s="4383"/>
      <c r="D3" s="4383"/>
      <c r="E3" s="4383"/>
      <c r="F3" s="4383"/>
      <c r="G3" s="4383"/>
      <c r="H3" s="4383"/>
      <c r="I3" s="4383"/>
      <c r="J3" s="4383"/>
      <c r="K3" s="4383"/>
      <c r="L3" s="4383"/>
      <c r="M3" s="4383"/>
      <c r="N3" s="4383"/>
      <c r="O3" s="4383"/>
      <c r="P3" s="4383"/>
      <c r="Q3" s="4383"/>
      <c r="R3" s="4383"/>
    </row>
    <row r="4" spans="1:20">
      <c r="A4" s="4382" t="s">
        <v>602</v>
      </c>
      <c r="B4" s="4382"/>
      <c r="C4" s="4382"/>
      <c r="D4" s="4382"/>
      <c r="E4" s="4382"/>
      <c r="F4" s="4382"/>
      <c r="G4" s="4382"/>
      <c r="H4" s="819"/>
      <c r="I4" s="819"/>
      <c r="J4" s="819"/>
      <c r="K4" s="819"/>
      <c r="L4" s="819"/>
      <c r="M4" s="819"/>
      <c r="N4" s="819"/>
      <c r="O4" s="819"/>
      <c r="P4" s="819"/>
      <c r="Q4" s="819"/>
      <c r="R4" s="819"/>
    </row>
    <row r="5" spans="1:20" s="3074" customFormat="1">
      <c r="A5" s="4397" t="s">
        <v>541</v>
      </c>
      <c r="B5" s="4397"/>
      <c r="C5" s="4397"/>
      <c r="D5" s="4397"/>
      <c r="E5" s="4397"/>
      <c r="F5" s="4397"/>
      <c r="G5" s="4397"/>
      <c r="H5" s="3073"/>
      <c r="I5" s="3073"/>
      <c r="J5" s="3073"/>
      <c r="K5" s="3073"/>
      <c r="L5" s="3073"/>
      <c r="M5" s="3073"/>
      <c r="N5" s="3073"/>
      <c r="O5" s="3073"/>
      <c r="P5" s="3073"/>
      <c r="Q5" s="3073"/>
      <c r="R5" s="3073"/>
    </row>
    <row r="6" spans="1:20" hidden="1">
      <c r="A6" s="819"/>
      <c r="B6" s="819"/>
      <c r="C6" s="819"/>
      <c r="D6" s="819"/>
      <c r="E6" s="819"/>
      <c r="F6" s="819"/>
      <c r="G6" s="819"/>
      <c r="H6" s="819"/>
      <c r="I6" s="819"/>
      <c r="J6" s="819"/>
      <c r="K6" s="819"/>
      <c r="L6" s="819"/>
      <c r="M6" s="819"/>
      <c r="N6" s="819"/>
      <c r="O6" s="819"/>
      <c r="P6" s="819"/>
      <c r="Q6" s="819"/>
      <c r="R6" s="819"/>
    </row>
    <row r="7" spans="1:20" hidden="1">
      <c r="A7" s="819"/>
      <c r="B7" s="819"/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  <c r="P7" s="819"/>
      <c r="Q7" s="819"/>
      <c r="R7" s="819"/>
    </row>
    <row r="8" spans="1:20">
      <c r="A8" s="819"/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</row>
    <row r="9" spans="1:20" s="3075" customFormat="1" ht="18.75">
      <c r="A9" s="4396" t="s">
        <v>1555</v>
      </c>
      <c r="B9" s="4396"/>
      <c r="C9" s="4396"/>
      <c r="D9" s="4396"/>
      <c r="E9" s="4396"/>
      <c r="F9" s="4396"/>
      <c r="G9" s="4396"/>
      <c r="H9" s="4396"/>
      <c r="I9" s="4396"/>
      <c r="J9" s="4396"/>
      <c r="K9" s="4396"/>
      <c r="L9" s="4396"/>
      <c r="M9" s="4396"/>
      <c r="N9" s="4396"/>
      <c r="O9" s="4396"/>
      <c r="P9" s="4396"/>
      <c r="Q9" s="4396"/>
      <c r="R9" s="4396"/>
    </row>
    <row r="10" spans="1:20" s="3075" customFormat="1" ht="18.75" hidden="1">
      <c r="A10" s="3076"/>
      <c r="B10" s="3076"/>
      <c r="C10" s="3077"/>
      <c r="D10" s="3077"/>
      <c r="E10" s="4385"/>
      <c r="F10" s="4385"/>
      <c r="G10" s="4385"/>
      <c r="H10" s="3076"/>
      <c r="I10" s="3076"/>
      <c r="J10" s="3076"/>
      <c r="K10" s="3076"/>
      <c r="L10" s="3076"/>
      <c r="M10" s="3076"/>
      <c r="N10" s="3076"/>
      <c r="O10" s="3076"/>
      <c r="P10" s="3076"/>
      <c r="Q10" s="3076"/>
      <c r="R10" s="3076"/>
    </row>
    <row r="11" spans="1:20" s="3075" customFormat="1" ht="18.75">
      <c r="A11" s="3076"/>
      <c r="B11" s="3076"/>
      <c r="C11" s="3077"/>
      <c r="D11" s="3077"/>
      <c r="E11" s="3078"/>
      <c r="F11" s="3078"/>
      <c r="G11" s="3078"/>
      <c r="H11" s="3076"/>
      <c r="I11" s="3076"/>
      <c r="J11" s="3076"/>
      <c r="K11" s="3076"/>
      <c r="L11" s="3076"/>
      <c r="M11" s="3076"/>
      <c r="N11" s="3076"/>
      <c r="O11" s="3076"/>
      <c r="P11" s="3076"/>
      <c r="Q11" s="3076"/>
      <c r="R11" s="3076"/>
    </row>
    <row r="12" spans="1:20">
      <c r="C12" s="3080" t="s">
        <v>894</v>
      </c>
      <c r="D12" s="3081" t="s">
        <v>894</v>
      </c>
      <c r="E12" s="4386">
        <v>657.39</v>
      </c>
      <c r="F12" s="4386"/>
      <c r="G12" s="4386"/>
      <c r="H12" s="3082"/>
      <c r="I12" s="3082"/>
      <c r="J12" s="3083"/>
      <c r="K12" s="3084"/>
      <c r="L12" s="3085"/>
      <c r="M12" s="3086"/>
      <c r="N12" s="3086"/>
      <c r="O12" s="3086"/>
      <c r="P12" s="3086"/>
      <c r="Q12" s="3086"/>
      <c r="R12" s="3063" t="s">
        <v>1154</v>
      </c>
    </row>
    <row r="13" spans="1:20" s="3073" customFormat="1">
      <c r="A13" s="4387" t="s">
        <v>19</v>
      </c>
      <c r="B13" s="3087"/>
      <c r="C13" s="4389" t="s">
        <v>20</v>
      </c>
      <c r="D13" s="4391"/>
      <c r="E13" s="4392"/>
      <c r="F13" s="4387" t="s">
        <v>9</v>
      </c>
      <c r="G13" s="4113" t="s">
        <v>1143</v>
      </c>
      <c r="H13" s="4113"/>
      <c r="I13" s="4394" t="s">
        <v>31</v>
      </c>
      <c r="J13" s="4394"/>
      <c r="K13" s="4394"/>
      <c r="L13" s="4394"/>
      <c r="M13" s="4395" t="s">
        <v>32</v>
      </c>
      <c r="N13" s="4395"/>
      <c r="O13" s="4395"/>
      <c r="P13" s="4395"/>
      <c r="Q13" s="4395"/>
      <c r="R13" s="4394" t="s">
        <v>634</v>
      </c>
    </row>
    <row r="14" spans="1:20" s="3073" customFormat="1" ht="66">
      <c r="A14" s="4388"/>
      <c r="B14" s="3087"/>
      <c r="C14" s="4390"/>
      <c r="D14" s="4391"/>
      <c r="E14" s="4393"/>
      <c r="F14" s="4388"/>
      <c r="G14" s="3088" t="s">
        <v>362</v>
      </c>
      <c r="H14" s="821" t="s">
        <v>248</v>
      </c>
      <c r="I14" s="821" t="s">
        <v>1148</v>
      </c>
      <c r="J14" s="3088" t="s">
        <v>1547</v>
      </c>
      <c r="K14" s="3139" t="s">
        <v>1548</v>
      </c>
      <c r="L14" s="3089" t="s">
        <v>38</v>
      </c>
      <c r="M14" s="823" t="s">
        <v>954</v>
      </c>
      <c r="N14" s="823" t="s">
        <v>955</v>
      </c>
      <c r="O14" s="823" t="s">
        <v>1150</v>
      </c>
      <c r="P14" s="823" t="s">
        <v>1151</v>
      </c>
      <c r="Q14" s="3089" t="s">
        <v>24</v>
      </c>
      <c r="R14" s="4394"/>
    </row>
    <row r="15" spans="1:20" s="2053" customFormat="1" ht="22.5">
      <c r="A15" s="3090">
        <v>1</v>
      </c>
      <c r="B15" s="3091" t="s">
        <v>482</v>
      </c>
      <c r="C15" s="3166" t="str">
        <f>'Mủ BN D40'!C12</f>
        <v>Nàng Phết</v>
      </c>
      <c r="D15" s="3092" t="e">
        <f>VLOOKUP(C15,'[14]Mã số NV'!$B$6:$D$53,3,0)</f>
        <v>#N/A</v>
      </c>
      <c r="E15" s="3093" t="s">
        <v>40</v>
      </c>
      <c r="F15" s="3093"/>
      <c r="G15" s="3094" t="e">
        <f>+VLOOKUP(C15,'[14]Tong hop cong'!C8:P8,14,0)</f>
        <v>#N/A</v>
      </c>
      <c r="H15" s="3095" t="e">
        <f>G15*25000</f>
        <v>#N/A</v>
      </c>
      <c r="I15" s="3096">
        <f>'Mủ BN D40'!AI12</f>
        <v>373</v>
      </c>
      <c r="J15" s="3096">
        <f>I15*0.4</f>
        <v>149.20000000000002</v>
      </c>
      <c r="K15" s="3096" t="s">
        <v>52</v>
      </c>
      <c r="L15" s="3097">
        <f>IF(K15="A",(J15*((6.1+0.6)*$E$12)),IF(K15="B",(J15*((5.8+0.6)*$E$12)),IF(K15="C",(J15*((5.5+0.6)*$E$12)),IF(K15="D",(J15*((5.2+0.6)*$E$12)),0))))</f>
        <v>657153.33959999995</v>
      </c>
      <c r="M15" s="3098" t="e">
        <f>+VLOOKUP(C15,'[14]Tong hop cong'!C8:T14,18,0)</f>
        <v>#N/A</v>
      </c>
      <c r="N15" s="3098" t="e">
        <f>+VLOOKUP(C15,'[14]Tong hop cong'!C8:U14,19,0)</f>
        <v>#N/A</v>
      </c>
      <c r="O15" s="3098"/>
      <c r="P15" s="3098"/>
      <c r="Q15" s="3099" t="e">
        <f>((M15*(46.1*$E$12))+(N15*(76.9*$E$12))+(O15*(76.8*$E$12))+(P15*(107.6*$E$12)))+((M15*#REF!)+(N15*#REF!)+(O15*#REF!)+(P15*#REF!))</f>
        <v>#N/A</v>
      </c>
      <c r="R15" s="3099"/>
      <c r="S15" s="3138" t="s">
        <v>52</v>
      </c>
      <c r="T15" s="3100">
        <f>L15+L18+L21+L26+L27</f>
        <v>2639184.1895999992</v>
      </c>
    </row>
    <row r="16" spans="1:20" s="2053" customFormat="1" ht="22.5">
      <c r="A16" s="3090">
        <v>2</v>
      </c>
      <c r="B16" s="3091" t="s">
        <v>484</v>
      </c>
      <c r="C16" s="3166" t="str">
        <f>'Mủ BN D40'!C13</f>
        <v>Thảo On</v>
      </c>
      <c r="D16" s="3092" t="e">
        <f>VLOOKUP(C16,'[14]Mã số NV'!$B$6:$D$53,3,0)</f>
        <v>#N/A</v>
      </c>
      <c r="E16" s="3093" t="s">
        <v>40</v>
      </c>
      <c r="F16" s="3093"/>
      <c r="G16" s="3094" t="e">
        <f>+VLOOKUP(C16,'[14]Tong hop cong'!C9:P9,14,0)</f>
        <v>#N/A</v>
      </c>
      <c r="H16" s="3095" t="e">
        <f t="shared" ref="H16:H26" si="0">G16*25000</f>
        <v>#N/A</v>
      </c>
      <c r="I16" s="3096">
        <f>'Mủ BN D40'!AI13</f>
        <v>334</v>
      </c>
      <c r="J16" s="3096">
        <f t="shared" ref="J16:J28" si="1">I16*0.4</f>
        <v>133.6</v>
      </c>
      <c r="K16" s="3096" t="s">
        <v>92</v>
      </c>
      <c r="L16" s="3097">
        <f t="shared" ref="L16:L28" si="2">IF(K16="A",(J16*((6.1+0.6)*$E$12)),IF(K16="B",(J16*((5.8+0.6)*$E$12)),IF(K16="C",(J16*((5.5+0.6)*$E$12)),IF(K16="D",(J16*((5.2+0.6)*$E$12)),0))))</f>
        <v>562094.74559999991</v>
      </c>
      <c r="M16" s="3098" t="e">
        <f>+VLOOKUP(C16,'[14]Tong hop cong'!C9:T16,18,0)</f>
        <v>#N/A</v>
      </c>
      <c r="N16" s="3098" t="e">
        <f>+VLOOKUP(C16,'[14]Tong hop cong'!C9:U14,19,0)</f>
        <v>#N/A</v>
      </c>
      <c r="O16" s="3098"/>
      <c r="P16" s="3098"/>
      <c r="Q16" s="3099" t="e">
        <f>((M16*(46.1*$E$12))+(N16*(76.9*$E$12))+(O16*(76.8*$E$12))+(P16*(107.6*$E$12)))+((M16*#REF!)+(N16*#REF!)+(O16*#REF!)+(P16*#REF!))</f>
        <v>#N/A</v>
      </c>
      <c r="R16" s="3099"/>
      <c r="S16" s="3138" t="s">
        <v>92</v>
      </c>
      <c r="T16" s="3101">
        <f>L16+L17+L19+L20+L25+L28</f>
        <v>2081770.0607999996</v>
      </c>
    </row>
    <row r="17" spans="1:20" s="2053" customFormat="1" ht="22.5">
      <c r="A17" s="3090">
        <v>3</v>
      </c>
      <c r="B17" s="3091" t="s">
        <v>486</v>
      </c>
      <c r="C17" s="3166" t="str">
        <f>'Mủ BN D40'!C14</f>
        <v>Thảo Sum</v>
      </c>
      <c r="D17" s="3092" t="str">
        <f>VLOOKUP(C17,'[14]Mã số NV'!$B$6:$D$53,3,0)</f>
        <v>01894</v>
      </c>
      <c r="E17" s="3093" t="s">
        <v>40</v>
      </c>
      <c r="F17" s="3093"/>
      <c r="G17" s="3094" t="e">
        <f>+VLOOKUP(C17,'[14]Tong hop cong'!C10:P10,14,0)</f>
        <v>#N/A</v>
      </c>
      <c r="H17" s="3095" t="e">
        <f t="shared" si="0"/>
        <v>#N/A</v>
      </c>
      <c r="I17" s="3096">
        <f>'Mủ BN D40'!AI14</f>
        <v>91</v>
      </c>
      <c r="J17" s="3096">
        <f t="shared" si="1"/>
        <v>36.4</v>
      </c>
      <c r="K17" s="3096" t="s">
        <v>92</v>
      </c>
      <c r="L17" s="3097">
        <f t="shared" si="2"/>
        <v>153145.57439999998</v>
      </c>
      <c r="M17" s="3098" t="e">
        <f>+VLOOKUP(C17,'[14]Tong hop cong'!C10:T17,18,0)</f>
        <v>#N/A</v>
      </c>
      <c r="N17" s="3098" t="e">
        <f>+VLOOKUP(C17,'[14]Tong hop cong'!C10:U16,19,0)</f>
        <v>#N/A</v>
      </c>
      <c r="O17" s="3098"/>
      <c r="P17" s="3098"/>
      <c r="Q17" s="3099" t="e">
        <f>((M17*(46.1*$E$12))+(N17*(76.9*$E$12))+(O17*(76.8*$E$12))+(P17*(107.6*$E$12)))+((M17*#REF!)+(N17*#REF!)+(O17*#REF!)+(P17*#REF!))</f>
        <v>#N/A</v>
      </c>
      <c r="R17" s="3099"/>
      <c r="T17" s="3102"/>
    </row>
    <row r="18" spans="1:20" s="2053" customFormat="1" ht="22.5">
      <c r="A18" s="3090">
        <v>4</v>
      </c>
      <c r="B18" s="3091"/>
      <c r="C18" s="3166" t="str">
        <f>'Mủ BN D40'!C15</f>
        <v>Cha La</v>
      </c>
      <c r="D18" s="3092"/>
      <c r="E18" s="3093" t="s">
        <v>40</v>
      </c>
      <c r="F18" s="3093"/>
      <c r="G18" s="3094" t="e">
        <f>+VLOOKUP(C18,'[14]Tong hop cong'!C11:P11,14,0)</f>
        <v>#N/A</v>
      </c>
      <c r="H18" s="3095" t="e">
        <f t="shared" si="0"/>
        <v>#N/A</v>
      </c>
      <c r="I18" s="3096">
        <f>'Mủ BN D40'!AI15</f>
        <v>294</v>
      </c>
      <c r="J18" s="3096">
        <f t="shared" si="1"/>
        <v>117.60000000000001</v>
      </c>
      <c r="K18" s="3096" t="s">
        <v>52</v>
      </c>
      <c r="L18" s="3097">
        <f t="shared" si="2"/>
        <v>517970.72879999992</v>
      </c>
      <c r="M18" s="3098" t="e">
        <f>+VLOOKUP(C18,'[14]Tong hop cong'!C11:T18,18,0)</f>
        <v>#N/A</v>
      </c>
      <c r="N18" s="3098" t="e">
        <f>+VLOOKUP(C18,'[14]Tong hop cong'!C11:U17,19,0)</f>
        <v>#N/A</v>
      </c>
      <c r="O18" s="3098"/>
      <c r="P18" s="3098"/>
      <c r="Q18" s="3099" t="e">
        <f>((M18*(46.1*$E$12))+(N18*(76.9*$E$12))+(O18*(76.8*$E$12))+(P18*(107.6*$E$12)))+((M18*#REF!)+(N18*#REF!)+(O18*#REF!)+(P18*#REF!))</f>
        <v>#N/A</v>
      </c>
      <c r="R18" s="3099"/>
      <c r="T18" s="3100">
        <f>T15+T16</f>
        <v>4720954.2503999993</v>
      </c>
    </row>
    <row r="19" spans="1:20" s="2053" customFormat="1" ht="22.5">
      <c r="A19" s="3090">
        <v>5</v>
      </c>
      <c r="B19" s="3091"/>
      <c r="C19" s="3166" t="str">
        <f>'Mủ BN D40'!C16</f>
        <v>Nàng Binh</v>
      </c>
      <c r="D19" s="3092"/>
      <c r="E19" s="3093" t="s">
        <v>40</v>
      </c>
      <c r="F19" s="3093"/>
      <c r="G19" s="3094" t="e">
        <f>+VLOOKUP(C19,'[14]Tong hop cong'!C12:P12,14,0)</f>
        <v>#N/A</v>
      </c>
      <c r="H19" s="3095" t="e">
        <f t="shared" si="0"/>
        <v>#N/A</v>
      </c>
      <c r="I19" s="3096">
        <f>'Mủ BN D40'!AI16</f>
        <v>291</v>
      </c>
      <c r="J19" s="3096">
        <f t="shared" si="1"/>
        <v>116.4</v>
      </c>
      <c r="K19" s="3096" t="s">
        <v>92</v>
      </c>
      <c r="L19" s="3097">
        <f t="shared" si="2"/>
        <v>489729.25439999998</v>
      </c>
      <c r="M19" s="3098" t="e">
        <f>+VLOOKUP(C19,'[14]Tong hop cong'!C12:T19,18,0)</f>
        <v>#N/A</v>
      </c>
      <c r="N19" s="3098" t="e">
        <f>+VLOOKUP(C19,'[14]Tong hop cong'!C12:U18,19,0)</f>
        <v>#N/A</v>
      </c>
      <c r="O19" s="3098"/>
      <c r="P19" s="3098"/>
      <c r="Q19" s="3099" t="e">
        <f>((M19*(46.1*$E$12))+(N19*(76.9*$E$12))+(O19*(76.8*$E$12))+(P19*(107.6*$E$12)))+((M19*#REF!)+(N19*#REF!)+(O19*#REF!)+(P19*#REF!))</f>
        <v>#N/A</v>
      </c>
      <c r="R19" s="3099"/>
      <c r="T19" s="3100"/>
    </row>
    <row r="20" spans="1:20" s="2053" customFormat="1" ht="22.5">
      <c r="A20" s="3090">
        <v>6</v>
      </c>
      <c r="B20" s="3091"/>
      <c r="C20" s="3166">
        <f>'Mủ BN D40'!C17</f>
        <v>0</v>
      </c>
      <c r="D20" s="3092"/>
      <c r="E20" s="3093" t="s">
        <v>40</v>
      </c>
      <c r="F20" s="3093"/>
      <c r="G20" s="3094" t="e">
        <f>+VLOOKUP(C20,'[14]Tong hop cong'!C13:P13,14,0)</f>
        <v>#N/A</v>
      </c>
      <c r="H20" s="3095" t="e">
        <f t="shared" si="0"/>
        <v>#N/A</v>
      </c>
      <c r="I20" s="3096">
        <f>'Mủ BN D40'!AI17</f>
        <v>262</v>
      </c>
      <c r="J20" s="3096">
        <f t="shared" si="1"/>
        <v>104.80000000000001</v>
      </c>
      <c r="K20" s="3096" t="s">
        <v>92</v>
      </c>
      <c r="L20" s="3097">
        <f t="shared" si="2"/>
        <v>440924.62079999998</v>
      </c>
      <c r="M20" s="3098" t="e">
        <f>+VLOOKUP(C20,'[14]Tong hop cong'!C13:T20,18,0)</f>
        <v>#N/A</v>
      </c>
      <c r="N20" s="3098" t="e">
        <f>+VLOOKUP(C20,'[14]Tong hop cong'!C13:U19,19,0)</f>
        <v>#N/A</v>
      </c>
      <c r="O20" s="3098"/>
      <c r="P20" s="3098"/>
      <c r="Q20" s="3099" t="e">
        <f>((M20*(46.1*$E$12))+(N20*(76.9*$E$12))+(O20*(76.8*$E$12))+(P20*(107.6*$E$12)))+((M20*#REF!)+(N20*#REF!)+(O20*#REF!)+(P20*#REF!))</f>
        <v>#N/A</v>
      </c>
      <c r="R20" s="3099"/>
    </row>
    <row r="21" spans="1:20" s="2053" customFormat="1" ht="22.5">
      <c r="A21" s="3090">
        <v>7</v>
      </c>
      <c r="B21" s="3091"/>
      <c r="C21" s="3166" t="str">
        <f>'Mủ BN D40'!C18</f>
        <v>Thảo Bun</v>
      </c>
      <c r="D21" s="3092"/>
      <c r="E21" s="3093" t="s">
        <v>40</v>
      </c>
      <c r="F21" s="3093"/>
      <c r="G21" s="3094" t="e">
        <f>+VLOOKUP(C21,'[14]Tong hop cong'!C9:P9,14,0)</f>
        <v>#N/A</v>
      </c>
      <c r="H21" s="3095" t="e">
        <f t="shared" ref="H21" si="3">G21*25000</f>
        <v>#N/A</v>
      </c>
      <c r="I21" s="3096">
        <f>'Mủ BN D40'!AI18</f>
        <v>277</v>
      </c>
      <c r="J21" s="3096">
        <f t="shared" si="1"/>
        <v>110.80000000000001</v>
      </c>
      <c r="K21" s="3096" t="s">
        <v>52</v>
      </c>
      <c r="L21" s="3097">
        <f t="shared" si="2"/>
        <v>488020.04039999994</v>
      </c>
      <c r="M21" s="3098" t="e">
        <f>+VLOOKUP(C21,'[14]Tong hop cong'!C9:T16,18,0)</f>
        <v>#N/A</v>
      </c>
      <c r="N21" s="3098" t="e">
        <f>+VLOOKUP(C21,'[14]Tong hop cong'!C9:U15,19,0)</f>
        <v>#N/A</v>
      </c>
      <c r="O21" s="3098"/>
      <c r="P21" s="3098"/>
      <c r="Q21" s="3099" t="e">
        <f>((M21*(46.1*$E$12))+(N21*(76.9*$E$12))+(O21*(76.8*$E$12))+(P21*(107.6*$E$12)))+((M21*#REF!)+(N21*#REF!)+(O21*#REF!)+(P21*#REF!))</f>
        <v>#N/A</v>
      </c>
      <c r="R21" s="3099"/>
      <c r="T21" s="2053">
        <v>48.808837387473659</v>
      </c>
    </row>
    <row r="22" spans="1:20" s="2053" customFormat="1" ht="22.5">
      <c r="A22" s="3090">
        <v>8</v>
      </c>
      <c r="B22" s="3091"/>
      <c r="C22" s="3166" t="str">
        <f>'Mủ BN D40'!C19</f>
        <v>Thảo Nga</v>
      </c>
      <c r="D22" s="3092"/>
      <c r="E22" s="3093"/>
      <c r="F22" s="3093"/>
      <c r="G22" s="3094"/>
      <c r="H22" s="3095"/>
      <c r="I22" s="3096">
        <f>'Mủ BN D40'!AI19</f>
        <v>0</v>
      </c>
      <c r="J22" s="3096">
        <f t="shared" si="1"/>
        <v>0</v>
      </c>
      <c r="K22" s="3096" t="s">
        <v>92</v>
      </c>
      <c r="L22" s="3097">
        <f t="shared" si="2"/>
        <v>0</v>
      </c>
      <c r="M22" s="3098"/>
      <c r="N22" s="3098"/>
      <c r="O22" s="3098"/>
      <c r="P22" s="3098"/>
      <c r="Q22" s="3099"/>
      <c r="R22" s="3099"/>
    </row>
    <row r="23" spans="1:20" s="2053" customFormat="1" ht="22.5">
      <c r="A23" s="3090">
        <v>9</v>
      </c>
      <c r="B23" s="3091"/>
      <c r="C23" s="3166" t="str">
        <f>'Mủ BN D40'!C20</f>
        <v>Thảo Tia</v>
      </c>
      <c r="D23" s="3092"/>
      <c r="E23" s="3093"/>
      <c r="F23" s="3093"/>
      <c r="G23" s="3094"/>
      <c r="H23" s="3095"/>
      <c r="I23" s="3096">
        <f>'Mủ BN D40'!AI20</f>
        <v>0</v>
      </c>
      <c r="J23" s="3096">
        <f t="shared" si="1"/>
        <v>0</v>
      </c>
      <c r="K23" s="3096" t="s">
        <v>52</v>
      </c>
      <c r="L23" s="3097">
        <f t="shared" si="2"/>
        <v>0</v>
      </c>
      <c r="M23" s="3098"/>
      <c r="N23" s="3098"/>
      <c r="O23" s="3098"/>
      <c r="P23" s="3098"/>
      <c r="Q23" s="3099"/>
      <c r="R23" s="3099"/>
    </row>
    <row r="24" spans="1:20" s="2053" customFormat="1" ht="22.5">
      <c r="A24" s="3090">
        <v>10</v>
      </c>
      <c r="B24" s="3091"/>
      <c r="C24" s="3166" t="str">
        <f>'Mủ BN D40'!C21</f>
        <v>Thảo Nuy</v>
      </c>
      <c r="D24" s="3092"/>
      <c r="E24" s="3093"/>
      <c r="F24" s="3093"/>
      <c r="G24" s="3094"/>
      <c r="H24" s="3095"/>
      <c r="I24" s="3096">
        <f>'Mủ BN D40'!AI21</f>
        <v>0</v>
      </c>
      <c r="J24" s="3096">
        <f t="shared" si="1"/>
        <v>0</v>
      </c>
      <c r="K24" s="3096" t="s">
        <v>92</v>
      </c>
      <c r="L24" s="3097">
        <f t="shared" si="2"/>
        <v>0</v>
      </c>
      <c r="M24" s="3098"/>
      <c r="N24" s="3098"/>
      <c r="O24" s="3098"/>
      <c r="P24" s="3098"/>
      <c r="Q24" s="3099"/>
      <c r="R24" s="3099"/>
    </row>
    <row r="25" spans="1:20" s="2053" customFormat="1" ht="22.5">
      <c r="A25" s="3090">
        <v>8</v>
      </c>
      <c r="B25" s="3091"/>
      <c r="C25" s="3166" t="str">
        <f>'Mủ BN D40'!C22</f>
        <v>Thảo Xay</v>
      </c>
      <c r="D25" s="3092"/>
      <c r="E25" s="3093"/>
      <c r="F25" s="3093"/>
      <c r="G25" s="3094"/>
      <c r="H25" s="3095"/>
      <c r="I25" s="3096">
        <f>'Mủ BN D40'!AI22</f>
        <v>109</v>
      </c>
      <c r="J25" s="3096">
        <f t="shared" si="1"/>
        <v>43.6</v>
      </c>
      <c r="K25" s="3096" t="s">
        <v>92</v>
      </c>
      <c r="L25" s="3097">
        <f t="shared" si="2"/>
        <v>183438.10559999998</v>
      </c>
      <c r="M25" s="3098"/>
      <c r="N25" s="3098"/>
      <c r="O25" s="3098"/>
      <c r="P25" s="3098"/>
      <c r="Q25" s="3099"/>
      <c r="R25" s="3099"/>
    </row>
    <row r="26" spans="1:20" s="2053" customFormat="1" ht="22.5">
      <c r="A26" s="3090">
        <v>9</v>
      </c>
      <c r="B26" s="3091"/>
      <c r="C26" s="3166" t="str">
        <f>'Mủ BN D40'!C23</f>
        <v>Nàng Nọi</v>
      </c>
      <c r="D26" s="3092"/>
      <c r="E26" s="3093" t="s">
        <v>40</v>
      </c>
      <c r="F26" s="3093"/>
      <c r="G26" s="3094" t="e">
        <f>+VLOOKUP(C26,'[14]Tong hop cong'!C14:P14,14,0)</f>
        <v>#N/A</v>
      </c>
      <c r="H26" s="3095" t="e">
        <f t="shared" si="0"/>
        <v>#N/A</v>
      </c>
      <c r="I26" s="3096">
        <f>'Mủ BN D40'!AI23</f>
        <v>328</v>
      </c>
      <c r="J26" s="3096">
        <f t="shared" si="1"/>
        <v>131.20000000000002</v>
      </c>
      <c r="K26" s="3096" t="s">
        <v>52</v>
      </c>
      <c r="L26" s="3097">
        <f t="shared" si="2"/>
        <v>577872.10559999989</v>
      </c>
      <c r="M26" s="3098" t="e">
        <f>+VLOOKUP(C26,'[14]Tong hop cong'!C14:T21,18,0)</f>
        <v>#N/A</v>
      </c>
      <c r="N26" s="3098" t="e">
        <f>+VLOOKUP(C26,'[14]Tong hop cong'!C14:U20,19,0)</f>
        <v>#N/A</v>
      </c>
      <c r="O26" s="3098"/>
      <c r="P26" s="3098"/>
      <c r="Q26" s="3099" t="e">
        <f>((M26*(46.1*$E$12))+(N26*(76.9*$E$12))+(O26*(76.8*$E$12))+(P26*(107.6*$E$12)))+((M26*#REF!)+(N26*#REF!)+(O26*#REF!)+(P26*#REF!))</f>
        <v>#N/A</v>
      </c>
      <c r="R26" s="3099"/>
      <c r="T26" s="2053">
        <v>48.808837387473659</v>
      </c>
    </row>
    <row r="27" spans="1:20" s="2053" customFormat="1" ht="22.5">
      <c r="A27" s="3090">
        <v>10</v>
      </c>
      <c r="B27" s="3091"/>
      <c r="C27" s="3166" t="str">
        <f>'Mủ BN D40'!C24</f>
        <v>Thảo Khon</v>
      </c>
      <c r="D27" s="3092"/>
      <c r="E27" s="3093"/>
      <c r="F27" s="3093"/>
      <c r="G27" s="3094"/>
      <c r="H27" s="3095"/>
      <c r="I27" s="3096">
        <f>'Mủ BN D40'!AI24</f>
        <v>226</v>
      </c>
      <c r="J27" s="3096">
        <f t="shared" si="1"/>
        <v>90.4</v>
      </c>
      <c r="K27" s="3096" t="s">
        <v>52</v>
      </c>
      <c r="L27" s="3097">
        <f t="shared" si="2"/>
        <v>398167.97519999993</v>
      </c>
      <c r="M27" s="3098"/>
      <c r="N27" s="3098"/>
      <c r="O27" s="3098"/>
      <c r="P27" s="3098"/>
      <c r="Q27" s="3099"/>
      <c r="R27" s="3099"/>
    </row>
    <row r="28" spans="1:20" s="2053" customFormat="1" ht="22.5">
      <c r="A28" s="3090">
        <v>11</v>
      </c>
      <c r="B28" s="3091"/>
      <c r="C28" s="3166" t="str">
        <f>'Mủ BN D40'!C25</f>
        <v>Thảo Tưng</v>
      </c>
      <c r="D28" s="3092"/>
      <c r="E28" s="3093"/>
      <c r="F28" s="3093"/>
      <c r="G28" s="3094"/>
      <c r="H28" s="3095"/>
      <c r="I28" s="3096">
        <f>'Mủ BN D40'!AI25</f>
        <v>150</v>
      </c>
      <c r="J28" s="3096">
        <f t="shared" si="1"/>
        <v>60</v>
      </c>
      <c r="K28" s="3096" t="s">
        <v>92</v>
      </c>
      <c r="L28" s="3097">
        <f t="shared" si="2"/>
        <v>252437.75999999995</v>
      </c>
      <c r="M28" s="3098"/>
      <c r="N28" s="3098"/>
      <c r="O28" s="3098"/>
      <c r="P28" s="3098"/>
      <c r="Q28" s="3099"/>
      <c r="R28" s="3099"/>
    </row>
    <row r="29" spans="1:20" s="2053" customFormat="1" ht="22.5">
      <c r="A29" s="3090">
        <v>15</v>
      </c>
      <c r="B29" s="3091"/>
      <c r="C29" s="3166" t="str">
        <f>'Mủ BN D40'!C26</f>
        <v>Thảo Bắt</v>
      </c>
      <c r="D29" s="3092"/>
      <c r="E29" s="3093"/>
      <c r="F29" s="3093"/>
      <c r="G29" s="3094"/>
      <c r="H29" s="3095"/>
      <c r="I29" s="3096">
        <f>'Mủ BN D40'!AI26</f>
        <v>0</v>
      </c>
      <c r="J29" s="3096">
        <f>I29*T26/100</f>
        <v>0</v>
      </c>
      <c r="K29" s="3096" t="s">
        <v>52</v>
      </c>
      <c r="L29" s="3097">
        <f t="shared" ref="L29" si="4">IF(K29="A",(J29*((6.1+0.6)*$E$12)),IF(K29="B",(J29*((5.8+0.6)*$E$12)),IF(K29="C",(J29*((5.5+0.6)*$E$12)),IF(K29="D",(J29*((5.2+0.6)*$E$12)),0))))</f>
        <v>0</v>
      </c>
      <c r="M29" s="3098"/>
      <c r="N29" s="3098"/>
      <c r="O29" s="3098"/>
      <c r="P29" s="3098"/>
      <c r="Q29" s="3099"/>
      <c r="R29" s="3099"/>
    </row>
    <row r="30" spans="1:20" s="3107" customFormat="1">
      <c r="A30" s="4391" t="s">
        <v>688</v>
      </c>
      <c r="B30" s="4391"/>
      <c r="C30" s="4391"/>
      <c r="D30" s="4391"/>
      <c r="E30" s="4391"/>
      <c r="F30" s="3103"/>
      <c r="G30" s="3104" t="e">
        <f t="shared" ref="G30:Q30" si="5">SUM(G15:G26)</f>
        <v>#N/A</v>
      </c>
      <c r="H30" s="3104" t="e">
        <f t="shared" si="5"/>
        <v>#N/A</v>
      </c>
      <c r="I30" s="3105">
        <f>SUM(I15:I29)</f>
        <v>2735</v>
      </c>
      <c r="J30" s="3105">
        <f>SUM(J15:J29)</f>
        <v>1094</v>
      </c>
      <c r="K30" s="3105"/>
      <c r="L30" s="3105">
        <f>SUM(L15:L29)</f>
        <v>4720954.2503999993</v>
      </c>
      <c r="M30" s="3104" t="e">
        <f t="shared" si="5"/>
        <v>#N/A</v>
      </c>
      <c r="N30" s="3104" t="e">
        <f t="shared" si="5"/>
        <v>#N/A</v>
      </c>
      <c r="O30" s="3104">
        <f t="shared" si="5"/>
        <v>0</v>
      </c>
      <c r="P30" s="3104">
        <f t="shared" si="5"/>
        <v>0</v>
      </c>
      <c r="Q30" s="3104" t="e">
        <f t="shared" si="5"/>
        <v>#N/A</v>
      </c>
      <c r="R30" s="3104"/>
      <c r="S30" s="3106"/>
    </row>
    <row r="31" spans="1:20" s="3075" customFormat="1">
      <c r="A31" s="4102" t="s">
        <v>1550</v>
      </c>
      <c r="B31" s="4102"/>
      <c r="C31" s="4102"/>
      <c r="D31" s="4102"/>
      <c r="E31" s="4102"/>
      <c r="F31" s="4102"/>
      <c r="G31" s="4102"/>
      <c r="H31" s="4102"/>
      <c r="I31" s="4102"/>
      <c r="J31" s="4102"/>
      <c r="K31" s="4102"/>
      <c r="L31" s="4102"/>
      <c r="M31" s="4102"/>
      <c r="N31" s="4102"/>
      <c r="O31" s="4102"/>
      <c r="P31" s="4102"/>
      <c r="Q31" s="4102"/>
      <c r="R31" s="4102"/>
    </row>
    <row r="32" spans="1:20">
      <c r="L32" s="4384" t="s">
        <v>1542</v>
      </c>
      <c r="M32" s="4384"/>
      <c r="N32" s="4384"/>
      <c r="O32" s="4384"/>
      <c r="P32" s="4384"/>
      <c r="Q32" s="4384"/>
      <c r="R32" s="4384"/>
      <c r="S32" s="3111"/>
    </row>
    <row r="33" spans="1:18" s="3112" customFormat="1">
      <c r="A33" s="3112" t="s">
        <v>46</v>
      </c>
      <c r="F33" s="3113" t="s">
        <v>45</v>
      </c>
      <c r="J33" s="3112" t="s">
        <v>44</v>
      </c>
      <c r="L33" s="4380" t="s">
        <v>615</v>
      </c>
      <c r="M33" s="4380"/>
      <c r="N33" s="4380"/>
      <c r="O33" s="4380"/>
      <c r="P33" s="4380"/>
      <c r="Q33" s="4380"/>
      <c r="R33" s="4380"/>
    </row>
    <row r="34" spans="1:18">
      <c r="A34" s="3072"/>
      <c r="C34" s="3114"/>
      <c r="D34" s="3114"/>
      <c r="G34" s="3115"/>
      <c r="H34" s="3116"/>
      <c r="I34" s="3116"/>
      <c r="J34" s="3117"/>
      <c r="K34" s="3079"/>
      <c r="L34" s="3118"/>
      <c r="M34" s="3114"/>
      <c r="N34" s="3114"/>
      <c r="O34" s="3114"/>
      <c r="P34" s="3114"/>
      <c r="Q34" s="3119"/>
    </row>
    <row r="35" spans="1:18">
      <c r="A35" s="3072"/>
      <c r="C35" s="3072"/>
      <c r="D35" s="3072"/>
      <c r="G35" s="3115"/>
      <c r="K35" s="3079"/>
      <c r="L35" s="3114"/>
      <c r="N35" s="3120"/>
      <c r="P35" s="3120"/>
      <c r="Q35" s="3114"/>
    </row>
    <row r="36" spans="1:18">
      <c r="A36" s="3072"/>
      <c r="C36" s="3072"/>
      <c r="D36" s="3072"/>
      <c r="E36" s="3111"/>
      <c r="F36" s="3111"/>
      <c r="G36" s="3121"/>
      <c r="K36" s="3079"/>
      <c r="L36" s="4381"/>
      <c r="M36" s="4381"/>
    </row>
    <row r="37" spans="1:18">
      <c r="A37" s="3072"/>
      <c r="C37" s="3072"/>
      <c r="D37" s="3072"/>
      <c r="E37" s="3111"/>
      <c r="F37" s="3111"/>
      <c r="G37" s="3121"/>
      <c r="K37" s="3079"/>
      <c r="L37" s="3122"/>
      <c r="M37" s="3122"/>
      <c r="O37" s="3122"/>
    </row>
    <row r="38" spans="1:18">
      <c r="A38" s="3072"/>
      <c r="C38" s="3072"/>
      <c r="D38" s="3072"/>
      <c r="G38" s="3123"/>
      <c r="K38" s="3079"/>
      <c r="L38" s="3072"/>
      <c r="M38" s="3124"/>
      <c r="N38" s="4382"/>
      <c r="O38" s="4382"/>
      <c r="P38" s="4382"/>
      <c r="Q38" s="4382"/>
    </row>
    <row r="39" spans="1:18">
      <c r="A39" s="3072"/>
      <c r="C39" s="3072"/>
      <c r="D39" s="3072"/>
      <c r="E39" s="3125"/>
      <c r="F39" s="3125"/>
      <c r="G39" s="3126"/>
      <c r="H39" s="3121"/>
      <c r="I39" s="3121"/>
      <c r="J39" s="4383"/>
      <c r="K39" s="4383"/>
      <c r="L39" s="4383"/>
      <c r="M39" s="4383"/>
      <c r="N39" s="4383"/>
      <c r="O39" s="4383"/>
      <c r="P39" s="4383"/>
      <c r="Q39" s="4383"/>
      <c r="R39" s="4383"/>
    </row>
    <row r="40" spans="1:18" s="3127" customFormat="1" ht="17.25">
      <c r="G40" s="3128"/>
      <c r="H40" s="3129"/>
      <c r="I40" s="3129"/>
      <c r="J40" s="3130"/>
      <c r="K40" s="3131"/>
      <c r="L40" s="3132"/>
      <c r="M40" s="3133"/>
      <c r="N40" s="3133"/>
      <c r="O40" s="3133"/>
      <c r="P40" s="3133"/>
    </row>
    <row r="41" spans="1:18">
      <c r="E41" s="3134"/>
      <c r="F41" s="3134"/>
      <c r="R41" s="3111"/>
    </row>
    <row r="42" spans="1:18">
      <c r="A42" s="3135"/>
      <c r="M42" s="3117"/>
      <c r="N42" s="3117"/>
      <c r="O42" s="3117"/>
      <c r="P42" s="3117"/>
      <c r="Q42" s="3117"/>
      <c r="R42" s="3122"/>
    </row>
    <row r="43" spans="1:18">
      <c r="A43" s="3136"/>
      <c r="N43" s="3121"/>
      <c r="P43" s="3121"/>
      <c r="Q43" s="3111"/>
    </row>
    <row r="44" spans="1:18">
      <c r="A44" s="3136"/>
      <c r="Q44" s="3134"/>
    </row>
    <row r="45" spans="1:18">
      <c r="L45" s="3137"/>
    </row>
  </sheetData>
  <mergeCells count="25">
    <mergeCell ref="A9:R9"/>
    <mergeCell ref="A1:R1"/>
    <mergeCell ref="A2:R2"/>
    <mergeCell ref="A3:R3"/>
    <mergeCell ref="A4:G4"/>
    <mergeCell ref="A5:G5"/>
    <mergeCell ref="L32:R32"/>
    <mergeCell ref="E10:G10"/>
    <mergeCell ref="E12:G12"/>
    <mergeCell ref="A13:A14"/>
    <mergeCell ref="C13:C14"/>
    <mergeCell ref="D13:D14"/>
    <mergeCell ref="E13:E14"/>
    <mergeCell ref="F13:F14"/>
    <mergeCell ref="G13:H13"/>
    <mergeCell ref="I13:L13"/>
    <mergeCell ref="M13:Q13"/>
    <mergeCell ref="R13:R14"/>
    <mergeCell ref="A30:E30"/>
    <mergeCell ref="A31:R31"/>
    <mergeCell ref="L33:R33"/>
    <mergeCell ref="L36:M36"/>
    <mergeCell ref="N38:Q38"/>
    <mergeCell ref="J39:M39"/>
    <mergeCell ref="N39:R3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49"/>
  <sheetViews>
    <sheetView topLeftCell="A238" zoomScale="85" zoomScaleNormal="85" workbookViewId="0">
      <selection activeCell="A419" sqref="A419:O419"/>
    </sheetView>
  </sheetViews>
  <sheetFormatPr defaultColWidth="8" defaultRowHeight="16.5"/>
  <cols>
    <col min="1" max="1" width="5.625" style="2168" customWidth="1"/>
    <col min="2" max="2" width="5.375" style="3274" customWidth="1"/>
    <col min="3" max="3" width="8" style="2172" hidden="1" customWidth="1"/>
    <col min="4" max="4" width="16.125" style="2170" customWidth="1"/>
    <col min="5" max="5" width="11.875" style="2170" customWidth="1"/>
    <col min="6" max="6" width="13.75" style="2173" customWidth="1"/>
    <col min="7" max="7" width="14.625" style="2170" customWidth="1"/>
    <col min="8" max="8" width="14.125" style="2170" customWidth="1"/>
    <col min="9" max="9" width="9.375" style="2170" hidden="1" customWidth="1"/>
    <col min="10" max="10" width="12.875" style="2170" hidden="1" customWidth="1"/>
    <col min="11" max="11" width="16" style="2170" customWidth="1"/>
    <col min="12" max="12" width="12.625" style="2170" hidden="1" customWidth="1"/>
    <col min="13" max="13" width="14" style="2170" customWidth="1"/>
    <col min="14" max="14" width="8" style="2170" hidden="1" customWidth="1"/>
    <col min="15" max="15" width="16.375" style="2174" customWidth="1"/>
    <col min="16" max="17" width="8" style="2170"/>
    <col min="18" max="18" width="17.75" style="2170" customWidth="1"/>
    <col min="19" max="16384" width="8" style="2170"/>
  </cols>
  <sheetData>
    <row r="1" spans="1:19" ht="22.5">
      <c r="B1" s="4042" t="s">
        <v>165</v>
      </c>
      <c r="C1" s="4042"/>
      <c r="D1" s="4042"/>
      <c r="E1" s="4042"/>
      <c r="F1" s="4042"/>
      <c r="G1" s="4042"/>
      <c r="H1" s="4042"/>
      <c r="I1" s="4042"/>
      <c r="J1" s="4042"/>
      <c r="K1" s="4042"/>
      <c r="L1" s="4042"/>
      <c r="M1" s="4042"/>
      <c r="N1" s="4042"/>
      <c r="O1" s="4042"/>
      <c r="P1" s="2169"/>
      <c r="Q1" s="2169"/>
      <c r="R1" s="2169"/>
      <c r="S1" s="2169"/>
    </row>
    <row r="2" spans="1:19" ht="22.5">
      <c r="B2" s="4042" t="s">
        <v>55</v>
      </c>
      <c r="C2" s="4042"/>
      <c r="D2" s="4042"/>
      <c r="E2" s="4042"/>
      <c r="F2" s="4042"/>
      <c r="G2" s="4042"/>
      <c r="H2" s="4042"/>
      <c r="I2" s="4042"/>
      <c r="J2" s="4042"/>
      <c r="K2" s="4042"/>
      <c r="L2" s="4042"/>
      <c r="M2" s="4042"/>
      <c r="N2" s="4042"/>
      <c r="O2" s="4042"/>
      <c r="P2" s="2169"/>
      <c r="Q2" s="2169"/>
      <c r="R2" s="2169"/>
      <c r="S2" s="2169"/>
    </row>
    <row r="3" spans="1:19" ht="15" customHeight="1">
      <c r="B3" s="4043" t="s">
        <v>992</v>
      </c>
      <c r="C3" s="4043"/>
      <c r="D3" s="4043"/>
      <c r="E3" s="4043"/>
      <c r="F3" s="4043"/>
      <c r="G3" s="4043"/>
      <c r="H3" s="4043"/>
      <c r="I3" s="4043"/>
      <c r="J3" s="4043"/>
      <c r="K3" s="4043"/>
      <c r="L3" s="4043"/>
      <c r="M3" s="4043"/>
      <c r="N3" s="4043"/>
      <c r="O3" s="4043"/>
      <c r="P3" s="2169"/>
      <c r="Q3" s="2169"/>
      <c r="R3" s="2169"/>
      <c r="S3" s="2169"/>
    </row>
    <row r="5" spans="1:19" s="2176" customFormat="1">
      <c r="A5" s="4420" t="s">
        <v>574</v>
      </c>
      <c r="B5" s="4420"/>
      <c r="C5" s="4420"/>
      <c r="D5" s="4420"/>
      <c r="E5" s="4420"/>
      <c r="F5" s="4420"/>
      <c r="G5" s="4420"/>
      <c r="H5" s="2227"/>
      <c r="I5" s="2227"/>
      <c r="J5" s="2227"/>
      <c r="K5" s="2227"/>
      <c r="L5" s="2175"/>
      <c r="M5" s="2175"/>
      <c r="N5" s="2175"/>
      <c r="O5" s="2175"/>
    </row>
    <row r="6" spans="1:19" s="2176" customFormat="1">
      <c r="A6" s="4056" t="s">
        <v>1192</v>
      </c>
      <c r="B6" s="4056"/>
      <c r="C6" s="4056"/>
      <c r="D6" s="4056"/>
      <c r="E6" s="4056"/>
      <c r="F6" s="4056"/>
      <c r="G6" s="4056"/>
      <c r="H6" s="2210"/>
      <c r="I6" s="2210"/>
      <c r="J6" s="2210"/>
      <c r="K6" s="2210"/>
      <c r="L6" s="2175"/>
      <c r="M6" s="2175"/>
      <c r="N6" s="2175"/>
      <c r="O6" s="2175"/>
    </row>
    <row r="7" spans="1:19" s="2176" customFormat="1">
      <c r="A7" s="2168"/>
      <c r="F7" s="2177"/>
      <c r="O7" s="2174"/>
    </row>
    <row r="8" spans="1:19" s="2176" customFormat="1" ht="20.25">
      <c r="A8" s="2168"/>
      <c r="B8" s="4059" t="s">
        <v>1722</v>
      </c>
      <c r="C8" s="4059"/>
      <c r="D8" s="4059"/>
      <c r="E8" s="4059"/>
      <c r="F8" s="4059"/>
      <c r="G8" s="4059"/>
      <c r="H8" s="4059"/>
      <c r="I8" s="4059"/>
      <c r="J8" s="4059"/>
      <c r="K8" s="4059"/>
      <c r="L8" s="4059"/>
      <c r="M8" s="4059"/>
      <c r="N8" s="4059"/>
      <c r="O8" s="4059"/>
    </row>
    <row r="9" spans="1:19">
      <c r="B9" s="2178"/>
      <c r="C9" s="2179"/>
      <c r="D9" s="2174"/>
      <c r="E9" s="2174"/>
      <c r="F9" s="2180"/>
      <c r="G9" s="2174"/>
      <c r="H9" s="2174"/>
      <c r="I9" s="2174"/>
      <c r="J9" s="2174"/>
      <c r="K9" s="2174"/>
      <c r="L9" s="2174"/>
      <c r="M9" s="4044" t="s">
        <v>1154</v>
      </c>
      <c r="N9" s="4044"/>
      <c r="O9" s="4044"/>
    </row>
    <row r="10" spans="1:19" ht="29.25" customHeight="1">
      <c r="A10" s="4412" t="s">
        <v>1</v>
      </c>
      <c r="B10" s="4413"/>
      <c r="C10" s="4416" t="s">
        <v>1184</v>
      </c>
      <c r="D10" s="4413" t="s">
        <v>20</v>
      </c>
      <c r="E10" s="4417" t="s">
        <v>5</v>
      </c>
      <c r="F10" s="4409" t="s">
        <v>1185</v>
      </c>
      <c r="G10" s="4410"/>
      <c r="H10" s="4410"/>
      <c r="I10" s="4411"/>
      <c r="J10" s="4418" t="s">
        <v>1584</v>
      </c>
      <c r="K10" s="4418" t="s">
        <v>1585</v>
      </c>
      <c r="L10" s="4416" t="s">
        <v>11</v>
      </c>
      <c r="M10" s="4416" t="s">
        <v>1152</v>
      </c>
      <c r="N10" s="4416" t="s">
        <v>12</v>
      </c>
      <c r="O10" s="4416" t="s">
        <v>9</v>
      </c>
    </row>
    <row r="11" spans="1:19" ht="42.75" customHeight="1">
      <c r="A11" s="4414"/>
      <c r="B11" s="4415"/>
      <c r="C11" s="4416"/>
      <c r="D11" s="4415"/>
      <c r="E11" s="4417"/>
      <c r="F11" s="3279" t="s">
        <v>30</v>
      </c>
      <c r="G11" s="3183" t="s">
        <v>31</v>
      </c>
      <c r="H11" s="3183" t="s">
        <v>57</v>
      </c>
      <c r="I11" s="3280" t="s">
        <v>1352</v>
      </c>
      <c r="J11" s="4419"/>
      <c r="K11" s="4419"/>
      <c r="L11" s="4416"/>
      <c r="M11" s="4416"/>
      <c r="N11" s="4417"/>
      <c r="O11" s="4417"/>
      <c r="R11" s="2209"/>
    </row>
    <row r="12" spans="1:19" ht="24" customHeight="1">
      <c r="A12" s="4409" t="s">
        <v>321</v>
      </c>
      <c r="B12" s="4410"/>
      <c r="C12" s="4410"/>
      <c r="D12" s="4411"/>
      <c r="E12" s="3281"/>
      <c r="F12" s="3282">
        <f>SUM(F13:F191)</f>
        <v>54387082.812910028</v>
      </c>
      <c r="G12" s="3282">
        <f>SUM(G13:G191)</f>
        <v>94268720.003746718</v>
      </c>
      <c r="H12" s="3282">
        <f>SUM(H13:H191)</f>
        <v>61376501.345237948</v>
      </c>
      <c r="I12" s="3282"/>
      <c r="J12" s="3282"/>
      <c r="K12" s="3282">
        <f>SUM(K13:K191)</f>
        <v>210032304.16189533</v>
      </c>
      <c r="L12" s="3282">
        <f>SUM(L13:L191)</f>
        <v>0</v>
      </c>
      <c r="M12" s="3282">
        <f>SUM(M13:M191)</f>
        <v>210032304.16189533</v>
      </c>
      <c r="N12" s="3282">
        <f>SUM(N13:N191)</f>
        <v>0</v>
      </c>
      <c r="O12" s="3278"/>
      <c r="R12" s="2209"/>
    </row>
    <row r="13" spans="1:19" s="2192" customFormat="1" ht="16.5" customHeight="1">
      <c r="A13" s="2121">
        <v>1</v>
      </c>
      <c r="B13" s="2121">
        <v>1</v>
      </c>
      <c r="C13" s="3283"/>
      <c r="D13" s="3284" t="s">
        <v>1379</v>
      </c>
      <c r="E13" s="3284" t="s">
        <v>40</v>
      </c>
      <c r="F13" s="3285">
        <v>876715.49065333803</v>
      </c>
      <c r="G13" s="3285"/>
      <c r="H13" s="3285">
        <v>374488</v>
      </c>
      <c r="I13" s="3285">
        <v>0</v>
      </c>
      <c r="J13" s="3285">
        <v>0</v>
      </c>
      <c r="K13" s="3285">
        <f t="shared" ref="K13:K30" si="0">F13+G13+H13</f>
        <v>1251203.4906533379</v>
      </c>
      <c r="L13" s="3285">
        <v>0</v>
      </c>
      <c r="M13" s="3285">
        <f>K13</f>
        <v>1251203.4906533379</v>
      </c>
      <c r="N13" s="3285"/>
      <c r="O13" s="3286"/>
      <c r="P13" s="2191"/>
    </row>
    <row r="14" spans="1:19" s="2192" customFormat="1" ht="16.5" customHeight="1">
      <c r="A14" s="2121">
        <v>2</v>
      </c>
      <c r="B14" s="2121">
        <v>2</v>
      </c>
      <c r="C14" s="3283"/>
      <c r="D14" s="3284" t="s">
        <v>1380</v>
      </c>
      <c r="E14" s="3284" t="s">
        <v>40</v>
      </c>
      <c r="F14" s="3285">
        <v>876715.49065333803</v>
      </c>
      <c r="G14" s="3285"/>
      <c r="H14" s="3285">
        <v>374488</v>
      </c>
      <c r="I14" s="3285">
        <v>0</v>
      </c>
      <c r="J14" s="3285">
        <v>0</v>
      </c>
      <c r="K14" s="3285">
        <f t="shared" si="0"/>
        <v>1251203.4906533379</v>
      </c>
      <c r="L14" s="3285">
        <v>0</v>
      </c>
      <c r="M14" s="3285">
        <f t="shared" ref="M14:M77" si="1">K14</f>
        <v>1251203.4906533379</v>
      </c>
      <c r="N14" s="3285"/>
      <c r="O14" s="3286"/>
      <c r="P14" s="2191"/>
      <c r="R14" s="3253"/>
    </row>
    <row r="15" spans="1:19" s="2192" customFormat="1" ht="16.5" customHeight="1">
      <c r="A15" s="2121">
        <v>3</v>
      </c>
      <c r="B15" s="2121">
        <v>3</v>
      </c>
      <c r="C15" s="3283"/>
      <c r="D15" s="3284" t="s">
        <v>1381</v>
      </c>
      <c r="E15" s="3284" t="s">
        <v>40</v>
      </c>
      <c r="F15" s="3285">
        <v>876715.49065333803</v>
      </c>
      <c r="G15" s="3285"/>
      <c r="H15" s="3285">
        <v>374488</v>
      </c>
      <c r="I15" s="3285">
        <v>0</v>
      </c>
      <c r="J15" s="3285">
        <v>0</v>
      </c>
      <c r="K15" s="3285">
        <f t="shared" si="0"/>
        <v>1251203.4906533379</v>
      </c>
      <c r="L15" s="3285">
        <v>0</v>
      </c>
      <c r="M15" s="3285">
        <f t="shared" si="1"/>
        <v>1251203.4906533379</v>
      </c>
      <c r="N15" s="3285"/>
      <c r="O15" s="3286"/>
      <c r="P15" s="2191"/>
      <c r="R15" s="3253">
        <f>'Lương gia thuộc'!G12-'LƯƠNG TT'!G11</f>
        <v>81496949.003746718</v>
      </c>
    </row>
    <row r="16" spans="1:19" s="2192" customFormat="1" ht="16.5" customHeight="1">
      <c r="A16" s="2121">
        <v>4</v>
      </c>
      <c r="B16" s="2121">
        <v>4</v>
      </c>
      <c r="C16" s="3283"/>
      <c r="D16" s="3284" t="s">
        <v>1382</v>
      </c>
      <c r="E16" s="3284" t="s">
        <v>40</v>
      </c>
      <c r="F16" s="3285">
        <v>876715.49065333803</v>
      </c>
      <c r="G16" s="3285"/>
      <c r="H16" s="3285">
        <v>374488</v>
      </c>
      <c r="I16" s="3285">
        <v>0</v>
      </c>
      <c r="J16" s="3285">
        <v>0</v>
      </c>
      <c r="K16" s="3285">
        <f t="shared" si="0"/>
        <v>1251203.4906533379</v>
      </c>
      <c r="L16" s="3285">
        <v>0</v>
      </c>
      <c r="M16" s="3285">
        <f t="shared" si="1"/>
        <v>1251203.4906533379</v>
      </c>
      <c r="N16" s="3285"/>
      <c r="O16" s="3286"/>
      <c r="P16" s="2191"/>
      <c r="R16" s="3253"/>
    </row>
    <row r="17" spans="1:18" s="2192" customFormat="1" ht="16.5" customHeight="1">
      <c r="A17" s="2121">
        <v>5</v>
      </c>
      <c r="B17" s="2121">
        <v>5</v>
      </c>
      <c r="C17" s="3283"/>
      <c r="D17" s="3284" t="s">
        <v>1383</v>
      </c>
      <c r="E17" s="3284" t="s">
        <v>40</v>
      </c>
      <c r="F17" s="3285">
        <v>876715.49065333803</v>
      </c>
      <c r="G17" s="3285"/>
      <c r="H17" s="3285">
        <v>374488</v>
      </c>
      <c r="I17" s="3285">
        <v>0</v>
      </c>
      <c r="J17" s="3285">
        <v>0</v>
      </c>
      <c r="K17" s="3285">
        <f t="shared" si="0"/>
        <v>1251203.4906533379</v>
      </c>
      <c r="L17" s="3285">
        <v>0</v>
      </c>
      <c r="M17" s="3285">
        <f t="shared" si="1"/>
        <v>1251203.4906533379</v>
      </c>
      <c r="N17" s="3285"/>
      <c r="O17" s="3286"/>
      <c r="P17" s="2191"/>
      <c r="R17" s="3253">
        <f>F12-'LƯƠNG TT'!F11</f>
        <v>54387082.812910028</v>
      </c>
    </row>
    <row r="18" spans="1:18" s="2192" customFormat="1" ht="16.5" customHeight="1">
      <c r="A18" s="2121">
        <v>6</v>
      </c>
      <c r="B18" s="2121">
        <v>6</v>
      </c>
      <c r="C18" s="3283"/>
      <c r="D18" s="3284" t="s">
        <v>949</v>
      </c>
      <c r="E18" s="3284" t="s">
        <v>40</v>
      </c>
      <c r="F18" s="3285">
        <v>876715.49065333803</v>
      </c>
      <c r="G18" s="3285"/>
      <c r="H18" s="3285">
        <v>374488</v>
      </c>
      <c r="I18" s="3285">
        <v>0</v>
      </c>
      <c r="J18" s="3285">
        <v>0</v>
      </c>
      <c r="K18" s="3285">
        <f t="shared" si="0"/>
        <v>1251203.4906533379</v>
      </c>
      <c r="L18" s="3285">
        <v>0</v>
      </c>
      <c r="M18" s="3285">
        <f t="shared" si="1"/>
        <v>1251203.4906533379</v>
      </c>
      <c r="N18" s="3285"/>
      <c r="O18" s="3286"/>
      <c r="P18" s="2191"/>
      <c r="R18" s="3253">
        <f>H12-'LƯƠNG TT'!H11</f>
        <v>8154169.345237948</v>
      </c>
    </row>
    <row r="19" spans="1:18" s="2192" customFormat="1" ht="16.5" customHeight="1">
      <c r="A19" s="2121">
        <v>7</v>
      </c>
      <c r="B19" s="2121">
        <v>7</v>
      </c>
      <c r="C19" s="3283"/>
      <c r="D19" s="3284" t="s">
        <v>958</v>
      </c>
      <c r="E19" s="3284" t="s">
        <v>40</v>
      </c>
      <c r="F19" s="3285">
        <v>876715.49065333803</v>
      </c>
      <c r="G19" s="3285"/>
      <c r="H19" s="3285">
        <v>374488</v>
      </c>
      <c r="I19" s="3285">
        <v>0</v>
      </c>
      <c r="J19" s="3285">
        <v>0</v>
      </c>
      <c r="K19" s="3285">
        <f t="shared" si="0"/>
        <v>1251203.4906533379</v>
      </c>
      <c r="L19" s="3285">
        <v>0</v>
      </c>
      <c r="M19" s="3285">
        <f t="shared" si="1"/>
        <v>1251203.4906533379</v>
      </c>
      <c r="N19" s="3285"/>
      <c r="O19" s="3286"/>
      <c r="P19" s="2191"/>
    </row>
    <row r="20" spans="1:18" s="2192" customFormat="1" ht="16.5" customHeight="1">
      <c r="A20" s="2121">
        <v>8</v>
      </c>
      <c r="B20" s="2121">
        <v>8</v>
      </c>
      <c r="C20" s="3283"/>
      <c r="D20" s="3284" t="s">
        <v>661</v>
      </c>
      <c r="E20" s="3284" t="s">
        <v>40</v>
      </c>
      <c r="F20" s="3285">
        <v>876715.49065333803</v>
      </c>
      <c r="G20" s="3285"/>
      <c r="H20" s="3285">
        <v>374488</v>
      </c>
      <c r="I20" s="3285">
        <v>0</v>
      </c>
      <c r="J20" s="3285">
        <v>0</v>
      </c>
      <c r="K20" s="3285">
        <f t="shared" si="0"/>
        <v>1251203.4906533379</v>
      </c>
      <c r="L20" s="3285">
        <v>0</v>
      </c>
      <c r="M20" s="3285">
        <f t="shared" si="1"/>
        <v>1251203.4906533379</v>
      </c>
      <c r="N20" s="3285"/>
      <c r="O20" s="3286"/>
      <c r="P20" s="2191"/>
      <c r="R20" s="3253"/>
    </row>
    <row r="21" spans="1:18" s="2192" customFormat="1" ht="16.5" customHeight="1">
      <c r="A21" s="2121">
        <v>9</v>
      </c>
      <c r="B21" s="2121">
        <v>9</v>
      </c>
      <c r="C21" s="3283"/>
      <c r="D21" s="3284" t="s">
        <v>1384</v>
      </c>
      <c r="E21" s="3284" t="s">
        <v>40</v>
      </c>
      <c r="F21" s="3285">
        <v>876715.49065333803</v>
      </c>
      <c r="G21" s="3285"/>
      <c r="H21" s="3285">
        <v>374488</v>
      </c>
      <c r="I21" s="3285">
        <v>0</v>
      </c>
      <c r="J21" s="3285">
        <v>0</v>
      </c>
      <c r="K21" s="3285">
        <f t="shared" si="0"/>
        <v>1251203.4906533379</v>
      </c>
      <c r="L21" s="3285">
        <v>0</v>
      </c>
      <c r="M21" s="3285">
        <f t="shared" si="1"/>
        <v>1251203.4906533379</v>
      </c>
      <c r="N21" s="3285"/>
      <c r="O21" s="3286"/>
      <c r="P21" s="2191"/>
    </row>
    <row r="22" spans="1:18" s="2192" customFormat="1" ht="16.5" customHeight="1">
      <c r="A22" s="2121">
        <v>10</v>
      </c>
      <c r="B22" s="2121">
        <v>10</v>
      </c>
      <c r="C22" s="3283"/>
      <c r="D22" s="3284" t="s">
        <v>925</v>
      </c>
      <c r="E22" s="3284" t="s">
        <v>40</v>
      </c>
      <c r="F22" s="3285">
        <v>876715.49065333803</v>
      </c>
      <c r="G22" s="3285"/>
      <c r="H22" s="3285">
        <v>374488</v>
      </c>
      <c r="I22" s="3285">
        <v>0</v>
      </c>
      <c r="J22" s="3285">
        <v>0</v>
      </c>
      <c r="K22" s="3285">
        <f t="shared" si="0"/>
        <v>1251203.4906533379</v>
      </c>
      <c r="L22" s="3285">
        <v>0</v>
      </c>
      <c r="M22" s="3285">
        <f t="shared" si="1"/>
        <v>1251203.4906533379</v>
      </c>
      <c r="N22" s="3285"/>
      <c r="O22" s="3286"/>
      <c r="P22" s="2191"/>
    </row>
    <row r="23" spans="1:18" s="2192" customFormat="1" ht="16.5" customHeight="1">
      <c r="A23" s="2121">
        <v>11</v>
      </c>
      <c r="B23" s="2121">
        <v>11</v>
      </c>
      <c r="C23" s="3283"/>
      <c r="D23" s="3284" t="s">
        <v>940</v>
      </c>
      <c r="E23" s="3284" t="s">
        <v>40</v>
      </c>
      <c r="F23" s="3285">
        <v>876715.49065333803</v>
      </c>
      <c r="G23" s="3285"/>
      <c r="H23" s="3285">
        <v>374488</v>
      </c>
      <c r="I23" s="3285">
        <v>0</v>
      </c>
      <c r="J23" s="3285">
        <v>0</v>
      </c>
      <c r="K23" s="3285">
        <f t="shared" si="0"/>
        <v>1251203.4906533379</v>
      </c>
      <c r="L23" s="3285">
        <v>0</v>
      </c>
      <c r="M23" s="3285">
        <f t="shared" si="1"/>
        <v>1251203.4906533379</v>
      </c>
      <c r="N23" s="3285"/>
      <c r="O23" s="3286"/>
      <c r="P23" s="2191"/>
    </row>
    <row r="24" spans="1:18" s="2192" customFormat="1" ht="16.5" customHeight="1">
      <c r="A24" s="2121">
        <v>12</v>
      </c>
      <c r="B24" s="2121">
        <v>12</v>
      </c>
      <c r="C24" s="3283"/>
      <c r="D24" s="3284" t="s">
        <v>941</v>
      </c>
      <c r="E24" s="3284" t="s">
        <v>40</v>
      </c>
      <c r="F24" s="3285">
        <v>876715.49065333803</v>
      </c>
      <c r="G24" s="3285"/>
      <c r="H24" s="3285">
        <v>374488</v>
      </c>
      <c r="I24" s="3285">
        <v>0</v>
      </c>
      <c r="J24" s="3285">
        <v>0</v>
      </c>
      <c r="K24" s="3285">
        <f t="shared" si="0"/>
        <v>1251203.4906533379</v>
      </c>
      <c r="L24" s="3285">
        <v>0</v>
      </c>
      <c r="M24" s="3285">
        <f t="shared" si="1"/>
        <v>1251203.4906533379</v>
      </c>
      <c r="N24" s="3285"/>
      <c r="O24" s="3286"/>
      <c r="P24" s="2191"/>
    </row>
    <row r="25" spans="1:18" s="2192" customFormat="1" ht="16.5" customHeight="1">
      <c r="A25" s="2121">
        <v>13</v>
      </c>
      <c r="B25" s="2121">
        <v>13</v>
      </c>
      <c r="C25" s="3283"/>
      <c r="D25" s="3284" t="s">
        <v>1385</v>
      </c>
      <c r="E25" s="3284" t="s">
        <v>40</v>
      </c>
      <c r="F25" s="3285">
        <v>876715.49065333803</v>
      </c>
      <c r="G25" s="3285"/>
      <c r="H25" s="3285">
        <v>374488</v>
      </c>
      <c r="I25" s="3285">
        <v>0</v>
      </c>
      <c r="J25" s="3285">
        <v>0</v>
      </c>
      <c r="K25" s="3285">
        <f t="shared" si="0"/>
        <v>1251203.4906533379</v>
      </c>
      <c r="L25" s="3285">
        <v>0</v>
      </c>
      <c r="M25" s="3285">
        <f t="shared" si="1"/>
        <v>1251203.4906533379</v>
      </c>
      <c r="N25" s="3285"/>
      <c r="O25" s="3286"/>
      <c r="P25" s="2191"/>
    </row>
    <row r="26" spans="1:18" s="2192" customFormat="1" ht="16.5" customHeight="1">
      <c r="A26" s="2121">
        <v>14</v>
      </c>
      <c r="B26" s="2121">
        <v>14</v>
      </c>
      <c r="C26" s="3283"/>
      <c r="D26" s="3284" t="s">
        <v>1386</v>
      </c>
      <c r="E26" s="3284" t="s">
        <v>40</v>
      </c>
      <c r="F26" s="3285">
        <v>876715.49065333803</v>
      </c>
      <c r="G26" s="3285"/>
      <c r="H26" s="3285">
        <v>374488</v>
      </c>
      <c r="I26" s="3285">
        <v>0</v>
      </c>
      <c r="J26" s="3285">
        <v>0</v>
      </c>
      <c r="K26" s="3285">
        <f t="shared" si="0"/>
        <v>1251203.4906533379</v>
      </c>
      <c r="L26" s="3285">
        <v>0</v>
      </c>
      <c r="M26" s="3285">
        <f t="shared" si="1"/>
        <v>1251203.4906533379</v>
      </c>
      <c r="N26" s="3285"/>
      <c r="O26" s="3286"/>
      <c r="P26" s="2191"/>
    </row>
    <row r="27" spans="1:18" s="2192" customFormat="1" ht="16.5" customHeight="1">
      <c r="A27" s="2121">
        <v>15</v>
      </c>
      <c r="B27" s="2121">
        <v>15</v>
      </c>
      <c r="C27" s="3283"/>
      <c r="D27" s="3284" t="s">
        <v>1387</v>
      </c>
      <c r="E27" s="3284" t="s">
        <v>40</v>
      </c>
      <c r="F27" s="3285">
        <v>876715.49065333803</v>
      </c>
      <c r="G27" s="3285"/>
      <c r="H27" s="3285">
        <v>374488</v>
      </c>
      <c r="I27" s="3285">
        <v>0</v>
      </c>
      <c r="J27" s="3285">
        <v>0</v>
      </c>
      <c r="K27" s="3285">
        <f t="shared" si="0"/>
        <v>1251203.4906533379</v>
      </c>
      <c r="L27" s="3285">
        <v>0</v>
      </c>
      <c r="M27" s="3285">
        <f t="shared" si="1"/>
        <v>1251203.4906533379</v>
      </c>
      <c r="N27" s="3285"/>
      <c r="O27" s="3286"/>
      <c r="P27" s="2191"/>
    </row>
    <row r="28" spans="1:18" s="2192" customFormat="1" ht="16.5" customHeight="1">
      <c r="A28" s="2121">
        <v>16</v>
      </c>
      <c r="B28" s="2121">
        <v>16</v>
      </c>
      <c r="C28" s="3283"/>
      <c r="D28" s="3284" t="s">
        <v>1388</v>
      </c>
      <c r="E28" s="3284" t="s">
        <v>40</v>
      </c>
      <c r="F28" s="3285">
        <v>487736.73913173901</v>
      </c>
      <c r="G28" s="3285"/>
      <c r="H28" s="3285">
        <v>374488</v>
      </c>
      <c r="I28" s="3285">
        <v>0</v>
      </c>
      <c r="J28" s="3285">
        <v>0</v>
      </c>
      <c r="K28" s="3285">
        <f t="shared" si="0"/>
        <v>862224.73913173901</v>
      </c>
      <c r="L28" s="3285">
        <v>0</v>
      </c>
      <c r="M28" s="3285">
        <f t="shared" si="1"/>
        <v>862224.73913173901</v>
      </c>
      <c r="N28" s="3285"/>
      <c r="O28" s="3286"/>
      <c r="P28" s="2191"/>
    </row>
    <row r="29" spans="1:18" s="2192" customFormat="1" ht="16.5" customHeight="1">
      <c r="A29" s="2121">
        <v>17</v>
      </c>
      <c r="B29" s="2121">
        <v>17</v>
      </c>
      <c r="C29" s="3283"/>
      <c r="D29" s="3284" t="s">
        <v>1389</v>
      </c>
      <c r="E29" s="3284" t="s">
        <v>40</v>
      </c>
      <c r="F29" s="3285">
        <v>487736.73913173901</v>
      </c>
      <c r="G29" s="3285"/>
      <c r="H29" s="3285">
        <f>674831-89683</f>
        <v>585148</v>
      </c>
      <c r="I29" s="3285">
        <v>0</v>
      </c>
      <c r="J29" s="3285">
        <v>0</v>
      </c>
      <c r="K29" s="3285">
        <f t="shared" si="0"/>
        <v>1072884.7391317389</v>
      </c>
      <c r="L29" s="3285">
        <v>0</v>
      </c>
      <c r="M29" s="3285">
        <f t="shared" si="1"/>
        <v>1072884.7391317389</v>
      </c>
      <c r="N29" s="3285"/>
      <c r="O29" s="3286"/>
      <c r="P29" s="2191"/>
    </row>
    <row r="30" spans="1:18" s="2192" customFormat="1" ht="16.5" customHeight="1">
      <c r="A30" s="2121">
        <v>18</v>
      </c>
      <c r="B30" s="2121">
        <v>18</v>
      </c>
      <c r="C30" s="3283"/>
      <c r="D30" s="3284" t="s">
        <v>1390</v>
      </c>
      <c r="E30" s="3284" t="s">
        <v>40</v>
      </c>
      <c r="F30" s="3285">
        <v>987736.73913173901</v>
      </c>
      <c r="G30" s="3285"/>
      <c r="H30" s="3285">
        <f>674831-505854</f>
        <v>168977</v>
      </c>
      <c r="I30" s="3285">
        <v>0</v>
      </c>
      <c r="J30" s="3285">
        <v>0</v>
      </c>
      <c r="K30" s="3285">
        <f t="shared" si="0"/>
        <v>1156713.7391317389</v>
      </c>
      <c r="L30" s="3285">
        <v>0</v>
      </c>
      <c r="M30" s="3285">
        <f t="shared" si="1"/>
        <v>1156713.7391317389</v>
      </c>
      <c r="N30" s="3285"/>
      <c r="O30" s="3286"/>
      <c r="P30" s="2191"/>
    </row>
    <row r="31" spans="1:18" s="2192" customFormat="1" ht="16.5" customHeight="1">
      <c r="A31" s="2121">
        <v>19</v>
      </c>
      <c r="B31" s="2121">
        <v>19</v>
      </c>
      <c r="C31" s="3283"/>
      <c r="D31" s="3284" t="s">
        <v>1391</v>
      </c>
      <c r="E31" s="3284" t="s">
        <v>40</v>
      </c>
      <c r="F31" s="3285">
        <v>487736.73913173901</v>
      </c>
      <c r="G31" s="3285"/>
      <c r="H31" s="3285">
        <v>674831</v>
      </c>
      <c r="I31" s="3285">
        <v>0</v>
      </c>
      <c r="J31" s="3285">
        <v>0</v>
      </c>
      <c r="K31" s="3285">
        <f t="shared" ref="K31:K77" si="2">F31+G31+H31</f>
        <v>1162567.7391317389</v>
      </c>
      <c r="L31" s="3285">
        <v>0</v>
      </c>
      <c r="M31" s="3285">
        <f t="shared" si="1"/>
        <v>1162567.7391317389</v>
      </c>
      <c r="N31" s="3285"/>
      <c r="O31" s="3286"/>
      <c r="P31" s="2191"/>
    </row>
    <row r="32" spans="1:18" s="2192" customFormat="1" ht="16.5" customHeight="1">
      <c r="A32" s="2121">
        <v>20</v>
      </c>
      <c r="B32" s="2121">
        <v>20</v>
      </c>
      <c r="C32" s="3283"/>
      <c r="D32" s="3284" t="s">
        <v>1392</v>
      </c>
      <c r="E32" s="3284" t="s">
        <v>40</v>
      </c>
      <c r="F32" s="3285">
        <v>487736.73913173901</v>
      </c>
      <c r="G32" s="3285"/>
      <c r="H32" s="3285">
        <v>674831</v>
      </c>
      <c r="I32" s="3285">
        <v>0</v>
      </c>
      <c r="J32" s="3285">
        <v>0</v>
      </c>
      <c r="K32" s="3285">
        <f t="shared" si="2"/>
        <v>1162567.7391317389</v>
      </c>
      <c r="L32" s="3285">
        <v>0</v>
      </c>
      <c r="M32" s="3285">
        <f t="shared" si="1"/>
        <v>1162567.7391317389</v>
      </c>
      <c r="N32" s="3285"/>
      <c r="O32" s="3286"/>
      <c r="P32" s="2191"/>
    </row>
    <row r="33" spans="1:16" s="2192" customFormat="1" ht="16.5" customHeight="1">
      <c r="A33" s="2121">
        <v>21</v>
      </c>
      <c r="B33" s="2121">
        <v>21</v>
      </c>
      <c r="C33" s="3283"/>
      <c r="D33" s="3284" t="s">
        <v>1393</v>
      </c>
      <c r="E33" s="3284" t="s">
        <v>40</v>
      </c>
      <c r="F33" s="3285">
        <v>487736.73913173901</v>
      </c>
      <c r="G33" s="3285"/>
      <c r="H33" s="3285">
        <v>674831</v>
      </c>
      <c r="I33" s="3285">
        <v>0</v>
      </c>
      <c r="J33" s="3285">
        <v>0</v>
      </c>
      <c r="K33" s="3285">
        <f t="shared" si="2"/>
        <v>1162567.7391317389</v>
      </c>
      <c r="L33" s="3285">
        <v>0</v>
      </c>
      <c r="M33" s="3285">
        <f t="shared" si="1"/>
        <v>1162567.7391317389</v>
      </c>
      <c r="N33" s="3285"/>
      <c r="O33" s="3286"/>
      <c r="P33" s="2191"/>
    </row>
    <row r="34" spans="1:16" s="2192" customFormat="1" ht="16.5" customHeight="1">
      <c r="A34" s="2121">
        <v>22</v>
      </c>
      <c r="B34" s="2121">
        <v>22</v>
      </c>
      <c r="C34" s="3283">
        <v>0</v>
      </c>
      <c r="D34" s="3284" t="s">
        <v>109</v>
      </c>
      <c r="E34" s="3284" t="s">
        <v>40</v>
      </c>
      <c r="F34" s="3285">
        <v>587333</v>
      </c>
      <c r="G34" s="3285"/>
      <c r="H34" s="3285">
        <v>674831</v>
      </c>
      <c r="I34" s="3285">
        <v>0</v>
      </c>
      <c r="J34" s="3285">
        <v>0</v>
      </c>
      <c r="K34" s="3285">
        <f t="shared" si="2"/>
        <v>1262164</v>
      </c>
      <c r="L34" s="3285">
        <v>0</v>
      </c>
      <c r="M34" s="3285">
        <f t="shared" si="1"/>
        <v>1262164</v>
      </c>
      <c r="N34" s="3285"/>
      <c r="O34" s="3286"/>
      <c r="P34" s="2191"/>
    </row>
    <row r="35" spans="1:16" s="2192" customFormat="1" ht="16.5" customHeight="1">
      <c r="A35" s="2121">
        <v>23</v>
      </c>
      <c r="B35" s="2121">
        <v>23</v>
      </c>
      <c r="C35" s="3283"/>
      <c r="D35" s="3284" t="s">
        <v>1394</v>
      </c>
      <c r="E35" s="3284" t="s">
        <v>40</v>
      </c>
      <c r="F35" s="3285">
        <v>611399.22478206805</v>
      </c>
      <c r="G35" s="3285"/>
      <c r="H35" s="3285">
        <v>674831</v>
      </c>
      <c r="I35" s="3285">
        <v>0</v>
      </c>
      <c r="J35" s="3285">
        <v>0</v>
      </c>
      <c r="K35" s="3285">
        <f t="shared" si="2"/>
        <v>1286230.224782068</v>
      </c>
      <c r="L35" s="3285">
        <v>0</v>
      </c>
      <c r="M35" s="3285">
        <f t="shared" si="1"/>
        <v>1286230.224782068</v>
      </c>
      <c r="N35" s="3285"/>
      <c r="O35" s="3286"/>
      <c r="P35" s="2191"/>
    </row>
    <row r="36" spans="1:16" s="2192" customFormat="1" ht="16.5" customHeight="1">
      <c r="A36" s="2121">
        <v>24</v>
      </c>
      <c r="B36" s="2121">
        <v>24</v>
      </c>
      <c r="C36" s="3283"/>
      <c r="D36" s="3284" t="s">
        <v>1395</v>
      </c>
      <c r="E36" s="3284" t="s">
        <v>40</v>
      </c>
      <c r="F36" s="3285">
        <v>611399.22478206805</v>
      </c>
      <c r="G36" s="3285"/>
      <c r="H36" s="3285">
        <v>674831</v>
      </c>
      <c r="I36" s="3285">
        <v>0</v>
      </c>
      <c r="J36" s="3285">
        <v>0</v>
      </c>
      <c r="K36" s="3285">
        <f t="shared" si="2"/>
        <v>1286230.224782068</v>
      </c>
      <c r="L36" s="3285">
        <v>0</v>
      </c>
      <c r="M36" s="3285">
        <f t="shared" si="1"/>
        <v>1286230.224782068</v>
      </c>
      <c r="N36" s="3285"/>
      <c r="O36" s="3286"/>
      <c r="P36" s="2191"/>
    </row>
    <row r="37" spans="1:16" s="2192" customFormat="1" ht="16.5" customHeight="1">
      <c r="A37" s="2121">
        <v>25</v>
      </c>
      <c r="B37" s="2121">
        <v>25</v>
      </c>
      <c r="C37" s="3283"/>
      <c r="D37" s="3284" t="s">
        <v>1396</v>
      </c>
      <c r="E37" s="3284" t="s">
        <v>40</v>
      </c>
      <c r="F37" s="3285">
        <v>611399.22478206805</v>
      </c>
      <c r="G37" s="3285"/>
      <c r="H37" s="3285">
        <v>674831</v>
      </c>
      <c r="I37" s="3285">
        <v>0</v>
      </c>
      <c r="J37" s="3285">
        <v>0</v>
      </c>
      <c r="K37" s="3285">
        <f t="shared" si="2"/>
        <v>1286230.224782068</v>
      </c>
      <c r="L37" s="3285">
        <v>0</v>
      </c>
      <c r="M37" s="3285">
        <f t="shared" si="1"/>
        <v>1286230.224782068</v>
      </c>
      <c r="N37" s="3285"/>
      <c r="O37" s="3286"/>
      <c r="P37" s="2191"/>
    </row>
    <row r="38" spans="1:16" s="2192" customFormat="1" ht="16.5" customHeight="1">
      <c r="A38" s="2121">
        <v>26</v>
      </c>
      <c r="B38" s="2121">
        <v>26</v>
      </c>
      <c r="C38" s="3283"/>
      <c r="D38" s="3284" t="s">
        <v>1397</v>
      </c>
      <c r="E38" s="3284" t="s">
        <v>40</v>
      </c>
      <c r="F38" s="3285">
        <v>611399.22478206805</v>
      </c>
      <c r="G38" s="3285"/>
      <c r="H38" s="3285">
        <v>674831</v>
      </c>
      <c r="I38" s="3285">
        <v>0</v>
      </c>
      <c r="J38" s="3285">
        <v>0</v>
      </c>
      <c r="K38" s="3285">
        <f t="shared" si="2"/>
        <v>1286230.224782068</v>
      </c>
      <c r="L38" s="3285">
        <v>0</v>
      </c>
      <c r="M38" s="3285">
        <f t="shared" si="1"/>
        <v>1286230.224782068</v>
      </c>
      <c r="N38" s="3285"/>
      <c r="O38" s="3286"/>
      <c r="P38" s="2191"/>
    </row>
    <row r="39" spans="1:16" s="2192" customFormat="1" ht="16.5" customHeight="1">
      <c r="A39" s="2121">
        <v>27</v>
      </c>
      <c r="B39" s="2121">
        <v>27</v>
      </c>
      <c r="C39" s="3283"/>
      <c r="D39" s="3284" t="s">
        <v>1398</v>
      </c>
      <c r="E39" s="3284" t="s">
        <v>40</v>
      </c>
      <c r="F39" s="3285">
        <v>611399.22478206805</v>
      </c>
      <c r="G39" s="3285"/>
      <c r="H39" s="3285">
        <v>674831</v>
      </c>
      <c r="I39" s="3285">
        <v>0</v>
      </c>
      <c r="J39" s="3285">
        <v>0</v>
      </c>
      <c r="K39" s="3285">
        <f t="shared" si="2"/>
        <v>1286230.224782068</v>
      </c>
      <c r="L39" s="3285">
        <v>0</v>
      </c>
      <c r="M39" s="3285">
        <f t="shared" si="1"/>
        <v>1286230.224782068</v>
      </c>
      <c r="N39" s="3285"/>
      <c r="O39" s="3286"/>
      <c r="P39" s="2191"/>
    </row>
    <row r="40" spans="1:16" s="2192" customFormat="1" ht="16.5" customHeight="1">
      <c r="A40" s="2121">
        <v>28</v>
      </c>
      <c r="B40" s="2121">
        <v>28</v>
      </c>
      <c r="C40" s="3283"/>
      <c r="D40" s="3284" t="s">
        <v>1399</v>
      </c>
      <c r="E40" s="3284" t="s">
        <v>40</v>
      </c>
      <c r="F40" s="3285">
        <v>711399.22478206805</v>
      </c>
      <c r="G40" s="3285"/>
      <c r="H40" s="3285">
        <v>450884</v>
      </c>
      <c r="I40" s="3285">
        <v>0</v>
      </c>
      <c r="J40" s="3285">
        <v>0</v>
      </c>
      <c r="K40" s="3285">
        <f t="shared" si="2"/>
        <v>1162283.224782068</v>
      </c>
      <c r="L40" s="3285">
        <v>0</v>
      </c>
      <c r="M40" s="3285">
        <f t="shared" si="1"/>
        <v>1162283.224782068</v>
      </c>
      <c r="N40" s="3285"/>
      <c r="O40" s="3286"/>
      <c r="P40" s="2191"/>
    </row>
    <row r="41" spans="1:16" s="2192" customFormat="1" ht="16.5" customHeight="1">
      <c r="A41" s="2121">
        <v>29</v>
      </c>
      <c r="B41" s="2121">
        <v>29</v>
      </c>
      <c r="C41" s="3283">
        <v>0</v>
      </c>
      <c r="D41" s="3284" t="s">
        <v>1400</v>
      </c>
      <c r="E41" s="3284" t="s">
        <v>40</v>
      </c>
      <c r="F41" s="3285">
        <v>770150.28040060343</v>
      </c>
      <c r="G41" s="3285"/>
      <c r="H41" s="3285">
        <v>450884</v>
      </c>
      <c r="I41" s="3285">
        <v>0</v>
      </c>
      <c r="J41" s="3285">
        <v>0</v>
      </c>
      <c r="K41" s="3285">
        <f t="shared" si="2"/>
        <v>1221034.2804006035</v>
      </c>
      <c r="L41" s="3285">
        <v>0</v>
      </c>
      <c r="M41" s="3285">
        <f t="shared" si="1"/>
        <v>1221034.2804006035</v>
      </c>
      <c r="N41" s="3285"/>
      <c r="O41" s="3286"/>
      <c r="P41" s="2191"/>
    </row>
    <row r="42" spans="1:16" s="2192" customFormat="1" ht="16.5" customHeight="1">
      <c r="A42" s="2121">
        <v>30</v>
      </c>
      <c r="B42" s="2121">
        <v>30</v>
      </c>
      <c r="C42" s="3283"/>
      <c r="D42" s="3284" t="s">
        <v>1401</v>
      </c>
      <c r="E42" s="3284" t="s">
        <v>40</v>
      </c>
      <c r="F42" s="3285">
        <v>770150.28040060343</v>
      </c>
      <c r="G42" s="3285"/>
      <c r="H42" s="3285">
        <v>450884</v>
      </c>
      <c r="I42" s="3285">
        <v>0</v>
      </c>
      <c r="J42" s="3285">
        <v>0</v>
      </c>
      <c r="K42" s="3285">
        <f t="shared" si="2"/>
        <v>1221034.2804006035</v>
      </c>
      <c r="L42" s="3285">
        <v>0</v>
      </c>
      <c r="M42" s="3285">
        <f t="shared" si="1"/>
        <v>1221034.2804006035</v>
      </c>
      <c r="N42" s="3285"/>
      <c r="O42" s="3286"/>
      <c r="P42" s="2191"/>
    </row>
    <row r="43" spans="1:16" s="2192" customFormat="1" ht="16.5" customHeight="1">
      <c r="A43" s="2121">
        <v>31</v>
      </c>
      <c r="B43" s="2121">
        <v>31</v>
      </c>
      <c r="C43" s="3283"/>
      <c r="D43" s="3284" t="s">
        <v>1402</v>
      </c>
      <c r="E43" s="3284" t="s">
        <v>40</v>
      </c>
      <c r="F43" s="3285">
        <v>970150.28040060296</v>
      </c>
      <c r="G43" s="3285"/>
      <c r="H43" s="3285">
        <v>284293.66666666669</v>
      </c>
      <c r="I43" s="3285">
        <v>0</v>
      </c>
      <c r="J43" s="3285">
        <v>0</v>
      </c>
      <c r="K43" s="3285">
        <f t="shared" si="2"/>
        <v>1254443.9470672696</v>
      </c>
      <c r="L43" s="3285">
        <v>0</v>
      </c>
      <c r="M43" s="3285">
        <f t="shared" si="1"/>
        <v>1254443.9470672696</v>
      </c>
      <c r="N43" s="3285"/>
      <c r="O43" s="3286"/>
      <c r="P43" s="2191"/>
    </row>
    <row r="44" spans="1:16" s="2192" customFormat="1" ht="16.5" customHeight="1">
      <c r="A44" s="2121">
        <v>32</v>
      </c>
      <c r="B44" s="2121">
        <v>32</v>
      </c>
      <c r="C44" s="3283"/>
      <c r="D44" s="3284" t="s">
        <v>1403</v>
      </c>
      <c r="E44" s="3284" t="s">
        <v>40</v>
      </c>
      <c r="F44" s="3285">
        <v>970150.28040060296</v>
      </c>
      <c r="G44" s="3285"/>
      <c r="H44" s="3285">
        <v>284293.66666666669</v>
      </c>
      <c r="I44" s="3285">
        <v>0</v>
      </c>
      <c r="J44" s="3285">
        <v>0</v>
      </c>
      <c r="K44" s="3285">
        <f t="shared" si="2"/>
        <v>1254443.9470672696</v>
      </c>
      <c r="L44" s="3285">
        <v>0</v>
      </c>
      <c r="M44" s="3285">
        <f t="shared" si="1"/>
        <v>1254443.9470672696</v>
      </c>
      <c r="N44" s="3285"/>
      <c r="O44" s="3286"/>
      <c r="P44" s="2191"/>
    </row>
    <row r="45" spans="1:16" s="2192" customFormat="1" ht="16.5" customHeight="1">
      <c r="A45" s="2121">
        <v>33</v>
      </c>
      <c r="B45" s="2121">
        <v>33</v>
      </c>
      <c r="C45" s="3283"/>
      <c r="D45" s="3284" t="s">
        <v>1404</v>
      </c>
      <c r="E45" s="3284" t="s">
        <v>40</v>
      </c>
      <c r="F45" s="3285">
        <v>970150.28040060296</v>
      </c>
      <c r="G45" s="3285"/>
      <c r="H45" s="3285">
        <v>284293.66666666669</v>
      </c>
      <c r="I45" s="3285">
        <v>0</v>
      </c>
      <c r="J45" s="3285">
        <v>0</v>
      </c>
      <c r="K45" s="3285">
        <f t="shared" si="2"/>
        <v>1254443.9470672696</v>
      </c>
      <c r="L45" s="3285">
        <v>0</v>
      </c>
      <c r="M45" s="3285">
        <f t="shared" si="1"/>
        <v>1254443.9470672696</v>
      </c>
      <c r="N45" s="3285"/>
      <c r="O45" s="3286"/>
      <c r="P45" s="2191"/>
    </row>
    <row r="46" spans="1:16" s="2192" customFormat="1" ht="16.5" customHeight="1">
      <c r="A46" s="2121">
        <v>34</v>
      </c>
      <c r="B46" s="2121">
        <v>34</v>
      </c>
      <c r="C46" s="3283"/>
      <c r="D46" s="3284" t="s">
        <v>1405</v>
      </c>
      <c r="E46" s="3284" t="s">
        <v>40</v>
      </c>
      <c r="F46" s="3285">
        <v>970150.28040060296</v>
      </c>
      <c r="G46" s="3285"/>
      <c r="H46" s="3285">
        <v>284293.66666666669</v>
      </c>
      <c r="I46" s="3285">
        <v>0</v>
      </c>
      <c r="J46" s="3285">
        <v>0</v>
      </c>
      <c r="K46" s="3285">
        <f t="shared" si="2"/>
        <v>1254443.9470672696</v>
      </c>
      <c r="L46" s="3285">
        <v>0</v>
      </c>
      <c r="M46" s="3285">
        <f t="shared" si="1"/>
        <v>1254443.9470672696</v>
      </c>
      <c r="N46" s="3285"/>
      <c r="O46" s="3286"/>
      <c r="P46" s="2191"/>
    </row>
    <row r="47" spans="1:16" s="2192" customFormat="1" ht="16.5" customHeight="1">
      <c r="A47" s="2121">
        <v>35</v>
      </c>
      <c r="B47" s="2121">
        <v>35</v>
      </c>
      <c r="C47" s="3283">
        <v>0</v>
      </c>
      <c r="D47" s="3284" t="s">
        <v>1406</v>
      </c>
      <c r="E47" s="3284" t="s">
        <v>40</v>
      </c>
      <c r="F47" s="3285">
        <v>487736.73913173901</v>
      </c>
      <c r="G47" s="3285"/>
      <c r="H47" s="3285">
        <v>674831</v>
      </c>
      <c r="I47" s="3285">
        <v>0</v>
      </c>
      <c r="J47" s="3285">
        <v>0</v>
      </c>
      <c r="K47" s="3285">
        <f t="shared" si="2"/>
        <v>1162567.7391317389</v>
      </c>
      <c r="L47" s="3285">
        <v>0</v>
      </c>
      <c r="M47" s="3285">
        <f t="shared" si="1"/>
        <v>1162567.7391317389</v>
      </c>
      <c r="N47" s="3285"/>
      <c r="O47" s="3286"/>
      <c r="P47" s="2191"/>
    </row>
    <row r="48" spans="1:16" s="2192" customFormat="1" ht="16.5" customHeight="1">
      <c r="A48" s="2121">
        <v>36</v>
      </c>
      <c r="B48" s="2121">
        <v>36</v>
      </c>
      <c r="C48" s="3283"/>
      <c r="D48" s="3284" t="s">
        <v>1407</v>
      </c>
      <c r="E48" s="3284" t="s">
        <v>40</v>
      </c>
      <c r="F48" s="3285">
        <v>487736.73913173901</v>
      </c>
      <c r="G48" s="3285"/>
      <c r="H48" s="3285">
        <v>674831</v>
      </c>
      <c r="I48" s="3285">
        <v>0</v>
      </c>
      <c r="J48" s="3285">
        <v>0</v>
      </c>
      <c r="K48" s="3285">
        <f t="shared" si="2"/>
        <v>1162567.7391317389</v>
      </c>
      <c r="L48" s="3285">
        <v>0</v>
      </c>
      <c r="M48" s="3285">
        <f t="shared" si="1"/>
        <v>1162567.7391317389</v>
      </c>
      <c r="N48" s="3285"/>
      <c r="O48" s="3286"/>
      <c r="P48" s="2191"/>
    </row>
    <row r="49" spans="1:16" s="2192" customFormat="1" ht="16.5" customHeight="1">
      <c r="A49" s="2121">
        <v>37</v>
      </c>
      <c r="B49" s="2121">
        <v>37</v>
      </c>
      <c r="C49" s="3283"/>
      <c r="D49" s="3284" t="s">
        <v>1408</v>
      </c>
      <c r="E49" s="3284" t="s">
        <v>40</v>
      </c>
      <c r="F49" s="3285">
        <v>487736.73913173901</v>
      </c>
      <c r="G49" s="3285"/>
      <c r="H49" s="3285">
        <v>674831</v>
      </c>
      <c r="I49" s="3285">
        <v>0</v>
      </c>
      <c r="J49" s="3285">
        <v>0</v>
      </c>
      <c r="K49" s="3285">
        <f t="shared" si="2"/>
        <v>1162567.7391317389</v>
      </c>
      <c r="L49" s="3285">
        <v>0</v>
      </c>
      <c r="M49" s="3285">
        <f t="shared" si="1"/>
        <v>1162567.7391317389</v>
      </c>
      <c r="N49" s="3285"/>
      <c r="O49" s="3286"/>
      <c r="P49" s="2191"/>
    </row>
    <row r="50" spans="1:16" s="2192" customFormat="1" ht="16.5" customHeight="1">
      <c r="A50" s="2121">
        <v>38</v>
      </c>
      <c r="B50" s="2121">
        <v>38</v>
      </c>
      <c r="C50" s="3283"/>
      <c r="D50" s="3284" t="s">
        <v>1409</v>
      </c>
      <c r="E50" s="3284" t="s">
        <v>40</v>
      </c>
      <c r="F50" s="3285">
        <v>487736.73913173901</v>
      </c>
      <c r="G50" s="3285"/>
      <c r="H50" s="3285">
        <v>674831</v>
      </c>
      <c r="I50" s="3285">
        <v>0</v>
      </c>
      <c r="J50" s="3285">
        <v>0</v>
      </c>
      <c r="K50" s="3285">
        <f t="shared" si="2"/>
        <v>1162567.7391317389</v>
      </c>
      <c r="L50" s="3285">
        <v>0</v>
      </c>
      <c r="M50" s="3285">
        <f t="shared" si="1"/>
        <v>1162567.7391317389</v>
      </c>
      <c r="N50" s="3285"/>
      <c r="O50" s="3286"/>
      <c r="P50" s="2191"/>
    </row>
    <row r="51" spans="1:16" s="2192" customFormat="1" ht="16.5" customHeight="1">
      <c r="A51" s="2121">
        <v>39</v>
      </c>
      <c r="B51" s="2121">
        <v>39</v>
      </c>
      <c r="C51" s="3283"/>
      <c r="D51" s="3284" t="s">
        <v>1410</v>
      </c>
      <c r="E51" s="3284" t="s">
        <v>40</v>
      </c>
      <c r="F51" s="3285">
        <v>487736.73913173901</v>
      </c>
      <c r="G51" s="3285"/>
      <c r="H51" s="3285">
        <v>674831</v>
      </c>
      <c r="I51" s="3285">
        <v>0</v>
      </c>
      <c r="J51" s="3285">
        <v>0</v>
      </c>
      <c r="K51" s="3285">
        <f t="shared" si="2"/>
        <v>1162567.7391317389</v>
      </c>
      <c r="L51" s="3285">
        <v>0</v>
      </c>
      <c r="M51" s="3285">
        <f t="shared" si="1"/>
        <v>1162567.7391317389</v>
      </c>
      <c r="N51" s="3285"/>
      <c r="O51" s="3286"/>
      <c r="P51" s="2191"/>
    </row>
    <row r="52" spans="1:16" s="2192" customFormat="1" ht="16.5" customHeight="1">
      <c r="A52" s="2121">
        <v>40</v>
      </c>
      <c r="B52" s="2121">
        <v>40</v>
      </c>
      <c r="C52" s="3283"/>
      <c r="D52" s="3284" t="s">
        <v>1411</v>
      </c>
      <c r="E52" s="3284" t="s">
        <v>40</v>
      </c>
      <c r="F52" s="3285">
        <v>487736.73913173901</v>
      </c>
      <c r="G52" s="3285"/>
      <c r="H52" s="3285">
        <v>674831</v>
      </c>
      <c r="I52" s="3285">
        <v>0</v>
      </c>
      <c r="J52" s="3285">
        <v>0</v>
      </c>
      <c r="K52" s="3285">
        <f t="shared" si="2"/>
        <v>1162567.7391317389</v>
      </c>
      <c r="L52" s="3285">
        <v>0</v>
      </c>
      <c r="M52" s="3285">
        <f t="shared" si="1"/>
        <v>1162567.7391317389</v>
      </c>
      <c r="N52" s="3285"/>
      <c r="O52" s="3286"/>
      <c r="P52" s="2191"/>
    </row>
    <row r="53" spans="1:16" s="2192" customFormat="1" ht="16.5" customHeight="1">
      <c r="A53" s="2121">
        <v>41</v>
      </c>
      <c r="B53" s="2121">
        <v>41</v>
      </c>
      <c r="C53" s="3283">
        <v>0</v>
      </c>
      <c r="D53" s="3284" t="s">
        <v>1412</v>
      </c>
      <c r="E53" s="3284" t="s">
        <v>40</v>
      </c>
      <c r="F53" s="3285">
        <v>754468.90440299222</v>
      </c>
      <c r="G53" s="3285"/>
      <c r="H53" s="3285">
        <v>292785.2</v>
      </c>
      <c r="I53" s="3285">
        <v>0</v>
      </c>
      <c r="J53" s="3285">
        <v>0</v>
      </c>
      <c r="K53" s="3285">
        <f t="shared" si="2"/>
        <v>1047254.1044029922</v>
      </c>
      <c r="L53" s="3285">
        <v>0</v>
      </c>
      <c r="M53" s="3285">
        <f t="shared" si="1"/>
        <v>1047254.1044029922</v>
      </c>
      <c r="N53" s="3285"/>
      <c r="O53" s="3286"/>
      <c r="P53" s="2191"/>
    </row>
    <row r="54" spans="1:16" s="2192" customFormat="1" ht="16.5" customHeight="1">
      <c r="A54" s="2121">
        <v>42</v>
      </c>
      <c r="B54" s="2121">
        <v>42</v>
      </c>
      <c r="C54" s="3283"/>
      <c r="D54" s="3284" t="s">
        <v>1413</v>
      </c>
      <c r="E54" s="3284" t="s">
        <v>40</v>
      </c>
      <c r="F54" s="3285">
        <v>754468.90440299222</v>
      </c>
      <c r="G54" s="3285"/>
      <c r="H54" s="3285">
        <v>292785.2</v>
      </c>
      <c r="I54" s="3285">
        <v>0</v>
      </c>
      <c r="J54" s="3285">
        <v>0</v>
      </c>
      <c r="K54" s="3285">
        <f t="shared" si="2"/>
        <v>1047254.1044029922</v>
      </c>
      <c r="L54" s="3285">
        <v>0</v>
      </c>
      <c r="M54" s="3285">
        <f t="shared" si="1"/>
        <v>1047254.1044029922</v>
      </c>
      <c r="N54" s="3285"/>
      <c r="O54" s="3286"/>
      <c r="P54" s="2191"/>
    </row>
    <row r="55" spans="1:16" s="2192" customFormat="1" ht="16.5" customHeight="1">
      <c r="A55" s="2121">
        <v>43</v>
      </c>
      <c r="B55" s="2121">
        <v>43</v>
      </c>
      <c r="C55" s="3283"/>
      <c r="D55" s="3284" t="s">
        <v>1414</v>
      </c>
      <c r="E55" s="3284" t="s">
        <v>40</v>
      </c>
      <c r="F55" s="3285">
        <v>754468.90440299222</v>
      </c>
      <c r="G55" s="3285"/>
      <c r="H55" s="3285">
        <v>292785.2</v>
      </c>
      <c r="I55" s="3285">
        <v>0</v>
      </c>
      <c r="J55" s="3285">
        <v>0</v>
      </c>
      <c r="K55" s="3285">
        <f t="shared" si="2"/>
        <v>1047254.1044029922</v>
      </c>
      <c r="L55" s="3285">
        <v>0</v>
      </c>
      <c r="M55" s="3285">
        <f t="shared" si="1"/>
        <v>1047254.1044029922</v>
      </c>
      <c r="N55" s="3285"/>
      <c r="O55" s="3286"/>
      <c r="P55" s="2191"/>
    </row>
    <row r="56" spans="1:16" s="2192" customFormat="1" ht="16.5" customHeight="1">
      <c r="A56" s="2121">
        <v>44</v>
      </c>
      <c r="B56" s="2121">
        <v>44</v>
      </c>
      <c r="C56" s="3283"/>
      <c r="D56" s="3284" t="s">
        <v>1415</v>
      </c>
      <c r="E56" s="3284" t="s">
        <v>40</v>
      </c>
      <c r="F56" s="3285">
        <v>754468.90440299222</v>
      </c>
      <c r="G56" s="3285"/>
      <c r="H56" s="3285">
        <v>292785.2</v>
      </c>
      <c r="I56" s="3285">
        <v>0</v>
      </c>
      <c r="J56" s="3285">
        <v>0</v>
      </c>
      <c r="K56" s="3285">
        <f t="shared" si="2"/>
        <v>1047254.1044029922</v>
      </c>
      <c r="L56" s="3285">
        <v>0</v>
      </c>
      <c r="M56" s="3285">
        <f t="shared" si="1"/>
        <v>1047254.1044029922</v>
      </c>
      <c r="N56" s="3285"/>
      <c r="O56" s="3286"/>
      <c r="P56" s="2191"/>
    </row>
    <row r="57" spans="1:16" s="2192" customFormat="1" ht="16.5" customHeight="1">
      <c r="A57" s="2121">
        <v>45</v>
      </c>
      <c r="B57" s="2121">
        <v>45</v>
      </c>
      <c r="C57" s="3283"/>
      <c r="D57" s="3284" t="s">
        <v>1416</v>
      </c>
      <c r="E57" s="3284" t="s">
        <v>40</v>
      </c>
      <c r="F57" s="3285">
        <v>754468.90440299222</v>
      </c>
      <c r="G57" s="3285"/>
      <c r="H57" s="3285">
        <v>292785.2</v>
      </c>
      <c r="I57" s="3285">
        <v>0</v>
      </c>
      <c r="J57" s="3285">
        <v>0</v>
      </c>
      <c r="K57" s="3285">
        <f t="shared" si="2"/>
        <v>1047254.1044029922</v>
      </c>
      <c r="L57" s="3285">
        <v>0</v>
      </c>
      <c r="M57" s="3285">
        <f t="shared" si="1"/>
        <v>1047254.1044029922</v>
      </c>
      <c r="N57" s="3285"/>
      <c r="O57" s="3286"/>
      <c r="P57" s="2191"/>
    </row>
    <row r="58" spans="1:16" s="2192" customFormat="1" ht="16.5" customHeight="1">
      <c r="A58" s="2121">
        <v>46</v>
      </c>
      <c r="B58" s="2121">
        <v>46</v>
      </c>
      <c r="C58" s="3283">
        <v>0</v>
      </c>
      <c r="D58" s="3284" t="s">
        <v>1411</v>
      </c>
      <c r="E58" s="3284" t="s">
        <v>40</v>
      </c>
      <c r="F58" s="3285">
        <v>840500.79381908814</v>
      </c>
      <c r="G58" s="3285"/>
      <c r="H58" s="3285">
        <v>359434</v>
      </c>
      <c r="I58" s="3285">
        <v>0</v>
      </c>
      <c r="J58" s="3285">
        <v>0</v>
      </c>
      <c r="K58" s="3285">
        <f t="shared" si="2"/>
        <v>1199934.793819088</v>
      </c>
      <c r="L58" s="3285">
        <v>0</v>
      </c>
      <c r="M58" s="3285">
        <f t="shared" si="1"/>
        <v>1199934.793819088</v>
      </c>
      <c r="N58" s="3285"/>
      <c r="O58" s="3286"/>
      <c r="P58" s="2191"/>
    </row>
    <row r="59" spans="1:16" s="2192" customFormat="1" ht="16.5" customHeight="1">
      <c r="A59" s="2121">
        <v>47</v>
      </c>
      <c r="B59" s="2121">
        <v>47</v>
      </c>
      <c r="C59" s="3283"/>
      <c r="D59" s="3284" t="s">
        <v>1412</v>
      </c>
      <c r="E59" s="3284" t="s">
        <v>40</v>
      </c>
      <c r="F59" s="3285">
        <v>840500.79381908814</v>
      </c>
      <c r="G59" s="3285"/>
      <c r="H59" s="3285">
        <v>359434</v>
      </c>
      <c r="I59" s="3285">
        <v>0</v>
      </c>
      <c r="J59" s="3285">
        <v>0</v>
      </c>
      <c r="K59" s="3285">
        <f t="shared" si="2"/>
        <v>1199934.793819088</v>
      </c>
      <c r="L59" s="3285">
        <v>0</v>
      </c>
      <c r="M59" s="3285">
        <f t="shared" si="1"/>
        <v>1199934.793819088</v>
      </c>
      <c r="N59" s="3285"/>
      <c r="O59" s="3286"/>
      <c r="P59" s="2191"/>
    </row>
    <row r="60" spans="1:16" s="2192" customFormat="1" ht="16.5" customHeight="1">
      <c r="A60" s="2121">
        <v>48</v>
      </c>
      <c r="B60" s="2121">
        <v>48</v>
      </c>
      <c r="C60" s="3283"/>
      <c r="D60" s="3284" t="s">
        <v>1413</v>
      </c>
      <c r="E60" s="3284" t="s">
        <v>40</v>
      </c>
      <c r="F60" s="3285">
        <v>840500.79381908814</v>
      </c>
      <c r="G60" s="3285"/>
      <c r="H60" s="3285">
        <v>359434</v>
      </c>
      <c r="I60" s="3285">
        <v>0</v>
      </c>
      <c r="J60" s="3285">
        <v>0</v>
      </c>
      <c r="K60" s="3285">
        <f t="shared" si="2"/>
        <v>1199934.793819088</v>
      </c>
      <c r="L60" s="3285">
        <v>0</v>
      </c>
      <c r="M60" s="3285">
        <f t="shared" si="1"/>
        <v>1199934.793819088</v>
      </c>
      <c r="N60" s="3285"/>
      <c r="O60" s="3286"/>
      <c r="P60" s="2191"/>
    </row>
    <row r="61" spans="1:16" s="2192" customFormat="1" ht="16.5" customHeight="1">
      <c r="A61" s="2121">
        <v>49</v>
      </c>
      <c r="B61" s="2121">
        <v>49</v>
      </c>
      <c r="C61" s="3283"/>
      <c r="D61" s="3284" t="s">
        <v>1414</v>
      </c>
      <c r="E61" s="3284" t="s">
        <v>40</v>
      </c>
      <c r="F61" s="3285">
        <v>840500.79381908814</v>
      </c>
      <c r="G61" s="3285"/>
      <c r="H61" s="3285">
        <v>359434</v>
      </c>
      <c r="I61" s="3285">
        <v>0</v>
      </c>
      <c r="J61" s="3285">
        <v>0</v>
      </c>
      <c r="K61" s="3285">
        <f t="shared" si="2"/>
        <v>1199934.793819088</v>
      </c>
      <c r="L61" s="3285">
        <v>0</v>
      </c>
      <c r="M61" s="3285">
        <f t="shared" si="1"/>
        <v>1199934.793819088</v>
      </c>
      <c r="N61" s="3285"/>
      <c r="O61" s="3286"/>
      <c r="P61" s="2191"/>
    </row>
    <row r="62" spans="1:16" s="2192" customFormat="1" ht="16.5" customHeight="1">
      <c r="A62" s="2121">
        <v>50</v>
      </c>
      <c r="B62" s="2121">
        <v>50</v>
      </c>
      <c r="C62" s="3283"/>
      <c r="D62" s="3284" t="s">
        <v>1415</v>
      </c>
      <c r="E62" s="3284" t="s">
        <v>40</v>
      </c>
      <c r="F62" s="3285">
        <v>840500.79381908814</v>
      </c>
      <c r="G62" s="3285"/>
      <c r="H62" s="3285">
        <v>359434</v>
      </c>
      <c r="I62" s="3285">
        <v>0</v>
      </c>
      <c r="J62" s="3285">
        <v>0</v>
      </c>
      <c r="K62" s="3285">
        <f t="shared" si="2"/>
        <v>1199934.793819088</v>
      </c>
      <c r="L62" s="3285">
        <v>0</v>
      </c>
      <c r="M62" s="3285">
        <f t="shared" si="1"/>
        <v>1199934.793819088</v>
      </c>
      <c r="N62" s="3285"/>
      <c r="O62" s="3286"/>
      <c r="P62" s="2191"/>
    </row>
    <row r="63" spans="1:16" s="2192" customFormat="1" ht="16.5" customHeight="1">
      <c r="A63" s="2121">
        <v>51</v>
      </c>
      <c r="B63" s="2121">
        <v>51</v>
      </c>
      <c r="C63" s="3283">
        <v>0</v>
      </c>
      <c r="D63" s="3284" t="s">
        <v>1416</v>
      </c>
      <c r="E63" s="3284" t="s">
        <v>40</v>
      </c>
      <c r="F63" s="3285">
        <v>796575.34988855198</v>
      </c>
      <c r="G63" s="3285"/>
      <c r="H63" s="3285">
        <v>292785.2</v>
      </c>
      <c r="I63" s="3285">
        <v>0</v>
      </c>
      <c r="J63" s="3285">
        <v>0</v>
      </c>
      <c r="K63" s="3285">
        <f t="shared" si="2"/>
        <v>1089360.5498885519</v>
      </c>
      <c r="L63" s="3285">
        <v>0</v>
      </c>
      <c r="M63" s="3285">
        <f t="shared" si="1"/>
        <v>1089360.5498885519</v>
      </c>
      <c r="N63" s="3285"/>
      <c r="O63" s="3286"/>
      <c r="P63" s="2191"/>
    </row>
    <row r="64" spans="1:16" s="2192" customFormat="1" ht="16.5" customHeight="1">
      <c r="A64" s="2121">
        <v>52</v>
      </c>
      <c r="B64" s="2121">
        <v>52</v>
      </c>
      <c r="C64" s="3283"/>
      <c r="D64" s="3284" t="s">
        <v>744</v>
      </c>
      <c r="E64" s="3284" t="s">
        <v>40</v>
      </c>
      <c r="F64" s="3285">
        <v>796575.34988855198</v>
      </c>
      <c r="G64" s="3285"/>
      <c r="H64" s="3285">
        <v>292785.2</v>
      </c>
      <c r="I64" s="3285">
        <v>0</v>
      </c>
      <c r="J64" s="3285">
        <v>0</v>
      </c>
      <c r="K64" s="3285">
        <f t="shared" si="2"/>
        <v>1089360.5498885519</v>
      </c>
      <c r="L64" s="3285">
        <v>0</v>
      </c>
      <c r="M64" s="3285">
        <f t="shared" si="1"/>
        <v>1089360.5498885519</v>
      </c>
      <c r="N64" s="3285"/>
      <c r="O64" s="3286"/>
      <c r="P64" s="2191"/>
    </row>
    <row r="65" spans="1:16" s="2192" customFormat="1" ht="16.5" customHeight="1">
      <c r="A65" s="2121">
        <v>53</v>
      </c>
      <c r="B65" s="2121">
        <v>53</v>
      </c>
      <c r="C65" s="3283"/>
      <c r="D65" s="3284" t="s">
        <v>1452</v>
      </c>
      <c r="E65" s="3284" t="s">
        <v>40</v>
      </c>
      <c r="F65" s="3285">
        <v>796575.34988855198</v>
      </c>
      <c r="G65" s="3285"/>
      <c r="H65" s="3285">
        <v>292785.2</v>
      </c>
      <c r="I65" s="3285">
        <v>0</v>
      </c>
      <c r="J65" s="3285">
        <v>0</v>
      </c>
      <c r="K65" s="3285">
        <f t="shared" si="2"/>
        <v>1089360.5498885519</v>
      </c>
      <c r="L65" s="3285">
        <v>0</v>
      </c>
      <c r="M65" s="3285">
        <f t="shared" si="1"/>
        <v>1089360.5498885519</v>
      </c>
      <c r="N65" s="3285"/>
      <c r="O65" s="3286"/>
      <c r="P65" s="2191"/>
    </row>
    <row r="66" spans="1:16" s="2192" customFormat="1" ht="16.5" customHeight="1">
      <c r="A66" s="2121">
        <v>54</v>
      </c>
      <c r="B66" s="2121">
        <v>54</v>
      </c>
      <c r="C66" s="3283"/>
      <c r="D66" s="3284" t="s">
        <v>1453</v>
      </c>
      <c r="E66" s="3284" t="s">
        <v>40</v>
      </c>
      <c r="F66" s="3285">
        <v>796575.34988855198</v>
      </c>
      <c r="G66" s="3285"/>
      <c r="H66" s="3285">
        <v>292785.2</v>
      </c>
      <c r="I66" s="3285">
        <v>0</v>
      </c>
      <c r="J66" s="3285">
        <v>0</v>
      </c>
      <c r="K66" s="3285">
        <f t="shared" si="2"/>
        <v>1089360.5498885519</v>
      </c>
      <c r="L66" s="3285">
        <v>0</v>
      </c>
      <c r="M66" s="3285">
        <f t="shared" si="1"/>
        <v>1089360.5498885519</v>
      </c>
      <c r="N66" s="3285"/>
      <c r="O66" s="3286"/>
      <c r="P66" s="2191"/>
    </row>
    <row r="67" spans="1:16" s="2192" customFormat="1" ht="16.5" customHeight="1">
      <c r="A67" s="2121">
        <v>55</v>
      </c>
      <c r="B67" s="2121">
        <v>55</v>
      </c>
      <c r="C67" s="3283"/>
      <c r="D67" s="3284" t="s">
        <v>1454</v>
      </c>
      <c r="E67" s="3284" t="s">
        <v>40</v>
      </c>
      <c r="F67" s="3285">
        <v>796575.34988855198</v>
      </c>
      <c r="G67" s="3285"/>
      <c r="H67" s="3285">
        <v>292785.2</v>
      </c>
      <c r="I67" s="3285">
        <v>0</v>
      </c>
      <c r="J67" s="3285">
        <v>0</v>
      </c>
      <c r="K67" s="3285">
        <f t="shared" si="2"/>
        <v>1089360.5498885519</v>
      </c>
      <c r="L67" s="3285">
        <v>0</v>
      </c>
      <c r="M67" s="3285">
        <f t="shared" si="1"/>
        <v>1089360.5498885519</v>
      </c>
      <c r="N67" s="3285"/>
      <c r="O67" s="3286"/>
      <c r="P67" s="2191"/>
    </row>
    <row r="68" spans="1:16" s="2192" customFormat="1" ht="16.5" customHeight="1">
      <c r="A68" s="2121">
        <v>56</v>
      </c>
      <c r="B68" s="2121">
        <v>56</v>
      </c>
      <c r="C68" s="3283">
        <v>0</v>
      </c>
      <c r="D68" s="3284" t="s">
        <v>1455</v>
      </c>
      <c r="E68" s="3284" t="s">
        <v>40</v>
      </c>
      <c r="F68" s="3285">
        <v>728853.21436715487</v>
      </c>
      <c r="G68" s="3285"/>
      <c r="H68" s="3285">
        <v>316337</v>
      </c>
      <c r="I68" s="3285">
        <v>0</v>
      </c>
      <c r="J68" s="3285">
        <v>0</v>
      </c>
      <c r="K68" s="3285">
        <f t="shared" si="2"/>
        <v>1045190.2143671549</v>
      </c>
      <c r="L68" s="3285">
        <v>0</v>
      </c>
      <c r="M68" s="3285">
        <f t="shared" si="1"/>
        <v>1045190.2143671549</v>
      </c>
      <c r="N68" s="3285"/>
      <c r="O68" s="3286"/>
      <c r="P68" s="2191"/>
    </row>
    <row r="69" spans="1:16" s="2192" customFormat="1" ht="16.5" customHeight="1">
      <c r="A69" s="2121">
        <v>57</v>
      </c>
      <c r="B69" s="2121">
        <v>57</v>
      </c>
      <c r="C69" s="3283"/>
      <c r="D69" s="3284" t="s">
        <v>1456</v>
      </c>
      <c r="E69" s="3284" t="s">
        <v>40</v>
      </c>
      <c r="F69" s="3285">
        <v>728853.21436715487</v>
      </c>
      <c r="G69" s="3285"/>
      <c r="H69" s="3285">
        <v>316337</v>
      </c>
      <c r="I69" s="3285">
        <v>0</v>
      </c>
      <c r="J69" s="3285">
        <v>0</v>
      </c>
      <c r="K69" s="3285">
        <f t="shared" si="2"/>
        <v>1045190.2143671549</v>
      </c>
      <c r="L69" s="3285">
        <v>0</v>
      </c>
      <c r="M69" s="3285">
        <f t="shared" si="1"/>
        <v>1045190.2143671549</v>
      </c>
      <c r="N69" s="3285"/>
      <c r="O69" s="3286"/>
      <c r="P69" s="2191"/>
    </row>
    <row r="70" spans="1:16" s="2192" customFormat="1" ht="16.5" customHeight="1">
      <c r="A70" s="2121">
        <v>58</v>
      </c>
      <c r="B70" s="2121">
        <v>58</v>
      </c>
      <c r="C70" s="3283"/>
      <c r="D70" s="3284" t="s">
        <v>1457</v>
      </c>
      <c r="E70" s="3284" t="s">
        <v>40</v>
      </c>
      <c r="F70" s="3285">
        <v>728853.21436715487</v>
      </c>
      <c r="G70" s="3285"/>
      <c r="H70" s="3285">
        <v>316337</v>
      </c>
      <c r="I70" s="3285">
        <v>0</v>
      </c>
      <c r="J70" s="3285">
        <v>0</v>
      </c>
      <c r="K70" s="3285">
        <f t="shared" si="2"/>
        <v>1045190.2143671549</v>
      </c>
      <c r="L70" s="3285">
        <v>0</v>
      </c>
      <c r="M70" s="3285">
        <f t="shared" si="1"/>
        <v>1045190.2143671549</v>
      </c>
      <c r="N70" s="3285"/>
      <c r="O70" s="3286"/>
      <c r="P70" s="2191"/>
    </row>
    <row r="71" spans="1:16" s="2192" customFormat="1" ht="16.5" customHeight="1">
      <c r="A71" s="2121">
        <v>59</v>
      </c>
      <c r="B71" s="2121">
        <v>59</v>
      </c>
      <c r="C71" s="3283"/>
      <c r="D71" s="3284" t="s">
        <v>1458</v>
      </c>
      <c r="E71" s="3284" t="s">
        <v>40</v>
      </c>
      <c r="F71" s="3285">
        <v>728853.21436715487</v>
      </c>
      <c r="G71" s="3285"/>
      <c r="H71" s="3285">
        <v>316337</v>
      </c>
      <c r="I71" s="3285">
        <v>0</v>
      </c>
      <c r="J71" s="3285">
        <v>0</v>
      </c>
      <c r="K71" s="3285">
        <f t="shared" si="2"/>
        <v>1045190.2143671549</v>
      </c>
      <c r="L71" s="3285">
        <v>0</v>
      </c>
      <c r="M71" s="3285">
        <f t="shared" si="1"/>
        <v>1045190.2143671549</v>
      </c>
      <c r="N71" s="3285"/>
      <c r="O71" s="3286"/>
      <c r="P71" s="2191"/>
    </row>
    <row r="72" spans="1:16" s="2192" customFormat="1" ht="16.5" customHeight="1">
      <c r="A72" s="2121">
        <v>60</v>
      </c>
      <c r="B72" s="2121">
        <v>60</v>
      </c>
      <c r="C72" s="3283"/>
      <c r="D72" s="3284" t="s">
        <v>1459</v>
      </c>
      <c r="E72" s="3284" t="s">
        <v>40</v>
      </c>
      <c r="F72" s="3285">
        <v>728853.21436715487</v>
      </c>
      <c r="G72" s="3285"/>
      <c r="H72" s="3285">
        <v>316337</v>
      </c>
      <c r="I72" s="3285">
        <v>0</v>
      </c>
      <c r="J72" s="3285">
        <v>0</v>
      </c>
      <c r="K72" s="3285">
        <f t="shared" si="2"/>
        <v>1045190.2143671549</v>
      </c>
      <c r="L72" s="3285">
        <v>0</v>
      </c>
      <c r="M72" s="3285">
        <f t="shared" si="1"/>
        <v>1045190.2143671549</v>
      </c>
      <c r="N72" s="3285"/>
      <c r="O72" s="3286"/>
      <c r="P72" s="2191"/>
    </row>
    <row r="73" spans="1:16" s="2192" customFormat="1" ht="16.5" customHeight="1">
      <c r="A73" s="2121">
        <v>61</v>
      </c>
      <c r="B73" s="2121">
        <v>61</v>
      </c>
      <c r="C73" s="3283"/>
      <c r="D73" s="3284" t="s">
        <v>1460</v>
      </c>
      <c r="E73" s="3284" t="s">
        <v>40</v>
      </c>
      <c r="F73" s="3285">
        <v>728853.21436715487</v>
      </c>
      <c r="G73" s="3285"/>
      <c r="H73" s="3285">
        <v>316337</v>
      </c>
      <c r="I73" s="3285">
        <v>0</v>
      </c>
      <c r="J73" s="3285">
        <v>0</v>
      </c>
      <c r="K73" s="3285">
        <f t="shared" si="2"/>
        <v>1045190.2143671549</v>
      </c>
      <c r="L73" s="3285">
        <v>0</v>
      </c>
      <c r="M73" s="3285">
        <f t="shared" si="1"/>
        <v>1045190.2143671549</v>
      </c>
      <c r="N73" s="3285"/>
      <c r="O73" s="3286"/>
      <c r="P73" s="2191"/>
    </row>
    <row r="74" spans="1:16" s="2192" customFormat="1" ht="16.5" customHeight="1">
      <c r="A74" s="2121">
        <v>62</v>
      </c>
      <c r="B74" s="2121">
        <v>62</v>
      </c>
      <c r="C74" s="3283">
        <v>0</v>
      </c>
      <c r="D74" s="3284" t="s">
        <v>1461</v>
      </c>
      <c r="E74" s="3284" t="s">
        <v>40</v>
      </c>
      <c r="F74" s="3285">
        <v>661666.29855281836</v>
      </c>
      <c r="G74" s="3285">
        <v>260131</v>
      </c>
      <c r="H74" s="3285">
        <v>365466.8</v>
      </c>
      <c r="I74" s="3285">
        <v>0</v>
      </c>
      <c r="J74" s="3285">
        <v>0</v>
      </c>
      <c r="K74" s="3285">
        <f t="shared" si="2"/>
        <v>1287264.0985528184</v>
      </c>
      <c r="L74" s="3285">
        <v>0</v>
      </c>
      <c r="M74" s="3285">
        <f t="shared" si="1"/>
        <v>1287264.0985528184</v>
      </c>
      <c r="N74" s="3285">
        <v>0</v>
      </c>
      <c r="O74" s="3286"/>
      <c r="P74" s="2191"/>
    </row>
    <row r="75" spans="1:16" s="2192" customFormat="1" ht="16.5" customHeight="1">
      <c r="A75" s="2121">
        <v>63</v>
      </c>
      <c r="B75" s="2121">
        <v>63</v>
      </c>
      <c r="C75" s="3283"/>
      <c r="D75" s="3284" t="s">
        <v>1462</v>
      </c>
      <c r="E75" s="3284" t="s">
        <v>40</v>
      </c>
      <c r="F75" s="3285">
        <v>661666.29855281836</v>
      </c>
      <c r="G75" s="3285">
        <v>260131</v>
      </c>
      <c r="H75" s="3285">
        <v>365466.8</v>
      </c>
      <c r="I75" s="3285">
        <v>0</v>
      </c>
      <c r="J75" s="3285">
        <v>0</v>
      </c>
      <c r="K75" s="3285">
        <f t="shared" si="2"/>
        <v>1287264.0985528184</v>
      </c>
      <c r="L75" s="3285">
        <v>0</v>
      </c>
      <c r="M75" s="3285">
        <f t="shared" si="1"/>
        <v>1287264.0985528184</v>
      </c>
      <c r="N75" s="3285">
        <v>0</v>
      </c>
      <c r="O75" s="3286"/>
      <c r="P75" s="2191"/>
    </row>
    <row r="76" spans="1:16" s="2192" customFormat="1" ht="16.5" customHeight="1">
      <c r="A76" s="2121">
        <v>64</v>
      </c>
      <c r="B76" s="2121">
        <v>64</v>
      </c>
      <c r="C76" s="3283"/>
      <c r="D76" s="3284" t="s">
        <v>1441</v>
      </c>
      <c r="E76" s="3284" t="s">
        <v>40</v>
      </c>
      <c r="F76" s="3285">
        <v>259111</v>
      </c>
      <c r="G76" s="3285">
        <v>661666.29855281836</v>
      </c>
      <c r="H76" s="3285">
        <v>365466.8</v>
      </c>
      <c r="I76" s="3285">
        <v>0</v>
      </c>
      <c r="J76" s="3285">
        <v>0</v>
      </c>
      <c r="K76" s="3285">
        <f t="shared" si="2"/>
        <v>1286244.0985528184</v>
      </c>
      <c r="L76" s="3285">
        <v>0</v>
      </c>
      <c r="M76" s="3285">
        <f t="shared" si="1"/>
        <v>1286244.0985528184</v>
      </c>
      <c r="N76" s="3285"/>
      <c r="O76" s="3286"/>
      <c r="P76" s="2191"/>
    </row>
    <row r="77" spans="1:16" s="2192" customFormat="1" ht="16.5" customHeight="1">
      <c r="A77" s="2121">
        <v>65</v>
      </c>
      <c r="B77" s="2121">
        <v>65</v>
      </c>
      <c r="C77" s="3283"/>
      <c r="D77" s="3284" t="s">
        <v>1442</v>
      </c>
      <c r="E77" s="3284" t="s">
        <v>40</v>
      </c>
      <c r="F77" s="3285">
        <v>259111</v>
      </c>
      <c r="G77" s="3285">
        <v>661666.29855281836</v>
      </c>
      <c r="H77" s="3285">
        <v>365466.8</v>
      </c>
      <c r="I77" s="3285">
        <v>0</v>
      </c>
      <c r="J77" s="3285">
        <v>0</v>
      </c>
      <c r="K77" s="3285">
        <f t="shared" si="2"/>
        <v>1286244.0985528184</v>
      </c>
      <c r="L77" s="3285">
        <v>0</v>
      </c>
      <c r="M77" s="3285">
        <f t="shared" si="1"/>
        <v>1286244.0985528184</v>
      </c>
      <c r="N77" s="3285"/>
      <c r="O77" s="3286"/>
      <c r="P77" s="2191"/>
    </row>
    <row r="78" spans="1:16" s="2192" customFormat="1" ht="16.5" customHeight="1">
      <c r="A78" s="2121">
        <v>66</v>
      </c>
      <c r="B78" s="2121">
        <v>66</v>
      </c>
      <c r="C78" s="3283"/>
      <c r="D78" s="3284" t="s">
        <v>1443</v>
      </c>
      <c r="E78" s="3284" t="s">
        <v>40</v>
      </c>
      <c r="F78" s="3285">
        <v>259111</v>
      </c>
      <c r="G78" s="3285">
        <v>661666.29855281836</v>
      </c>
      <c r="H78" s="3285">
        <v>365466.8</v>
      </c>
      <c r="I78" s="3285">
        <v>0</v>
      </c>
      <c r="J78" s="3285">
        <v>0</v>
      </c>
      <c r="K78" s="3285">
        <f t="shared" ref="K78:K124" si="3">F78+G78+H78</f>
        <v>1286244.0985528184</v>
      </c>
      <c r="L78" s="3285">
        <v>0</v>
      </c>
      <c r="M78" s="3285">
        <f t="shared" ref="M78:M124" si="4">K78</f>
        <v>1286244.0985528184</v>
      </c>
      <c r="N78" s="3285"/>
      <c r="O78" s="3286"/>
      <c r="P78" s="2191"/>
    </row>
    <row r="79" spans="1:16" s="2192" customFormat="1" ht="16.5" customHeight="1">
      <c r="A79" s="2121">
        <v>67</v>
      </c>
      <c r="B79" s="2121">
        <v>67</v>
      </c>
      <c r="C79" s="3283">
        <v>0</v>
      </c>
      <c r="D79" s="3284" t="s">
        <v>1444</v>
      </c>
      <c r="E79" s="3284" t="s">
        <v>40</v>
      </c>
      <c r="F79" s="3285"/>
      <c r="G79" s="3285">
        <v>487736.73913173901</v>
      </c>
      <c r="H79" s="3285">
        <v>674831</v>
      </c>
      <c r="I79" s="3285">
        <v>0</v>
      </c>
      <c r="J79" s="3285">
        <v>0</v>
      </c>
      <c r="K79" s="3285">
        <f t="shared" si="3"/>
        <v>1162567.7391317389</v>
      </c>
      <c r="L79" s="3285">
        <v>0</v>
      </c>
      <c r="M79" s="3285">
        <f t="shared" si="4"/>
        <v>1162567.7391317389</v>
      </c>
      <c r="N79" s="3285">
        <v>0</v>
      </c>
      <c r="O79" s="3286"/>
      <c r="P79" s="2191"/>
    </row>
    <row r="80" spans="1:16" s="2192" customFormat="1" ht="16.5" customHeight="1">
      <c r="A80" s="2121">
        <v>68</v>
      </c>
      <c r="B80" s="2121">
        <v>68</v>
      </c>
      <c r="C80" s="3283"/>
      <c r="D80" s="3284" t="s">
        <v>1445</v>
      </c>
      <c r="E80" s="3284" t="s">
        <v>40</v>
      </c>
      <c r="F80" s="3285"/>
      <c r="G80" s="3285">
        <v>487736.73913173901</v>
      </c>
      <c r="H80" s="3285">
        <v>674831</v>
      </c>
      <c r="I80" s="3285">
        <v>0</v>
      </c>
      <c r="J80" s="3285">
        <v>0</v>
      </c>
      <c r="K80" s="3285">
        <f t="shared" si="3"/>
        <v>1162567.7391317389</v>
      </c>
      <c r="L80" s="3285">
        <v>0</v>
      </c>
      <c r="M80" s="3285">
        <f t="shared" si="4"/>
        <v>1162567.7391317389</v>
      </c>
      <c r="N80" s="3285">
        <v>0</v>
      </c>
      <c r="O80" s="3286"/>
      <c r="P80" s="2191"/>
    </row>
    <row r="81" spans="1:16" s="2192" customFormat="1" ht="16.5" customHeight="1">
      <c r="A81" s="2121">
        <v>69</v>
      </c>
      <c r="B81" s="2121">
        <v>69</v>
      </c>
      <c r="C81" s="3283"/>
      <c r="D81" s="3284" t="s">
        <v>1446</v>
      </c>
      <c r="E81" s="3284" t="s">
        <v>40</v>
      </c>
      <c r="F81" s="3285"/>
      <c r="G81" s="3285">
        <v>487736.73913173901</v>
      </c>
      <c r="H81" s="3285">
        <v>674831</v>
      </c>
      <c r="I81" s="3285">
        <v>0</v>
      </c>
      <c r="J81" s="3285">
        <v>0</v>
      </c>
      <c r="K81" s="3285">
        <f t="shared" si="3"/>
        <v>1162567.7391317389</v>
      </c>
      <c r="L81" s="3285">
        <v>0</v>
      </c>
      <c r="M81" s="3285">
        <f t="shared" si="4"/>
        <v>1162567.7391317389</v>
      </c>
      <c r="N81" s="3285">
        <v>0</v>
      </c>
      <c r="O81" s="3286"/>
      <c r="P81" s="2191"/>
    </row>
    <row r="82" spans="1:16" s="2192" customFormat="1" ht="16.5" customHeight="1">
      <c r="A82" s="2121">
        <v>70</v>
      </c>
      <c r="B82" s="2121">
        <v>70</v>
      </c>
      <c r="C82" s="3283"/>
      <c r="D82" s="3284" t="s">
        <v>1586</v>
      </c>
      <c r="E82" s="3284" t="s">
        <v>40</v>
      </c>
      <c r="F82" s="3285"/>
      <c r="G82" s="3285">
        <v>487736.73913173901</v>
      </c>
      <c r="H82" s="3285">
        <v>674831</v>
      </c>
      <c r="I82" s="3285">
        <v>0</v>
      </c>
      <c r="J82" s="3285">
        <v>0</v>
      </c>
      <c r="K82" s="3285">
        <f t="shared" si="3"/>
        <v>1162567.7391317389</v>
      </c>
      <c r="L82" s="3285">
        <v>0</v>
      </c>
      <c r="M82" s="3285">
        <f t="shared" si="4"/>
        <v>1162567.7391317389</v>
      </c>
      <c r="N82" s="3285">
        <v>0</v>
      </c>
      <c r="O82" s="3286"/>
      <c r="P82" s="2191"/>
    </row>
    <row r="83" spans="1:16" s="2192" customFormat="1" ht="16.5" customHeight="1">
      <c r="A83" s="2121">
        <v>71</v>
      </c>
      <c r="B83" s="2121">
        <v>71</v>
      </c>
      <c r="C83" s="3283"/>
      <c r="D83" s="3284" t="s">
        <v>1587</v>
      </c>
      <c r="E83" s="3284" t="s">
        <v>40</v>
      </c>
      <c r="F83" s="3285"/>
      <c r="G83" s="3285">
        <v>487736.73913173901</v>
      </c>
      <c r="H83" s="3285">
        <v>674831</v>
      </c>
      <c r="I83" s="3285">
        <v>0</v>
      </c>
      <c r="J83" s="3285">
        <v>0</v>
      </c>
      <c r="K83" s="3285">
        <f t="shared" si="3"/>
        <v>1162567.7391317389</v>
      </c>
      <c r="L83" s="3285">
        <v>0</v>
      </c>
      <c r="M83" s="3285">
        <f t="shared" si="4"/>
        <v>1162567.7391317389</v>
      </c>
      <c r="N83" s="3285">
        <v>0</v>
      </c>
      <c r="O83" s="3286"/>
      <c r="P83" s="2191"/>
    </row>
    <row r="84" spans="1:16" s="2192" customFormat="1" ht="16.5" customHeight="1">
      <c r="A84" s="2121">
        <v>72</v>
      </c>
      <c r="B84" s="2121">
        <v>72</v>
      </c>
      <c r="C84" s="3283"/>
      <c r="D84" s="3284" t="s">
        <v>1588</v>
      </c>
      <c r="E84" s="3284" t="s">
        <v>40</v>
      </c>
      <c r="F84" s="3285"/>
      <c r="G84" s="3285">
        <v>487736.73913173901</v>
      </c>
      <c r="H84" s="3285">
        <v>674831</v>
      </c>
      <c r="I84" s="3285">
        <v>0</v>
      </c>
      <c r="J84" s="3285">
        <v>0</v>
      </c>
      <c r="K84" s="3285">
        <f t="shared" si="3"/>
        <v>1162567.7391317389</v>
      </c>
      <c r="L84" s="3285">
        <v>0</v>
      </c>
      <c r="M84" s="3285">
        <f t="shared" si="4"/>
        <v>1162567.7391317389</v>
      </c>
      <c r="N84" s="3285">
        <v>0</v>
      </c>
      <c r="O84" s="3286"/>
      <c r="P84" s="2191"/>
    </row>
    <row r="85" spans="1:16" s="2192" customFormat="1" ht="16.5" customHeight="1">
      <c r="A85" s="2121">
        <v>73</v>
      </c>
      <c r="B85" s="2121">
        <v>73</v>
      </c>
      <c r="C85" s="3283">
        <v>0</v>
      </c>
      <c r="D85" s="3284" t="s">
        <v>1589</v>
      </c>
      <c r="E85" s="3284" t="s">
        <v>40</v>
      </c>
      <c r="F85" s="3285"/>
      <c r="G85" s="3285">
        <v>487736.73913173901</v>
      </c>
      <c r="H85" s="3285">
        <v>674831</v>
      </c>
      <c r="I85" s="3285">
        <v>0</v>
      </c>
      <c r="J85" s="3285">
        <v>0</v>
      </c>
      <c r="K85" s="3285">
        <f t="shared" si="3"/>
        <v>1162567.7391317389</v>
      </c>
      <c r="L85" s="3285">
        <v>0</v>
      </c>
      <c r="M85" s="3285">
        <f t="shared" si="4"/>
        <v>1162567.7391317389</v>
      </c>
      <c r="N85" s="3285"/>
      <c r="O85" s="3286"/>
      <c r="P85" s="2191"/>
    </row>
    <row r="86" spans="1:16" s="2192" customFormat="1" ht="16.5" customHeight="1">
      <c r="A86" s="2121">
        <v>74</v>
      </c>
      <c r="B86" s="2121">
        <v>74</v>
      </c>
      <c r="C86" s="3283"/>
      <c r="D86" s="3284" t="s">
        <v>1590</v>
      </c>
      <c r="E86" s="3284" t="s">
        <v>40</v>
      </c>
      <c r="F86" s="3285"/>
      <c r="G86" s="3285">
        <f>856378.432637601+34587</f>
        <v>890965.43263760104</v>
      </c>
      <c r="H86" s="3285">
        <v>380351.75</v>
      </c>
      <c r="I86" s="3285">
        <v>0</v>
      </c>
      <c r="J86" s="3285">
        <v>0</v>
      </c>
      <c r="K86" s="3285">
        <f t="shared" si="3"/>
        <v>1271317.1826376012</v>
      </c>
      <c r="L86" s="3285">
        <v>0</v>
      </c>
      <c r="M86" s="3285">
        <f t="shared" si="4"/>
        <v>1271317.1826376012</v>
      </c>
      <c r="N86" s="3285"/>
      <c r="O86" s="3286"/>
      <c r="P86" s="2191"/>
    </row>
    <row r="87" spans="1:16" s="2192" customFormat="1" ht="16.5" customHeight="1">
      <c r="A87" s="2121">
        <v>75</v>
      </c>
      <c r="B87" s="2121">
        <v>75</v>
      </c>
      <c r="C87" s="3283"/>
      <c r="D87" s="3284" t="s">
        <v>1591</v>
      </c>
      <c r="E87" s="3284" t="s">
        <v>40</v>
      </c>
      <c r="F87" s="3285"/>
      <c r="G87" s="3285">
        <v>856378.43263760116</v>
      </c>
      <c r="H87" s="3285">
        <v>380351.75</v>
      </c>
      <c r="I87" s="3285">
        <v>0</v>
      </c>
      <c r="J87" s="3285">
        <v>0</v>
      </c>
      <c r="K87" s="3285">
        <f t="shared" si="3"/>
        <v>1236730.1826376012</v>
      </c>
      <c r="L87" s="3285">
        <v>0</v>
      </c>
      <c r="M87" s="3285">
        <f t="shared" si="4"/>
        <v>1236730.1826376012</v>
      </c>
      <c r="N87" s="3285"/>
      <c r="O87" s="3286"/>
      <c r="P87" s="2191"/>
    </row>
    <row r="88" spans="1:16" s="2192" customFormat="1" ht="16.5" customHeight="1">
      <c r="A88" s="2121">
        <v>76</v>
      </c>
      <c r="B88" s="2121">
        <v>76</v>
      </c>
      <c r="C88" s="3283"/>
      <c r="D88" s="3284" t="s">
        <v>270</v>
      </c>
      <c r="E88" s="3284" t="s">
        <v>40</v>
      </c>
      <c r="F88" s="3285"/>
      <c r="G88" s="3285">
        <v>856378.43263760116</v>
      </c>
      <c r="H88" s="3285">
        <v>380351.75</v>
      </c>
      <c r="I88" s="3285">
        <v>0</v>
      </c>
      <c r="J88" s="3285">
        <v>0</v>
      </c>
      <c r="K88" s="3285">
        <f t="shared" si="3"/>
        <v>1236730.1826376012</v>
      </c>
      <c r="L88" s="3285">
        <v>0</v>
      </c>
      <c r="M88" s="3285">
        <f t="shared" si="4"/>
        <v>1236730.1826376012</v>
      </c>
      <c r="N88" s="3285"/>
      <c r="O88" s="3286"/>
      <c r="P88" s="2191"/>
    </row>
    <row r="89" spans="1:16" s="2192" customFormat="1" ht="16.5" customHeight="1">
      <c r="A89" s="2121">
        <v>77</v>
      </c>
      <c r="B89" s="2121">
        <v>77</v>
      </c>
      <c r="C89" s="3283"/>
      <c r="D89" s="3284" t="s">
        <v>1592</v>
      </c>
      <c r="E89" s="3284" t="s">
        <v>40</v>
      </c>
      <c r="F89" s="3285"/>
      <c r="G89" s="3285">
        <v>856378.43263760116</v>
      </c>
      <c r="H89" s="3285">
        <v>380351.75</v>
      </c>
      <c r="I89" s="3285">
        <v>0</v>
      </c>
      <c r="J89" s="3285">
        <v>0</v>
      </c>
      <c r="K89" s="3285">
        <f t="shared" si="3"/>
        <v>1236730.1826376012</v>
      </c>
      <c r="L89" s="3285">
        <v>0</v>
      </c>
      <c r="M89" s="3285">
        <f t="shared" si="4"/>
        <v>1236730.1826376012</v>
      </c>
      <c r="N89" s="3285"/>
      <c r="O89" s="3286"/>
      <c r="P89" s="2191"/>
    </row>
    <row r="90" spans="1:16" s="2192" customFormat="1" ht="16.5" customHeight="1">
      <c r="A90" s="2121">
        <v>78</v>
      </c>
      <c r="B90" s="2121">
        <v>78</v>
      </c>
      <c r="C90" s="3283"/>
      <c r="D90" s="3284" t="s">
        <v>1593</v>
      </c>
      <c r="E90" s="3284" t="s">
        <v>40</v>
      </c>
      <c r="F90" s="3285"/>
      <c r="G90" s="3285">
        <v>856378.43263760116</v>
      </c>
      <c r="H90" s="3285">
        <v>380351.75</v>
      </c>
      <c r="I90" s="3285">
        <v>0</v>
      </c>
      <c r="J90" s="3285">
        <v>0</v>
      </c>
      <c r="K90" s="3285">
        <f t="shared" si="3"/>
        <v>1236730.1826376012</v>
      </c>
      <c r="L90" s="3285">
        <v>0</v>
      </c>
      <c r="M90" s="3285">
        <f t="shared" si="4"/>
        <v>1236730.1826376012</v>
      </c>
      <c r="N90" s="3285"/>
      <c r="O90" s="3286"/>
      <c r="P90" s="2191"/>
    </row>
    <row r="91" spans="1:16" s="2192" customFormat="1" ht="16.5" customHeight="1">
      <c r="A91" s="2121">
        <v>79</v>
      </c>
      <c r="B91" s="2121">
        <v>79</v>
      </c>
      <c r="C91" s="3283"/>
      <c r="D91" s="3284" t="s">
        <v>1594</v>
      </c>
      <c r="E91" s="3284" t="s">
        <v>40</v>
      </c>
      <c r="F91" s="3285"/>
      <c r="G91" s="3285">
        <v>856378.43263760116</v>
      </c>
      <c r="H91" s="3285">
        <v>380351.75</v>
      </c>
      <c r="I91" s="3285">
        <v>0</v>
      </c>
      <c r="J91" s="3285">
        <v>0</v>
      </c>
      <c r="K91" s="3285">
        <f t="shared" si="3"/>
        <v>1236730.1826376012</v>
      </c>
      <c r="L91" s="3285">
        <v>0</v>
      </c>
      <c r="M91" s="3285">
        <f t="shared" si="4"/>
        <v>1236730.1826376012</v>
      </c>
      <c r="N91" s="3285"/>
      <c r="O91" s="3286"/>
      <c r="P91" s="2191"/>
    </row>
    <row r="92" spans="1:16" s="2192" customFormat="1" ht="16.5" customHeight="1">
      <c r="A92" s="2121">
        <v>80</v>
      </c>
      <c r="B92" s="2121">
        <v>80</v>
      </c>
      <c r="C92" s="3283"/>
      <c r="D92" s="3284" t="s">
        <v>1595</v>
      </c>
      <c r="E92" s="3284" t="s">
        <v>40</v>
      </c>
      <c r="F92" s="3285"/>
      <c r="G92" s="3285">
        <v>856378.43263760116</v>
      </c>
      <c r="H92" s="3285">
        <v>380351.75</v>
      </c>
      <c r="I92" s="3285">
        <v>0</v>
      </c>
      <c r="J92" s="3285">
        <v>0</v>
      </c>
      <c r="K92" s="3285">
        <f t="shared" si="3"/>
        <v>1236730.1826376012</v>
      </c>
      <c r="L92" s="3285">
        <v>0</v>
      </c>
      <c r="M92" s="3285">
        <f t="shared" si="4"/>
        <v>1236730.1826376012</v>
      </c>
      <c r="N92" s="3285"/>
      <c r="O92" s="3286"/>
      <c r="P92" s="2191"/>
    </row>
    <row r="93" spans="1:16" s="2192" customFormat="1" ht="16.5" customHeight="1">
      <c r="A93" s="2121">
        <v>81</v>
      </c>
      <c r="B93" s="2121">
        <v>81</v>
      </c>
      <c r="C93" s="3283">
        <v>0</v>
      </c>
      <c r="D93" s="3284" t="s">
        <v>1417</v>
      </c>
      <c r="E93" s="3284" t="s">
        <v>40</v>
      </c>
      <c r="F93" s="3285"/>
      <c r="G93" s="3285">
        <v>632212.64222430298</v>
      </c>
      <c r="H93" s="3285">
        <v>506116.28571428597</v>
      </c>
      <c r="I93" s="3285">
        <v>0</v>
      </c>
      <c r="J93" s="3285">
        <v>0</v>
      </c>
      <c r="K93" s="3285">
        <f t="shared" si="3"/>
        <v>1138328.9279385889</v>
      </c>
      <c r="L93" s="3285">
        <v>0</v>
      </c>
      <c r="M93" s="3285">
        <f t="shared" si="4"/>
        <v>1138328.9279385889</v>
      </c>
      <c r="N93" s="3285"/>
      <c r="O93" s="3286"/>
      <c r="P93" s="2191"/>
    </row>
    <row r="94" spans="1:16" s="2192" customFormat="1" ht="16.5" customHeight="1">
      <c r="A94" s="2121">
        <v>82</v>
      </c>
      <c r="B94" s="2121">
        <v>82</v>
      </c>
      <c r="C94" s="3283"/>
      <c r="D94" s="3284" t="s">
        <v>978</v>
      </c>
      <c r="E94" s="3284" t="s">
        <v>40</v>
      </c>
      <c r="F94" s="3285"/>
      <c r="G94" s="3285">
        <v>632212.64222430298</v>
      </c>
      <c r="H94" s="3285">
        <v>506116.28571428597</v>
      </c>
      <c r="I94" s="3285">
        <v>0</v>
      </c>
      <c r="J94" s="3285">
        <v>0</v>
      </c>
      <c r="K94" s="3285">
        <f t="shared" si="3"/>
        <v>1138328.9279385889</v>
      </c>
      <c r="L94" s="3285">
        <v>0</v>
      </c>
      <c r="M94" s="3285">
        <f t="shared" si="4"/>
        <v>1138328.9279385889</v>
      </c>
      <c r="N94" s="3285"/>
      <c r="O94" s="3286"/>
      <c r="P94" s="2191"/>
    </row>
    <row r="95" spans="1:16" s="2192" customFormat="1" ht="16.5" customHeight="1">
      <c r="A95" s="2121">
        <v>83</v>
      </c>
      <c r="B95" s="2121">
        <v>83</v>
      </c>
      <c r="C95" s="3283"/>
      <c r="D95" s="3284" t="s">
        <v>1418</v>
      </c>
      <c r="E95" s="3284" t="s">
        <v>40</v>
      </c>
      <c r="F95" s="3285"/>
      <c r="G95" s="3285">
        <v>632212.64222430298</v>
      </c>
      <c r="H95" s="3285">
        <v>506116.28571428597</v>
      </c>
      <c r="I95" s="3285">
        <v>0</v>
      </c>
      <c r="J95" s="3285">
        <v>0</v>
      </c>
      <c r="K95" s="3285">
        <f t="shared" si="3"/>
        <v>1138328.9279385889</v>
      </c>
      <c r="L95" s="3285">
        <v>0</v>
      </c>
      <c r="M95" s="3285">
        <f t="shared" si="4"/>
        <v>1138328.9279385889</v>
      </c>
      <c r="N95" s="3285"/>
      <c r="O95" s="3286"/>
      <c r="P95" s="2191"/>
    </row>
    <row r="96" spans="1:16" s="2192" customFormat="1" ht="16.5" customHeight="1">
      <c r="A96" s="2121">
        <v>84</v>
      </c>
      <c r="B96" s="2121">
        <v>84</v>
      </c>
      <c r="C96" s="3283"/>
      <c r="D96" s="3284" t="s">
        <v>942</v>
      </c>
      <c r="E96" s="3284" t="s">
        <v>40</v>
      </c>
      <c r="F96" s="3285"/>
      <c r="G96" s="3285">
        <v>632212.64222430298</v>
      </c>
      <c r="H96" s="3285">
        <v>506116.28571428597</v>
      </c>
      <c r="I96" s="3285">
        <v>0</v>
      </c>
      <c r="J96" s="3285">
        <v>0</v>
      </c>
      <c r="K96" s="3285">
        <f t="shared" si="3"/>
        <v>1138328.9279385889</v>
      </c>
      <c r="L96" s="3285">
        <v>0</v>
      </c>
      <c r="M96" s="3285">
        <f t="shared" si="4"/>
        <v>1138328.9279385889</v>
      </c>
      <c r="N96" s="3285"/>
      <c r="O96" s="3286"/>
      <c r="P96" s="2191"/>
    </row>
    <row r="97" spans="1:16" s="2192" customFormat="1" ht="16.5" customHeight="1">
      <c r="A97" s="2121">
        <v>85</v>
      </c>
      <c r="B97" s="2121">
        <v>85</v>
      </c>
      <c r="C97" s="3283"/>
      <c r="D97" s="3284" t="s">
        <v>959</v>
      </c>
      <c r="E97" s="3284" t="s">
        <v>40</v>
      </c>
      <c r="F97" s="3285"/>
      <c r="G97" s="3285">
        <v>632212.64222430298</v>
      </c>
      <c r="H97" s="3285">
        <v>506116.28571428597</v>
      </c>
      <c r="I97" s="3285">
        <v>0</v>
      </c>
      <c r="J97" s="3285">
        <v>0</v>
      </c>
      <c r="K97" s="3285">
        <f t="shared" si="3"/>
        <v>1138328.9279385889</v>
      </c>
      <c r="L97" s="3285">
        <v>0</v>
      </c>
      <c r="M97" s="3285">
        <f t="shared" si="4"/>
        <v>1138328.9279385889</v>
      </c>
      <c r="N97" s="3285"/>
      <c r="O97" s="3286"/>
      <c r="P97" s="2191"/>
    </row>
    <row r="98" spans="1:16" s="2192" customFormat="1" ht="16.5" customHeight="1">
      <c r="A98" s="2121">
        <v>86</v>
      </c>
      <c r="B98" s="2121">
        <v>86</v>
      </c>
      <c r="C98" s="3283"/>
      <c r="D98" s="3284" t="s">
        <v>1419</v>
      </c>
      <c r="E98" s="3284" t="s">
        <v>40</v>
      </c>
      <c r="F98" s="3285"/>
      <c r="G98" s="3285">
        <v>632212.64222430298</v>
      </c>
      <c r="H98" s="3285">
        <v>506116.28571428597</v>
      </c>
      <c r="I98" s="3285">
        <v>0</v>
      </c>
      <c r="J98" s="3285">
        <v>0</v>
      </c>
      <c r="K98" s="3285">
        <f t="shared" si="3"/>
        <v>1138328.9279385889</v>
      </c>
      <c r="L98" s="3285">
        <v>0</v>
      </c>
      <c r="M98" s="3285">
        <f t="shared" si="4"/>
        <v>1138328.9279385889</v>
      </c>
      <c r="N98" s="3285"/>
      <c r="O98" s="3286"/>
      <c r="P98" s="2191"/>
    </row>
    <row r="99" spans="1:16" s="2192" customFormat="1" ht="16.5" customHeight="1">
      <c r="A99" s="2121">
        <v>87</v>
      </c>
      <c r="B99" s="2121">
        <v>87</v>
      </c>
      <c r="C99" s="3283"/>
      <c r="D99" s="3284" t="s">
        <v>960</v>
      </c>
      <c r="E99" s="3284" t="s">
        <v>40</v>
      </c>
      <c r="F99" s="3285"/>
      <c r="G99" s="3285">
        <v>632212.64222430298</v>
      </c>
      <c r="H99" s="3285">
        <v>506116.28571428597</v>
      </c>
      <c r="I99" s="3285">
        <v>0</v>
      </c>
      <c r="J99" s="3285">
        <v>0</v>
      </c>
      <c r="K99" s="3285">
        <f t="shared" si="3"/>
        <v>1138328.9279385889</v>
      </c>
      <c r="L99" s="3285">
        <v>0</v>
      </c>
      <c r="M99" s="3285">
        <f t="shared" si="4"/>
        <v>1138328.9279385889</v>
      </c>
      <c r="N99" s="3285"/>
      <c r="O99" s="3286"/>
      <c r="P99" s="2191"/>
    </row>
    <row r="100" spans="1:16" s="2192" customFormat="1" ht="16.5" customHeight="1">
      <c r="A100" s="2121">
        <v>88</v>
      </c>
      <c r="B100" s="2121">
        <v>88</v>
      </c>
      <c r="C100" s="3283">
        <v>0</v>
      </c>
      <c r="D100" s="3284" t="s">
        <v>943</v>
      </c>
      <c r="E100" s="3284" t="s">
        <v>40</v>
      </c>
      <c r="F100" s="3285"/>
      <c r="G100" s="3285">
        <v>632212.64222430298</v>
      </c>
      <c r="H100" s="3285">
        <v>506116.28571428597</v>
      </c>
      <c r="I100" s="3285">
        <v>0</v>
      </c>
      <c r="J100" s="3285">
        <v>0</v>
      </c>
      <c r="K100" s="3285">
        <f t="shared" si="3"/>
        <v>1138328.9279385889</v>
      </c>
      <c r="L100" s="3285">
        <v>0</v>
      </c>
      <c r="M100" s="3285">
        <f t="shared" si="4"/>
        <v>1138328.9279385889</v>
      </c>
      <c r="N100" s="3285"/>
      <c r="O100" s="3286"/>
      <c r="P100" s="2191"/>
    </row>
    <row r="101" spans="1:16" s="2192" customFormat="1" ht="16.5" customHeight="1">
      <c r="A101" s="2121">
        <v>89</v>
      </c>
      <c r="B101" s="2121">
        <v>89</v>
      </c>
      <c r="C101" s="3283"/>
      <c r="D101" s="3284" t="s">
        <v>1420</v>
      </c>
      <c r="E101" s="3284" t="s">
        <v>40</v>
      </c>
      <c r="F101" s="3285"/>
      <c r="G101" s="3285">
        <v>632212.64222430298</v>
      </c>
      <c r="H101" s="3285">
        <v>506116.28571428597</v>
      </c>
      <c r="I101" s="3285">
        <v>0</v>
      </c>
      <c r="J101" s="3285">
        <v>0</v>
      </c>
      <c r="K101" s="3285">
        <f t="shared" si="3"/>
        <v>1138328.9279385889</v>
      </c>
      <c r="L101" s="3285">
        <v>0</v>
      </c>
      <c r="M101" s="3285">
        <f t="shared" si="4"/>
        <v>1138328.9279385889</v>
      </c>
      <c r="N101" s="3285"/>
      <c r="O101" s="3286"/>
      <c r="P101" s="2191"/>
    </row>
    <row r="102" spans="1:16" s="2192" customFormat="1" ht="16.5" customHeight="1">
      <c r="A102" s="2121">
        <v>90</v>
      </c>
      <c r="B102" s="2121">
        <v>90</v>
      </c>
      <c r="C102" s="3283"/>
      <c r="D102" s="3284" t="s">
        <v>1400</v>
      </c>
      <c r="E102" s="3284" t="s">
        <v>40</v>
      </c>
      <c r="F102" s="3285">
        <v>201713</v>
      </c>
      <c r="G102" s="3285">
        <v>868716.12243207847</v>
      </c>
      <c r="H102" s="3285">
        <v>227727.42857142858</v>
      </c>
      <c r="I102" s="3285">
        <v>0</v>
      </c>
      <c r="J102" s="3285">
        <v>0</v>
      </c>
      <c r="K102" s="3285">
        <f t="shared" si="3"/>
        <v>1298156.5510035071</v>
      </c>
      <c r="L102" s="3285">
        <v>0</v>
      </c>
      <c r="M102" s="3285">
        <f t="shared" si="4"/>
        <v>1298156.5510035071</v>
      </c>
      <c r="N102" s="3285"/>
      <c r="O102" s="3286"/>
      <c r="P102" s="2191"/>
    </row>
    <row r="103" spans="1:16" s="2192" customFormat="1" ht="16.5" customHeight="1">
      <c r="A103" s="2121">
        <v>91</v>
      </c>
      <c r="B103" s="2121">
        <v>91</v>
      </c>
      <c r="C103" s="3283">
        <v>0</v>
      </c>
      <c r="D103" s="3284" t="s">
        <v>1401</v>
      </c>
      <c r="E103" s="3284" t="s">
        <v>40</v>
      </c>
      <c r="F103" s="3285">
        <v>248191</v>
      </c>
      <c r="G103" s="3285">
        <v>808010.65845489712</v>
      </c>
      <c r="H103" s="3285">
        <v>227727.42857142858</v>
      </c>
      <c r="I103" s="3285">
        <v>0</v>
      </c>
      <c r="J103" s="3285">
        <v>0</v>
      </c>
      <c r="K103" s="3285">
        <f t="shared" si="3"/>
        <v>1283929.0870263258</v>
      </c>
      <c r="L103" s="3285">
        <v>0</v>
      </c>
      <c r="M103" s="3285">
        <f t="shared" si="4"/>
        <v>1283929.0870263258</v>
      </c>
      <c r="N103" s="3285"/>
      <c r="O103" s="3286"/>
      <c r="P103" s="2191"/>
    </row>
    <row r="104" spans="1:16" s="2192" customFormat="1" ht="16.5" customHeight="1">
      <c r="A104" s="2121">
        <v>92</v>
      </c>
      <c r="B104" s="2121">
        <v>92</v>
      </c>
      <c r="C104" s="3283"/>
      <c r="D104" s="3284" t="s">
        <v>1402</v>
      </c>
      <c r="E104" s="3284" t="s">
        <v>40</v>
      </c>
      <c r="F104" s="3285">
        <v>248191</v>
      </c>
      <c r="G104" s="3285">
        <v>808010.65845489712</v>
      </c>
      <c r="H104" s="3285">
        <v>227727.42857142858</v>
      </c>
      <c r="I104" s="3285">
        <v>0</v>
      </c>
      <c r="J104" s="3285">
        <v>0</v>
      </c>
      <c r="K104" s="3285">
        <f t="shared" si="3"/>
        <v>1283929.0870263258</v>
      </c>
      <c r="L104" s="3285">
        <v>0</v>
      </c>
      <c r="M104" s="3285">
        <f t="shared" si="4"/>
        <v>1283929.0870263258</v>
      </c>
      <c r="N104" s="3285"/>
      <c r="O104" s="3286"/>
      <c r="P104" s="2191"/>
    </row>
    <row r="105" spans="1:16" s="2192" customFormat="1" ht="16.5" customHeight="1">
      <c r="A105" s="2121">
        <v>93</v>
      </c>
      <c r="B105" s="2121">
        <v>93</v>
      </c>
      <c r="C105" s="3283"/>
      <c r="D105" s="3284" t="s">
        <v>1403</v>
      </c>
      <c r="E105" s="3284" t="s">
        <v>40</v>
      </c>
      <c r="F105" s="3285">
        <v>248191</v>
      </c>
      <c r="G105" s="3285">
        <v>808010.65845489712</v>
      </c>
      <c r="H105" s="3285">
        <v>227727.42857142858</v>
      </c>
      <c r="I105" s="3285">
        <v>0</v>
      </c>
      <c r="J105" s="3285">
        <v>0</v>
      </c>
      <c r="K105" s="3285">
        <f t="shared" si="3"/>
        <v>1283929.0870263258</v>
      </c>
      <c r="L105" s="3285">
        <v>0</v>
      </c>
      <c r="M105" s="3285">
        <f t="shared" si="4"/>
        <v>1283929.0870263258</v>
      </c>
      <c r="N105" s="3285"/>
      <c r="O105" s="3286"/>
      <c r="P105" s="2191"/>
    </row>
    <row r="106" spans="1:16" s="2192" customFormat="1" ht="16.5" customHeight="1">
      <c r="A106" s="2121">
        <v>94</v>
      </c>
      <c r="B106" s="2121">
        <v>94</v>
      </c>
      <c r="C106" s="3283"/>
      <c r="D106" s="3284" t="s">
        <v>1404</v>
      </c>
      <c r="E106" s="3284" t="s">
        <v>40</v>
      </c>
      <c r="F106" s="3285">
        <v>248191</v>
      </c>
      <c r="G106" s="3285">
        <v>808010.65845489712</v>
      </c>
      <c r="H106" s="3285">
        <v>227727.42857142858</v>
      </c>
      <c r="I106" s="3285">
        <v>0</v>
      </c>
      <c r="J106" s="3285">
        <v>0</v>
      </c>
      <c r="K106" s="3285">
        <f t="shared" si="3"/>
        <v>1283929.0870263258</v>
      </c>
      <c r="L106" s="3285">
        <v>0</v>
      </c>
      <c r="M106" s="3285">
        <f t="shared" si="4"/>
        <v>1283929.0870263258</v>
      </c>
      <c r="N106" s="3285"/>
      <c r="O106" s="3286"/>
      <c r="P106" s="2191"/>
    </row>
    <row r="107" spans="1:16" s="2192" customFormat="1" ht="16.5" customHeight="1">
      <c r="A107" s="2121">
        <v>95</v>
      </c>
      <c r="B107" s="2121">
        <v>95</v>
      </c>
      <c r="C107" s="3283"/>
      <c r="D107" s="3284" t="s">
        <v>1405</v>
      </c>
      <c r="E107" s="3284" t="s">
        <v>40</v>
      </c>
      <c r="F107" s="3285">
        <v>248191</v>
      </c>
      <c r="G107" s="3285">
        <v>808010.65845489712</v>
      </c>
      <c r="H107" s="3285">
        <v>227727.42857142858</v>
      </c>
      <c r="I107" s="3285">
        <v>0</v>
      </c>
      <c r="J107" s="3285">
        <v>0</v>
      </c>
      <c r="K107" s="3285">
        <f t="shared" si="3"/>
        <v>1283929.0870263258</v>
      </c>
      <c r="L107" s="3285">
        <v>0</v>
      </c>
      <c r="M107" s="3285">
        <f t="shared" si="4"/>
        <v>1283929.0870263258</v>
      </c>
      <c r="N107" s="3285"/>
      <c r="O107" s="3286"/>
      <c r="P107" s="2191"/>
    </row>
    <row r="108" spans="1:16" s="2192" customFormat="1" ht="16.5" customHeight="1">
      <c r="A108" s="2121">
        <v>96</v>
      </c>
      <c r="B108" s="2121">
        <v>96</v>
      </c>
      <c r="C108" s="3283"/>
      <c r="D108" s="3284" t="s">
        <v>1406</v>
      </c>
      <c r="E108" s="3284" t="s">
        <v>40</v>
      </c>
      <c r="F108" s="3285">
        <v>248191</v>
      </c>
      <c r="G108" s="3285">
        <v>808010.65845489712</v>
      </c>
      <c r="H108" s="3285">
        <v>227727.42857142858</v>
      </c>
      <c r="I108" s="3285">
        <v>0</v>
      </c>
      <c r="J108" s="3285">
        <v>0</v>
      </c>
      <c r="K108" s="3285">
        <f t="shared" si="3"/>
        <v>1283929.0870263258</v>
      </c>
      <c r="L108" s="3285">
        <v>0</v>
      </c>
      <c r="M108" s="3285">
        <f t="shared" si="4"/>
        <v>1283929.0870263258</v>
      </c>
      <c r="N108" s="3285"/>
      <c r="O108" s="3286"/>
      <c r="P108" s="2191"/>
    </row>
    <row r="109" spans="1:16" s="2192" customFormat="1" ht="16.5" customHeight="1">
      <c r="A109" s="2121">
        <v>97</v>
      </c>
      <c r="B109" s="2121">
        <v>97</v>
      </c>
      <c r="C109" s="3283"/>
      <c r="D109" s="3284" t="s">
        <v>1407</v>
      </c>
      <c r="E109" s="3284" t="s">
        <v>40</v>
      </c>
      <c r="F109" s="3285">
        <v>248191</v>
      </c>
      <c r="G109" s="3285">
        <v>808010.65845489712</v>
      </c>
      <c r="H109" s="3285">
        <v>227727.42857142858</v>
      </c>
      <c r="I109" s="3285">
        <v>0</v>
      </c>
      <c r="J109" s="3285">
        <v>0</v>
      </c>
      <c r="K109" s="3285">
        <f t="shared" si="3"/>
        <v>1283929.0870263258</v>
      </c>
      <c r="L109" s="3285">
        <v>0</v>
      </c>
      <c r="M109" s="3285">
        <f t="shared" si="4"/>
        <v>1283929.0870263258</v>
      </c>
      <c r="N109" s="3285"/>
      <c r="O109" s="3286"/>
      <c r="P109" s="2191"/>
    </row>
    <row r="110" spans="1:16" s="2192" customFormat="1" ht="16.5" customHeight="1">
      <c r="A110" s="2121">
        <v>98</v>
      </c>
      <c r="B110" s="2121">
        <v>98</v>
      </c>
      <c r="C110" s="3283"/>
      <c r="D110" s="3284" t="s">
        <v>1408</v>
      </c>
      <c r="E110" s="3284" t="s">
        <v>40</v>
      </c>
      <c r="F110" s="3285">
        <v>248191</v>
      </c>
      <c r="G110" s="3285">
        <v>808010.65845489712</v>
      </c>
      <c r="H110" s="3285">
        <v>227727.42857142858</v>
      </c>
      <c r="I110" s="3285">
        <v>0</v>
      </c>
      <c r="J110" s="3285">
        <v>0</v>
      </c>
      <c r="K110" s="3285">
        <f t="shared" si="3"/>
        <v>1283929.0870263258</v>
      </c>
      <c r="L110" s="3285">
        <v>0</v>
      </c>
      <c r="M110" s="3285">
        <f t="shared" si="4"/>
        <v>1283929.0870263258</v>
      </c>
      <c r="N110" s="3285"/>
      <c r="O110" s="3286"/>
      <c r="P110" s="2191"/>
    </row>
    <row r="111" spans="1:16" s="2192" customFormat="1" ht="16.5" customHeight="1">
      <c r="A111" s="2121">
        <v>99</v>
      </c>
      <c r="B111" s="2121">
        <v>99</v>
      </c>
      <c r="C111" s="3283">
        <v>0</v>
      </c>
      <c r="D111" s="3284" t="s">
        <v>1409</v>
      </c>
      <c r="E111" s="3284" t="s">
        <v>40</v>
      </c>
      <c r="F111" s="3285">
        <v>277727.42857142899</v>
      </c>
      <c r="G111" s="3285">
        <v>787029.11692288425</v>
      </c>
      <c r="H111" s="3285">
        <v>199261.5</v>
      </c>
      <c r="I111" s="3285">
        <v>0</v>
      </c>
      <c r="J111" s="3285">
        <v>0</v>
      </c>
      <c r="K111" s="3285">
        <f t="shared" si="3"/>
        <v>1264018.0454943134</v>
      </c>
      <c r="L111" s="3285">
        <v>0</v>
      </c>
      <c r="M111" s="3285">
        <f t="shared" si="4"/>
        <v>1264018.0454943134</v>
      </c>
      <c r="N111" s="3285"/>
      <c r="O111" s="3286"/>
      <c r="P111" s="2191"/>
    </row>
    <row r="112" spans="1:16" s="2192" customFormat="1" ht="16.5" customHeight="1">
      <c r="A112" s="2121">
        <v>100</v>
      </c>
      <c r="B112" s="2121">
        <v>100</v>
      </c>
      <c r="C112" s="3283"/>
      <c r="D112" s="3284" t="s">
        <v>1410</v>
      </c>
      <c r="E112" s="3284" t="s">
        <v>40</v>
      </c>
      <c r="F112" s="3285">
        <v>277727.42857142899</v>
      </c>
      <c r="G112" s="3285">
        <v>787029.11692288425</v>
      </c>
      <c r="H112" s="3285">
        <v>199261.5</v>
      </c>
      <c r="I112" s="3285">
        <v>0</v>
      </c>
      <c r="J112" s="3285">
        <v>0</v>
      </c>
      <c r="K112" s="3285">
        <f t="shared" si="3"/>
        <v>1264018.0454943134</v>
      </c>
      <c r="L112" s="3285">
        <v>0</v>
      </c>
      <c r="M112" s="3285">
        <f t="shared" si="4"/>
        <v>1264018.0454943134</v>
      </c>
      <c r="N112" s="3285"/>
      <c r="O112" s="3286"/>
      <c r="P112" s="2191"/>
    </row>
    <row r="113" spans="1:16" s="2192" customFormat="1" ht="16.5" customHeight="1">
      <c r="A113" s="2121">
        <v>101</v>
      </c>
      <c r="B113" s="2121">
        <v>101</v>
      </c>
      <c r="C113" s="3283"/>
      <c r="D113" s="3284" t="s">
        <v>1411</v>
      </c>
      <c r="E113" s="3284" t="s">
        <v>40</v>
      </c>
      <c r="F113" s="3285">
        <v>277727.42857142899</v>
      </c>
      <c r="G113" s="3285">
        <v>787029.11692288425</v>
      </c>
      <c r="H113" s="3285">
        <v>199261.5</v>
      </c>
      <c r="I113" s="3285">
        <v>0</v>
      </c>
      <c r="J113" s="3285">
        <v>0</v>
      </c>
      <c r="K113" s="3285">
        <f t="shared" si="3"/>
        <v>1264018.0454943134</v>
      </c>
      <c r="L113" s="3285">
        <v>0</v>
      </c>
      <c r="M113" s="3285">
        <f t="shared" si="4"/>
        <v>1264018.0454943134</v>
      </c>
      <c r="N113" s="3285"/>
      <c r="O113" s="3286"/>
      <c r="P113" s="2191"/>
    </row>
    <row r="114" spans="1:16" s="2192" customFormat="1" ht="16.5" customHeight="1">
      <c r="A114" s="2121">
        <v>102</v>
      </c>
      <c r="B114" s="2121">
        <v>102</v>
      </c>
      <c r="C114" s="3283"/>
      <c r="D114" s="3284" t="s">
        <v>1433</v>
      </c>
      <c r="E114" s="3284" t="s">
        <v>40</v>
      </c>
      <c r="F114" s="3285">
        <v>277727.42857142899</v>
      </c>
      <c r="G114" s="3285">
        <v>787029.11692288425</v>
      </c>
      <c r="H114" s="3285">
        <v>199261.5</v>
      </c>
      <c r="I114" s="3285">
        <v>0</v>
      </c>
      <c r="J114" s="3285">
        <v>0</v>
      </c>
      <c r="K114" s="3285">
        <f t="shared" si="3"/>
        <v>1264018.0454943134</v>
      </c>
      <c r="L114" s="3285">
        <v>0</v>
      </c>
      <c r="M114" s="3285">
        <f t="shared" si="4"/>
        <v>1264018.0454943134</v>
      </c>
      <c r="N114" s="3285"/>
      <c r="O114" s="3286"/>
      <c r="P114" s="2191"/>
    </row>
    <row r="115" spans="1:16" s="2192" customFormat="1" ht="16.5" customHeight="1">
      <c r="A115" s="2121">
        <v>103</v>
      </c>
      <c r="B115" s="2121">
        <v>103</v>
      </c>
      <c r="C115" s="3283"/>
      <c r="D115" s="3284" t="s">
        <v>1434</v>
      </c>
      <c r="E115" s="3284" t="s">
        <v>40</v>
      </c>
      <c r="F115" s="3285">
        <v>277727.42857142899</v>
      </c>
      <c r="G115" s="3285">
        <v>787029.11692288425</v>
      </c>
      <c r="H115" s="3285">
        <v>199261.5</v>
      </c>
      <c r="I115" s="3285">
        <v>0</v>
      </c>
      <c r="J115" s="3285">
        <v>0</v>
      </c>
      <c r="K115" s="3285">
        <f t="shared" si="3"/>
        <v>1264018.0454943134</v>
      </c>
      <c r="L115" s="3285">
        <v>0</v>
      </c>
      <c r="M115" s="3285">
        <f t="shared" si="4"/>
        <v>1264018.0454943134</v>
      </c>
      <c r="N115" s="3285"/>
      <c r="O115" s="3286"/>
      <c r="P115" s="2191"/>
    </row>
    <row r="116" spans="1:16" s="2192" customFormat="1" ht="16.5" customHeight="1">
      <c r="A116" s="2121">
        <v>104</v>
      </c>
      <c r="B116" s="2121">
        <v>104</v>
      </c>
      <c r="C116" s="3283"/>
      <c r="D116" s="3284" t="s">
        <v>1435</v>
      </c>
      <c r="E116" s="3284" t="s">
        <v>40</v>
      </c>
      <c r="F116" s="3285">
        <v>277727.42857142899</v>
      </c>
      <c r="G116" s="3285">
        <v>787029.11692288425</v>
      </c>
      <c r="H116" s="3285">
        <v>199261.5</v>
      </c>
      <c r="I116" s="3285">
        <v>0</v>
      </c>
      <c r="J116" s="3285">
        <v>0</v>
      </c>
      <c r="K116" s="3285">
        <f t="shared" si="3"/>
        <v>1264018.0454943134</v>
      </c>
      <c r="L116" s="3285">
        <v>0</v>
      </c>
      <c r="M116" s="3285">
        <f t="shared" si="4"/>
        <v>1264018.0454943134</v>
      </c>
      <c r="N116" s="3285"/>
      <c r="O116" s="3286"/>
      <c r="P116" s="2191"/>
    </row>
    <row r="117" spans="1:16" s="2192" customFormat="1" ht="16.5" customHeight="1">
      <c r="A117" s="2121">
        <v>105</v>
      </c>
      <c r="B117" s="2121">
        <v>105</v>
      </c>
      <c r="C117" s="3283"/>
      <c r="D117" s="3284" t="s">
        <v>1436</v>
      </c>
      <c r="E117" s="3284" t="s">
        <v>40</v>
      </c>
      <c r="F117" s="3285">
        <v>277727.42857142899</v>
      </c>
      <c r="G117" s="3285">
        <v>787029.11692288425</v>
      </c>
      <c r="H117" s="3285">
        <v>199261.5</v>
      </c>
      <c r="I117" s="3285">
        <v>0</v>
      </c>
      <c r="J117" s="3285">
        <v>0</v>
      </c>
      <c r="K117" s="3285">
        <f t="shared" si="3"/>
        <v>1264018.0454943134</v>
      </c>
      <c r="L117" s="3285">
        <v>0</v>
      </c>
      <c r="M117" s="3285">
        <f t="shared" si="4"/>
        <v>1264018.0454943134</v>
      </c>
      <c r="N117" s="3285"/>
      <c r="O117" s="3286"/>
      <c r="P117" s="2191"/>
    </row>
    <row r="118" spans="1:16" s="2192" customFormat="1" ht="16.5" customHeight="1">
      <c r="A118" s="2121">
        <v>106</v>
      </c>
      <c r="B118" s="2121">
        <v>106</v>
      </c>
      <c r="C118" s="3283"/>
      <c r="D118" s="3284" t="s">
        <v>1437</v>
      </c>
      <c r="E118" s="3284" t="s">
        <v>40</v>
      </c>
      <c r="F118" s="3285">
        <v>277727.42857142899</v>
      </c>
      <c r="G118" s="3285">
        <v>787029.11692288425</v>
      </c>
      <c r="H118" s="3285">
        <v>199261.5</v>
      </c>
      <c r="I118" s="3285">
        <v>0</v>
      </c>
      <c r="J118" s="3285">
        <v>0</v>
      </c>
      <c r="K118" s="3285">
        <f t="shared" si="3"/>
        <v>1264018.0454943134</v>
      </c>
      <c r="L118" s="3285">
        <v>0</v>
      </c>
      <c r="M118" s="3285">
        <f t="shared" si="4"/>
        <v>1264018.0454943134</v>
      </c>
      <c r="N118" s="3285"/>
      <c r="O118" s="3286"/>
      <c r="P118" s="2191"/>
    </row>
    <row r="119" spans="1:16" s="2192" customFormat="1" ht="16.5" customHeight="1">
      <c r="A119" s="2121">
        <v>107</v>
      </c>
      <c r="B119" s="2121">
        <v>107</v>
      </c>
      <c r="C119" s="3283">
        <v>0</v>
      </c>
      <c r="D119" s="3284" t="s">
        <v>1438</v>
      </c>
      <c r="E119" s="3284" t="s">
        <v>40</v>
      </c>
      <c r="F119" s="3285"/>
      <c r="G119" s="3285">
        <v>918052.8461281585</v>
      </c>
      <c r="H119" s="3285">
        <v>227727.42857142858</v>
      </c>
      <c r="I119" s="3285">
        <v>0</v>
      </c>
      <c r="J119" s="3285">
        <v>0</v>
      </c>
      <c r="K119" s="3285">
        <f t="shared" si="3"/>
        <v>1145780.2746995871</v>
      </c>
      <c r="L119" s="3285">
        <v>0</v>
      </c>
      <c r="M119" s="3285">
        <f t="shared" si="4"/>
        <v>1145780.2746995871</v>
      </c>
      <c r="N119" s="3285"/>
      <c r="O119" s="3286"/>
      <c r="P119" s="2191"/>
    </row>
    <row r="120" spans="1:16" s="2192" customFormat="1" ht="16.5" customHeight="1">
      <c r="A120" s="2121">
        <v>108</v>
      </c>
      <c r="B120" s="2121">
        <v>108</v>
      </c>
      <c r="C120" s="3283"/>
      <c r="D120" s="3284" t="s">
        <v>1439</v>
      </c>
      <c r="E120" s="3284" t="s">
        <v>40</v>
      </c>
      <c r="F120" s="3285"/>
      <c r="G120" s="3285">
        <v>918052.8461281585</v>
      </c>
      <c r="H120" s="3285">
        <v>227727.42857142858</v>
      </c>
      <c r="I120" s="3285">
        <v>0</v>
      </c>
      <c r="J120" s="3285">
        <v>0</v>
      </c>
      <c r="K120" s="3285">
        <f t="shared" si="3"/>
        <v>1145780.2746995871</v>
      </c>
      <c r="L120" s="3285">
        <v>0</v>
      </c>
      <c r="M120" s="3285">
        <f t="shared" si="4"/>
        <v>1145780.2746995871</v>
      </c>
      <c r="N120" s="3285"/>
      <c r="O120" s="3286"/>
      <c r="P120" s="2191"/>
    </row>
    <row r="121" spans="1:16" s="2192" customFormat="1" ht="16.5" customHeight="1">
      <c r="A121" s="2121">
        <v>109</v>
      </c>
      <c r="B121" s="2121">
        <v>109</v>
      </c>
      <c r="C121" s="3283"/>
      <c r="D121" s="3284" t="s">
        <v>1440</v>
      </c>
      <c r="E121" s="3284" t="s">
        <v>40</v>
      </c>
      <c r="F121" s="3285"/>
      <c r="G121" s="3285">
        <v>918052.8461281585</v>
      </c>
      <c r="H121" s="3285">
        <v>227727.42857142858</v>
      </c>
      <c r="I121" s="3285">
        <v>0</v>
      </c>
      <c r="J121" s="3285">
        <v>0</v>
      </c>
      <c r="K121" s="3285">
        <f t="shared" si="3"/>
        <v>1145780.2746995871</v>
      </c>
      <c r="L121" s="3285">
        <v>0</v>
      </c>
      <c r="M121" s="3285">
        <f t="shared" si="4"/>
        <v>1145780.2746995871</v>
      </c>
      <c r="N121" s="3285"/>
      <c r="O121" s="3286"/>
      <c r="P121" s="2191"/>
    </row>
    <row r="122" spans="1:16" s="2192" customFormat="1" ht="16.5" customHeight="1">
      <c r="A122" s="2121">
        <v>110</v>
      </c>
      <c r="B122" s="2121">
        <v>110</v>
      </c>
      <c r="C122" s="3283"/>
      <c r="D122" s="3284" t="s">
        <v>1448</v>
      </c>
      <c r="E122" s="3284" t="s">
        <v>40</v>
      </c>
      <c r="F122" s="3285"/>
      <c r="G122" s="3285">
        <v>918052.8461281585</v>
      </c>
      <c r="H122" s="3285">
        <v>227727.42857142858</v>
      </c>
      <c r="I122" s="3285">
        <v>0</v>
      </c>
      <c r="J122" s="3285">
        <v>0</v>
      </c>
      <c r="K122" s="3285">
        <f t="shared" si="3"/>
        <v>1145780.2746995871</v>
      </c>
      <c r="L122" s="3285">
        <v>0</v>
      </c>
      <c r="M122" s="3285">
        <f t="shared" si="4"/>
        <v>1145780.2746995871</v>
      </c>
      <c r="N122" s="3285"/>
      <c r="O122" s="3286"/>
      <c r="P122" s="2191"/>
    </row>
    <row r="123" spans="1:16" s="2192" customFormat="1" ht="16.5" customHeight="1">
      <c r="A123" s="2121">
        <v>111</v>
      </c>
      <c r="B123" s="2121">
        <v>111</v>
      </c>
      <c r="C123" s="3283"/>
      <c r="D123" s="3284" t="s">
        <v>1449</v>
      </c>
      <c r="E123" s="3284" t="s">
        <v>40</v>
      </c>
      <c r="F123" s="3285"/>
      <c r="G123" s="3285">
        <v>918052.8461281585</v>
      </c>
      <c r="H123" s="3285">
        <v>227727.42857142858</v>
      </c>
      <c r="I123" s="3285">
        <v>0</v>
      </c>
      <c r="J123" s="3285">
        <v>0</v>
      </c>
      <c r="K123" s="3285">
        <f t="shared" si="3"/>
        <v>1145780.2746995871</v>
      </c>
      <c r="L123" s="3285">
        <v>0</v>
      </c>
      <c r="M123" s="3285">
        <f t="shared" si="4"/>
        <v>1145780.2746995871</v>
      </c>
      <c r="N123" s="3285"/>
      <c r="O123" s="3286"/>
      <c r="P123" s="2191"/>
    </row>
    <row r="124" spans="1:16" s="2192" customFormat="1" ht="16.5" customHeight="1">
      <c r="A124" s="2121">
        <v>112</v>
      </c>
      <c r="B124" s="2121">
        <v>112</v>
      </c>
      <c r="C124" s="3283"/>
      <c r="D124" s="3284" t="s">
        <v>1450</v>
      </c>
      <c r="E124" s="3284" t="s">
        <v>40</v>
      </c>
      <c r="F124" s="3285"/>
      <c r="G124" s="3285">
        <v>918052.8461281585</v>
      </c>
      <c r="H124" s="3285">
        <v>227727.42857142858</v>
      </c>
      <c r="I124" s="3285">
        <v>0</v>
      </c>
      <c r="J124" s="3285">
        <v>0</v>
      </c>
      <c r="K124" s="3285">
        <f t="shared" si="3"/>
        <v>1145780.2746995871</v>
      </c>
      <c r="L124" s="3285">
        <v>0</v>
      </c>
      <c r="M124" s="3285">
        <f t="shared" si="4"/>
        <v>1145780.2746995871</v>
      </c>
      <c r="N124" s="3285"/>
      <c r="O124" s="3286"/>
      <c r="P124" s="2191"/>
    </row>
    <row r="125" spans="1:16" s="2192" customFormat="1" ht="16.5" customHeight="1">
      <c r="A125" s="2121">
        <v>113</v>
      </c>
      <c r="B125" s="2121">
        <v>113</v>
      </c>
      <c r="C125" s="3283"/>
      <c r="D125" s="3284" t="s">
        <v>1451</v>
      </c>
      <c r="E125" s="3284" t="s">
        <v>40</v>
      </c>
      <c r="F125" s="3285"/>
      <c r="G125" s="3285">
        <v>918052.8461281585</v>
      </c>
      <c r="H125" s="3285">
        <v>227727.42857142858</v>
      </c>
      <c r="I125" s="3285">
        <v>0</v>
      </c>
      <c r="J125" s="3285">
        <v>0</v>
      </c>
      <c r="K125" s="3285">
        <f t="shared" ref="K125:K188" si="5">F125+G125+H125</f>
        <v>1145780.2746995871</v>
      </c>
      <c r="L125" s="3285">
        <v>0</v>
      </c>
      <c r="M125" s="3285">
        <f t="shared" ref="M125:M188" si="6">K125</f>
        <v>1145780.2746995871</v>
      </c>
      <c r="N125" s="3285"/>
      <c r="O125" s="3286"/>
      <c r="P125" s="2191"/>
    </row>
    <row r="126" spans="1:16" s="2192" customFormat="1" ht="16.5" customHeight="1">
      <c r="A126" s="2121">
        <v>114</v>
      </c>
      <c r="B126" s="2121">
        <v>114</v>
      </c>
      <c r="C126" s="3283">
        <v>0</v>
      </c>
      <c r="D126" s="3284" t="s">
        <v>744</v>
      </c>
      <c r="E126" s="3284" t="s">
        <v>40</v>
      </c>
      <c r="F126" s="3285"/>
      <c r="G126" s="3285">
        <v>995063.260646226</v>
      </c>
      <c r="H126" s="3285">
        <v>269135.33333333331</v>
      </c>
      <c r="I126" s="3285">
        <v>0</v>
      </c>
      <c r="J126" s="3285">
        <v>0</v>
      </c>
      <c r="K126" s="3285">
        <f t="shared" si="5"/>
        <v>1264198.5939795594</v>
      </c>
      <c r="L126" s="3285">
        <v>0</v>
      </c>
      <c r="M126" s="3285">
        <f t="shared" si="6"/>
        <v>1264198.5939795594</v>
      </c>
      <c r="N126" s="3285"/>
      <c r="O126" s="3286"/>
      <c r="P126" s="2191"/>
    </row>
    <row r="127" spans="1:16" s="2192" customFormat="1" ht="16.5" customHeight="1">
      <c r="A127" s="2121">
        <v>115</v>
      </c>
      <c r="B127" s="2121">
        <v>115</v>
      </c>
      <c r="C127" s="3283"/>
      <c r="D127" s="3284" t="s">
        <v>1452</v>
      </c>
      <c r="E127" s="3284" t="s">
        <v>40</v>
      </c>
      <c r="F127" s="3285"/>
      <c r="G127" s="3285">
        <v>995063.260646226</v>
      </c>
      <c r="H127" s="3285">
        <v>269135.33333333331</v>
      </c>
      <c r="I127" s="3285">
        <v>0</v>
      </c>
      <c r="J127" s="3285">
        <v>0</v>
      </c>
      <c r="K127" s="3285">
        <f t="shared" si="5"/>
        <v>1264198.5939795594</v>
      </c>
      <c r="L127" s="3285">
        <v>0</v>
      </c>
      <c r="M127" s="3285">
        <f t="shared" si="6"/>
        <v>1264198.5939795594</v>
      </c>
      <c r="N127" s="3285"/>
      <c r="O127" s="3286"/>
      <c r="P127" s="2191"/>
    </row>
    <row r="128" spans="1:16" s="2192" customFormat="1" ht="16.5" customHeight="1">
      <c r="A128" s="2121">
        <v>116</v>
      </c>
      <c r="B128" s="2121">
        <v>116</v>
      </c>
      <c r="C128" s="3283"/>
      <c r="D128" s="3284" t="s">
        <v>1453</v>
      </c>
      <c r="E128" s="3284" t="s">
        <v>40</v>
      </c>
      <c r="F128" s="3285"/>
      <c r="G128" s="3285">
        <v>995063.260646226</v>
      </c>
      <c r="H128" s="3285">
        <v>269135.33333333331</v>
      </c>
      <c r="I128" s="3285">
        <v>0</v>
      </c>
      <c r="J128" s="3285">
        <v>0</v>
      </c>
      <c r="K128" s="3285">
        <f t="shared" si="5"/>
        <v>1264198.5939795594</v>
      </c>
      <c r="L128" s="3285">
        <v>0</v>
      </c>
      <c r="M128" s="3285">
        <f t="shared" si="6"/>
        <v>1264198.5939795594</v>
      </c>
      <c r="N128" s="3285"/>
      <c r="O128" s="3286"/>
      <c r="P128" s="2191"/>
    </row>
    <row r="129" spans="1:16" s="2192" customFormat="1" ht="16.5" customHeight="1">
      <c r="A129" s="2121">
        <v>117</v>
      </c>
      <c r="B129" s="2121">
        <v>117</v>
      </c>
      <c r="C129" s="3283"/>
      <c r="D129" s="3284" t="s">
        <v>1454</v>
      </c>
      <c r="E129" s="3284" t="s">
        <v>40</v>
      </c>
      <c r="F129" s="3285"/>
      <c r="G129" s="3285">
        <v>995063.260646226</v>
      </c>
      <c r="H129" s="3285">
        <v>269135.33333333331</v>
      </c>
      <c r="I129" s="3285">
        <v>0</v>
      </c>
      <c r="J129" s="3285">
        <v>0</v>
      </c>
      <c r="K129" s="3285">
        <f t="shared" si="5"/>
        <v>1264198.5939795594</v>
      </c>
      <c r="L129" s="3285">
        <v>0</v>
      </c>
      <c r="M129" s="3285">
        <f t="shared" si="6"/>
        <v>1264198.5939795594</v>
      </c>
      <c r="N129" s="3285"/>
      <c r="O129" s="3286"/>
      <c r="P129" s="2191"/>
    </row>
    <row r="130" spans="1:16" s="2192" customFormat="1" ht="16.5" customHeight="1">
      <c r="A130" s="2121">
        <v>118</v>
      </c>
      <c r="B130" s="2121">
        <v>118</v>
      </c>
      <c r="C130" s="3283"/>
      <c r="D130" s="3284" t="s">
        <v>1455</v>
      </c>
      <c r="E130" s="3284" t="s">
        <v>40</v>
      </c>
      <c r="F130" s="3285"/>
      <c r="G130" s="3285">
        <v>995063.260646226</v>
      </c>
      <c r="H130" s="3285">
        <v>269135.33333333331</v>
      </c>
      <c r="I130" s="3285">
        <v>0</v>
      </c>
      <c r="J130" s="3285">
        <v>0</v>
      </c>
      <c r="K130" s="3285">
        <f t="shared" si="5"/>
        <v>1264198.5939795594</v>
      </c>
      <c r="L130" s="3285">
        <v>0</v>
      </c>
      <c r="M130" s="3285">
        <f t="shared" si="6"/>
        <v>1264198.5939795594</v>
      </c>
      <c r="N130" s="3285"/>
      <c r="O130" s="3286"/>
      <c r="P130" s="2191"/>
    </row>
    <row r="131" spans="1:16" s="2192" customFormat="1" ht="16.5" customHeight="1">
      <c r="A131" s="2121">
        <v>119</v>
      </c>
      <c r="B131" s="2121">
        <v>119</v>
      </c>
      <c r="C131" s="3283"/>
      <c r="D131" s="3284" t="s">
        <v>1456</v>
      </c>
      <c r="E131" s="3284" t="s">
        <v>40</v>
      </c>
      <c r="F131" s="3285"/>
      <c r="G131" s="3285">
        <v>995063.260646226</v>
      </c>
      <c r="H131" s="3285">
        <v>269135.33333333331</v>
      </c>
      <c r="I131" s="3285">
        <v>0</v>
      </c>
      <c r="J131" s="3285">
        <v>0</v>
      </c>
      <c r="K131" s="3285">
        <f t="shared" si="5"/>
        <v>1264198.5939795594</v>
      </c>
      <c r="L131" s="3285">
        <v>0</v>
      </c>
      <c r="M131" s="3285">
        <f t="shared" si="6"/>
        <v>1264198.5939795594</v>
      </c>
      <c r="N131" s="3285"/>
      <c r="O131" s="3286"/>
      <c r="P131" s="2191"/>
    </row>
    <row r="132" spans="1:16" s="2192" customFormat="1" ht="16.5" customHeight="1">
      <c r="A132" s="2121">
        <v>120</v>
      </c>
      <c r="B132" s="2121">
        <v>120</v>
      </c>
      <c r="C132" s="3283">
        <v>0</v>
      </c>
      <c r="D132" s="3284" t="s">
        <v>1457</v>
      </c>
      <c r="E132" s="3284" t="s">
        <v>40</v>
      </c>
      <c r="F132" s="3285">
        <f>148181+30000</f>
        <v>178181</v>
      </c>
      <c r="G132" s="3285">
        <v>872309.20578017947</v>
      </c>
      <c r="H132" s="3285">
        <v>247989.42857142858</v>
      </c>
      <c r="I132" s="3285">
        <v>0</v>
      </c>
      <c r="J132" s="3285">
        <v>0</v>
      </c>
      <c r="K132" s="3285">
        <f t="shared" si="5"/>
        <v>1298479.6343516081</v>
      </c>
      <c r="L132" s="3285">
        <v>0</v>
      </c>
      <c r="M132" s="3285">
        <f t="shared" si="6"/>
        <v>1298479.6343516081</v>
      </c>
      <c r="N132" s="3285"/>
      <c r="O132" s="3286"/>
      <c r="P132" s="2191"/>
    </row>
    <row r="133" spans="1:16" s="2192" customFormat="1" ht="16.5" customHeight="1">
      <c r="A133" s="2121">
        <v>121</v>
      </c>
      <c r="B133" s="2121">
        <v>121</v>
      </c>
      <c r="C133" s="3283"/>
      <c r="D133" s="3284" t="s">
        <v>1458</v>
      </c>
      <c r="E133" s="3284" t="s">
        <v>40</v>
      </c>
      <c r="F133" s="3285">
        <f>148181+28773</f>
        <v>176954</v>
      </c>
      <c r="G133" s="3285">
        <v>872309.20578017947</v>
      </c>
      <c r="H133" s="3285">
        <v>247989.42857142858</v>
      </c>
      <c r="I133" s="3285">
        <v>0</v>
      </c>
      <c r="J133" s="3285">
        <v>0</v>
      </c>
      <c r="K133" s="3285">
        <f t="shared" si="5"/>
        <v>1297252.6343516081</v>
      </c>
      <c r="L133" s="3285">
        <v>0</v>
      </c>
      <c r="M133" s="3285">
        <f t="shared" si="6"/>
        <v>1297252.6343516081</v>
      </c>
      <c r="N133" s="3285"/>
      <c r="O133" s="3286"/>
      <c r="P133" s="2191"/>
    </row>
    <row r="134" spans="1:16" s="2192" customFormat="1" ht="16.5" customHeight="1">
      <c r="A134" s="2121">
        <v>122</v>
      </c>
      <c r="B134" s="2121">
        <v>122</v>
      </c>
      <c r="C134" s="3283"/>
      <c r="D134" s="3284" t="s">
        <v>1459</v>
      </c>
      <c r="E134" s="3284" t="s">
        <v>40</v>
      </c>
      <c r="F134" s="3285">
        <v>148181</v>
      </c>
      <c r="G134" s="3285">
        <v>872309.20578017947</v>
      </c>
      <c r="H134" s="3285">
        <v>247989.42857142858</v>
      </c>
      <c r="I134" s="3285">
        <v>0</v>
      </c>
      <c r="J134" s="3285">
        <v>0</v>
      </c>
      <c r="K134" s="3285">
        <f t="shared" si="5"/>
        <v>1268479.6343516081</v>
      </c>
      <c r="L134" s="3285">
        <v>0</v>
      </c>
      <c r="M134" s="3285">
        <f t="shared" si="6"/>
        <v>1268479.6343516081</v>
      </c>
      <c r="N134" s="3285"/>
      <c r="O134" s="3286"/>
      <c r="P134" s="2191"/>
    </row>
    <row r="135" spans="1:16" s="2192" customFormat="1" ht="16.5" customHeight="1">
      <c r="A135" s="2121">
        <v>123</v>
      </c>
      <c r="B135" s="2121">
        <v>123</v>
      </c>
      <c r="C135" s="3283"/>
      <c r="D135" s="3284" t="s">
        <v>1460</v>
      </c>
      <c r="E135" s="3284" t="s">
        <v>40</v>
      </c>
      <c r="F135" s="3285">
        <v>148181</v>
      </c>
      <c r="G135" s="3285">
        <v>872309.20578017947</v>
      </c>
      <c r="H135" s="3285">
        <v>247989.42857142858</v>
      </c>
      <c r="I135" s="3285">
        <v>0</v>
      </c>
      <c r="J135" s="3285">
        <v>0</v>
      </c>
      <c r="K135" s="3285">
        <f t="shared" si="5"/>
        <v>1268479.6343516081</v>
      </c>
      <c r="L135" s="3285">
        <v>0</v>
      </c>
      <c r="M135" s="3285">
        <f t="shared" si="6"/>
        <v>1268479.6343516081</v>
      </c>
      <c r="N135" s="3285"/>
      <c r="O135" s="3286"/>
      <c r="P135" s="2191"/>
    </row>
    <row r="136" spans="1:16" s="2192" customFormat="1" ht="16.5" customHeight="1">
      <c r="A136" s="2121">
        <v>124</v>
      </c>
      <c r="B136" s="2121">
        <v>124</v>
      </c>
      <c r="C136" s="3283"/>
      <c r="D136" s="3284" t="s">
        <v>1461</v>
      </c>
      <c r="E136" s="3284" t="s">
        <v>40</v>
      </c>
      <c r="F136" s="3285"/>
      <c r="G136" s="3285">
        <v>872309.20578017947</v>
      </c>
      <c r="H136" s="3285">
        <v>247989.42857142858</v>
      </c>
      <c r="I136" s="3285">
        <v>0</v>
      </c>
      <c r="J136" s="3285">
        <v>0</v>
      </c>
      <c r="K136" s="3285">
        <f t="shared" si="5"/>
        <v>1120298.6343516081</v>
      </c>
      <c r="L136" s="3285">
        <v>0</v>
      </c>
      <c r="M136" s="3285">
        <f t="shared" si="6"/>
        <v>1120298.6343516081</v>
      </c>
      <c r="N136" s="3285"/>
      <c r="O136" s="3286"/>
      <c r="P136" s="2191"/>
    </row>
    <row r="137" spans="1:16" s="2192" customFormat="1" ht="16.5" customHeight="1">
      <c r="A137" s="2121">
        <v>125</v>
      </c>
      <c r="B137" s="2121">
        <v>125</v>
      </c>
      <c r="C137" s="3283"/>
      <c r="D137" s="3284" t="s">
        <v>1462</v>
      </c>
      <c r="E137" s="3284" t="s">
        <v>40</v>
      </c>
      <c r="F137" s="3285"/>
      <c r="G137" s="3285">
        <v>872309.20578017947</v>
      </c>
      <c r="H137" s="3285">
        <v>247989.42857142858</v>
      </c>
      <c r="I137" s="3285">
        <v>0</v>
      </c>
      <c r="J137" s="3285">
        <v>0</v>
      </c>
      <c r="K137" s="3285">
        <f t="shared" si="5"/>
        <v>1120298.6343516081</v>
      </c>
      <c r="L137" s="3285">
        <v>0</v>
      </c>
      <c r="M137" s="3285">
        <f t="shared" si="6"/>
        <v>1120298.6343516081</v>
      </c>
      <c r="N137" s="3285"/>
      <c r="O137" s="3286"/>
      <c r="P137" s="2191"/>
    </row>
    <row r="138" spans="1:16" s="2192" customFormat="1" ht="16.5" customHeight="1">
      <c r="A138" s="2121">
        <v>126</v>
      </c>
      <c r="B138" s="2121">
        <v>126</v>
      </c>
      <c r="C138" s="3283"/>
      <c r="D138" s="3284" t="s">
        <v>1441</v>
      </c>
      <c r="E138" s="3284" t="s">
        <v>40</v>
      </c>
      <c r="F138" s="3285"/>
      <c r="G138" s="3285">
        <v>872309.20578017947</v>
      </c>
      <c r="H138" s="3285">
        <v>247989.42857142858</v>
      </c>
      <c r="I138" s="3285">
        <v>0</v>
      </c>
      <c r="J138" s="3285">
        <v>0</v>
      </c>
      <c r="K138" s="3285">
        <f t="shared" si="5"/>
        <v>1120298.6343516081</v>
      </c>
      <c r="L138" s="3285">
        <v>0</v>
      </c>
      <c r="M138" s="3285">
        <f t="shared" si="6"/>
        <v>1120298.6343516081</v>
      </c>
      <c r="N138" s="3285"/>
      <c r="O138" s="3286"/>
      <c r="P138" s="2191"/>
    </row>
    <row r="139" spans="1:16" s="2192" customFormat="1" ht="16.5" customHeight="1">
      <c r="A139" s="2121">
        <v>127</v>
      </c>
      <c r="B139" s="2121">
        <v>127</v>
      </c>
      <c r="C139" s="3283">
        <v>0</v>
      </c>
      <c r="D139" s="3284" t="s">
        <v>1442</v>
      </c>
      <c r="E139" s="3284" t="s">
        <v>40</v>
      </c>
      <c r="F139" s="3285"/>
      <c r="G139" s="3285">
        <v>884532.10538398777</v>
      </c>
      <c r="H139" s="3285">
        <v>247989.42857142858</v>
      </c>
      <c r="I139" s="3285">
        <v>0</v>
      </c>
      <c r="J139" s="3285">
        <v>0</v>
      </c>
      <c r="K139" s="3285">
        <f t="shared" si="5"/>
        <v>1132521.5339554164</v>
      </c>
      <c r="L139" s="3285">
        <v>0</v>
      </c>
      <c r="M139" s="3285">
        <f t="shared" si="6"/>
        <v>1132521.5339554164</v>
      </c>
      <c r="N139" s="3285"/>
      <c r="O139" s="3286"/>
      <c r="P139" s="2191"/>
    </row>
    <row r="140" spans="1:16" s="2192" customFormat="1" ht="16.5" customHeight="1">
      <c r="A140" s="2121">
        <v>128</v>
      </c>
      <c r="B140" s="2121">
        <v>128</v>
      </c>
      <c r="C140" s="3283"/>
      <c r="D140" s="3284" t="s">
        <v>1443</v>
      </c>
      <c r="E140" s="3284" t="s">
        <v>40</v>
      </c>
      <c r="F140" s="3285"/>
      <c r="G140" s="3285">
        <v>884532.10538398777</v>
      </c>
      <c r="H140" s="3285">
        <v>247989.42857142858</v>
      </c>
      <c r="I140" s="3285">
        <v>0</v>
      </c>
      <c r="J140" s="3285">
        <v>0</v>
      </c>
      <c r="K140" s="3285">
        <f t="shared" si="5"/>
        <v>1132521.5339554164</v>
      </c>
      <c r="L140" s="3285">
        <v>0</v>
      </c>
      <c r="M140" s="3285">
        <f t="shared" si="6"/>
        <v>1132521.5339554164</v>
      </c>
      <c r="N140" s="3285"/>
      <c r="O140" s="3286"/>
      <c r="P140" s="2191"/>
    </row>
    <row r="141" spans="1:16" s="2192" customFormat="1" ht="16.5" customHeight="1">
      <c r="A141" s="2121">
        <v>129</v>
      </c>
      <c r="B141" s="2121">
        <v>129</v>
      </c>
      <c r="C141" s="3283"/>
      <c r="D141" s="3284" t="s">
        <v>1444</v>
      </c>
      <c r="E141" s="3284" t="s">
        <v>40</v>
      </c>
      <c r="F141" s="3285"/>
      <c r="G141" s="3285">
        <v>884532.10538398777</v>
      </c>
      <c r="H141" s="3285">
        <v>247989.42857142858</v>
      </c>
      <c r="I141" s="3285">
        <v>0</v>
      </c>
      <c r="J141" s="3285">
        <v>0</v>
      </c>
      <c r="K141" s="3285">
        <f t="shared" si="5"/>
        <v>1132521.5339554164</v>
      </c>
      <c r="L141" s="3285">
        <v>0</v>
      </c>
      <c r="M141" s="3285">
        <f t="shared" si="6"/>
        <v>1132521.5339554164</v>
      </c>
      <c r="N141" s="3285"/>
      <c r="O141" s="3286"/>
      <c r="P141" s="2191"/>
    </row>
    <row r="142" spans="1:16" s="2192" customFormat="1" ht="16.5" customHeight="1">
      <c r="A142" s="2121">
        <v>130</v>
      </c>
      <c r="B142" s="2121">
        <v>130</v>
      </c>
      <c r="C142" s="3283"/>
      <c r="D142" s="3284" t="s">
        <v>1445</v>
      </c>
      <c r="E142" s="3284" t="s">
        <v>40</v>
      </c>
      <c r="F142" s="3285"/>
      <c r="G142" s="3285">
        <v>884532.10538398777</v>
      </c>
      <c r="H142" s="3285">
        <v>247989.42857142858</v>
      </c>
      <c r="I142" s="3285">
        <v>0</v>
      </c>
      <c r="J142" s="3285">
        <v>0</v>
      </c>
      <c r="K142" s="3285">
        <f t="shared" si="5"/>
        <v>1132521.5339554164</v>
      </c>
      <c r="L142" s="3285">
        <v>0</v>
      </c>
      <c r="M142" s="3285">
        <f t="shared" si="6"/>
        <v>1132521.5339554164</v>
      </c>
      <c r="N142" s="3285"/>
      <c r="O142" s="3286"/>
      <c r="P142" s="2191"/>
    </row>
    <row r="143" spans="1:16" s="2192" customFormat="1" ht="16.5" customHeight="1">
      <c r="A143" s="2121">
        <v>131</v>
      </c>
      <c r="B143" s="2121">
        <v>131</v>
      </c>
      <c r="C143" s="3283"/>
      <c r="D143" s="3284" t="s">
        <v>1446</v>
      </c>
      <c r="E143" s="3284" t="s">
        <v>40</v>
      </c>
      <c r="F143" s="3285"/>
      <c r="G143" s="3285">
        <v>884532.10538398777</v>
      </c>
      <c r="H143" s="3285">
        <v>247989.42857142858</v>
      </c>
      <c r="I143" s="3285">
        <v>0</v>
      </c>
      <c r="J143" s="3285">
        <v>0</v>
      </c>
      <c r="K143" s="3285">
        <f t="shared" si="5"/>
        <v>1132521.5339554164</v>
      </c>
      <c r="L143" s="3285">
        <v>0</v>
      </c>
      <c r="M143" s="3285">
        <f t="shared" si="6"/>
        <v>1132521.5339554164</v>
      </c>
      <c r="N143" s="3285"/>
      <c r="O143" s="3286"/>
      <c r="P143" s="2191"/>
    </row>
    <row r="144" spans="1:16" s="2192" customFormat="1" ht="16.5" customHeight="1">
      <c r="A144" s="2121">
        <v>132</v>
      </c>
      <c r="B144" s="2121">
        <v>132</v>
      </c>
      <c r="C144" s="3283"/>
      <c r="D144" s="3284" t="s">
        <v>771</v>
      </c>
      <c r="E144" s="3284" t="s">
        <v>40</v>
      </c>
      <c r="F144" s="3285"/>
      <c r="G144" s="3285">
        <v>884532.10538398777</v>
      </c>
      <c r="H144" s="3285">
        <v>247989.42857142858</v>
      </c>
      <c r="I144" s="3285">
        <v>0</v>
      </c>
      <c r="J144" s="3285">
        <v>0</v>
      </c>
      <c r="K144" s="3285">
        <f t="shared" si="5"/>
        <v>1132521.5339554164</v>
      </c>
      <c r="L144" s="3285">
        <v>0</v>
      </c>
      <c r="M144" s="3285">
        <f t="shared" si="6"/>
        <v>1132521.5339554164</v>
      </c>
      <c r="N144" s="3285"/>
      <c r="O144" s="3286"/>
      <c r="P144" s="2191"/>
    </row>
    <row r="145" spans="1:16" s="2192" customFormat="1" ht="16.5" customHeight="1">
      <c r="A145" s="2121">
        <v>133</v>
      </c>
      <c r="B145" s="2121">
        <v>133</v>
      </c>
      <c r="C145" s="3283"/>
      <c r="D145" s="3284" t="s">
        <v>771</v>
      </c>
      <c r="E145" s="3284" t="s">
        <v>40</v>
      </c>
      <c r="F145" s="3285"/>
      <c r="G145" s="3285">
        <v>884532.10538398777</v>
      </c>
      <c r="H145" s="3285">
        <v>247989.42857142858</v>
      </c>
      <c r="I145" s="3285">
        <v>0</v>
      </c>
      <c r="J145" s="3285">
        <v>0</v>
      </c>
      <c r="K145" s="3285">
        <f t="shared" si="5"/>
        <v>1132521.5339554164</v>
      </c>
      <c r="L145" s="3285">
        <v>0</v>
      </c>
      <c r="M145" s="3285">
        <f t="shared" si="6"/>
        <v>1132521.5339554164</v>
      </c>
      <c r="N145" s="3285"/>
      <c r="O145" s="3286"/>
      <c r="P145" s="2191"/>
    </row>
    <row r="146" spans="1:16" s="2192" customFormat="1" ht="16.5" customHeight="1">
      <c r="A146" s="2121">
        <v>134</v>
      </c>
      <c r="B146" s="2121">
        <v>134</v>
      </c>
      <c r="C146" s="3283">
        <v>0</v>
      </c>
      <c r="D146" s="3284" t="s">
        <v>373</v>
      </c>
      <c r="E146" s="3284" t="s">
        <v>40</v>
      </c>
      <c r="F146" s="3285"/>
      <c r="G146" s="3285">
        <v>872309.20578017947</v>
      </c>
      <c r="H146" s="3285">
        <v>250884</v>
      </c>
      <c r="I146" s="3285">
        <v>0</v>
      </c>
      <c r="J146" s="3285">
        <v>0</v>
      </c>
      <c r="K146" s="3285">
        <f t="shared" si="5"/>
        <v>1123193.2057801795</v>
      </c>
      <c r="L146" s="3285">
        <v>0</v>
      </c>
      <c r="M146" s="3285">
        <f t="shared" si="6"/>
        <v>1123193.2057801795</v>
      </c>
      <c r="N146" s="3285"/>
      <c r="O146" s="3286"/>
      <c r="P146" s="2191"/>
    </row>
    <row r="147" spans="1:16" s="2192" customFormat="1" ht="16.5" customHeight="1">
      <c r="A147" s="2121">
        <v>135</v>
      </c>
      <c r="B147" s="2121">
        <v>135</v>
      </c>
      <c r="C147" s="3283"/>
      <c r="D147" s="3284" t="s">
        <v>1596</v>
      </c>
      <c r="E147" s="3284" t="s">
        <v>40</v>
      </c>
      <c r="F147" s="3285"/>
      <c r="G147" s="3285">
        <v>872309.20578017947</v>
      </c>
      <c r="H147" s="3285">
        <v>250884</v>
      </c>
      <c r="I147" s="3285">
        <v>0</v>
      </c>
      <c r="J147" s="3285">
        <v>0</v>
      </c>
      <c r="K147" s="3285">
        <f t="shared" si="5"/>
        <v>1123193.2057801795</v>
      </c>
      <c r="L147" s="3285">
        <v>0</v>
      </c>
      <c r="M147" s="3285">
        <f t="shared" si="6"/>
        <v>1123193.2057801795</v>
      </c>
      <c r="N147" s="3285"/>
      <c r="O147" s="3286"/>
      <c r="P147" s="2191"/>
    </row>
    <row r="148" spans="1:16" s="2192" customFormat="1" ht="16.5" customHeight="1">
      <c r="A148" s="2121">
        <v>136</v>
      </c>
      <c r="B148" s="2121">
        <v>136</v>
      </c>
      <c r="C148" s="3283"/>
      <c r="D148" s="3284" t="s">
        <v>1597</v>
      </c>
      <c r="E148" s="3284" t="s">
        <v>40</v>
      </c>
      <c r="F148" s="3285"/>
      <c r="G148" s="3285">
        <v>872309.20578017947</v>
      </c>
      <c r="H148" s="3285">
        <v>250884</v>
      </c>
      <c r="I148" s="3285">
        <v>0</v>
      </c>
      <c r="J148" s="3285">
        <v>0</v>
      </c>
      <c r="K148" s="3285">
        <f t="shared" si="5"/>
        <v>1123193.2057801795</v>
      </c>
      <c r="L148" s="3285">
        <v>0</v>
      </c>
      <c r="M148" s="3285">
        <f t="shared" si="6"/>
        <v>1123193.2057801795</v>
      </c>
      <c r="N148" s="3285"/>
      <c r="O148" s="3286"/>
      <c r="P148" s="2191"/>
    </row>
    <row r="149" spans="1:16" s="2192" customFormat="1" ht="16.5" customHeight="1">
      <c r="A149" s="2121">
        <v>137</v>
      </c>
      <c r="B149" s="2121">
        <v>137</v>
      </c>
      <c r="C149" s="3283"/>
      <c r="D149" s="3284" t="s">
        <v>1598</v>
      </c>
      <c r="E149" s="3284" t="s">
        <v>40</v>
      </c>
      <c r="F149" s="3285"/>
      <c r="G149" s="3285">
        <v>872309.20578017947</v>
      </c>
      <c r="H149" s="3285">
        <v>250884</v>
      </c>
      <c r="I149" s="3285">
        <v>0</v>
      </c>
      <c r="J149" s="3285">
        <v>0</v>
      </c>
      <c r="K149" s="3285">
        <f t="shared" si="5"/>
        <v>1123193.2057801795</v>
      </c>
      <c r="L149" s="3285">
        <v>0</v>
      </c>
      <c r="M149" s="3285">
        <f t="shared" si="6"/>
        <v>1123193.2057801795</v>
      </c>
      <c r="N149" s="3285"/>
      <c r="O149" s="3286"/>
      <c r="P149" s="2191"/>
    </row>
    <row r="150" spans="1:16" s="2192" customFormat="1" ht="16.5" customHeight="1">
      <c r="A150" s="2121">
        <v>138</v>
      </c>
      <c r="B150" s="2121">
        <v>138</v>
      </c>
      <c r="C150" s="3283"/>
      <c r="D150" s="3284" t="s">
        <v>1599</v>
      </c>
      <c r="E150" s="3284" t="s">
        <v>40</v>
      </c>
      <c r="F150" s="3285"/>
      <c r="G150" s="3285">
        <v>872309.20578017947</v>
      </c>
      <c r="H150" s="3285">
        <v>250884</v>
      </c>
      <c r="I150" s="3285">
        <v>0</v>
      </c>
      <c r="J150" s="3285">
        <v>0</v>
      </c>
      <c r="K150" s="3285">
        <f t="shared" si="5"/>
        <v>1123193.2057801795</v>
      </c>
      <c r="L150" s="3285">
        <v>0</v>
      </c>
      <c r="M150" s="3285">
        <f t="shared" si="6"/>
        <v>1123193.2057801795</v>
      </c>
      <c r="N150" s="3285"/>
      <c r="O150" s="3286"/>
      <c r="P150" s="2191"/>
    </row>
    <row r="151" spans="1:16" s="2192" customFormat="1" ht="16.5" customHeight="1">
      <c r="A151" s="2121">
        <v>139</v>
      </c>
      <c r="B151" s="2121">
        <v>139</v>
      </c>
      <c r="C151" s="3283"/>
      <c r="D151" s="3284" t="s">
        <v>1600</v>
      </c>
      <c r="E151" s="3284" t="s">
        <v>40</v>
      </c>
      <c r="F151" s="3285"/>
      <c r="G151" s="3285">
        <v>872309.20578017947</v>
      </c>
      <c r="H151" s="3285">
        <v>250884</v>
      </c>
      <c r="I151" s="3285">
        <v>0</v>
      </c>
      <c r="J151" s="3285">
        <v>0</v>
      </c>
      <c r="K151" s="3285">
        <f t="shared" si="5"/>
        <v>1123193.2057801795</v>
      </c>
      <c r="L151" s="3285">
        <v>0</v>
      </c>
      <c r="M151" s="3285">
        <f t="shared" si="6"/>
        <v>1123193.2057801795</v>
      </c>
      <c r="N151" s="3285"/>
      <c r="O151" s="3286"/>
      <c r="P151" s="2191"/>
    </row>
    <row r="152" spans="1:16" s="2192" customFormat="1" ht="16.5" customHeight="1">
      <c r="A152" s="2121">
        <v>140</v>
      </c>
      <c r="B152" s="2121">
        <v>140</v>
      </c>
      <c r="C152" s="3283"/>
      <c r="D152" s="3284" t="s">
        <v>1601</v>
      </c>
      <c r="E152" s="3284" t="s">
        <v>40</v>
      </c>
      <c r="F152" s="3285"/>
      <c r="G152" s="3285">
        <v>872309.20578017947</v>
      </c>
      <c r="H152" s="3285">
        <v>250884</v>
      </c>
      <c r="I152" s="3285">
        <v>0</v>
      </c>
      <c r="J152" s="3285">
        <v>0</v>
      </c>
      <c r="K152" s="3285">
        <f t="shared" si="5"/>
        <v>1123193.2057801795</v>
      </c>
      <c r="L152" s="3285">
        <v>0</v>
      </c>
      <c r="M152" s="3285">
        <f t="shared" si="6"/>
        <v>1123193.2057801795</v>
      </c>
      <c r="N152" s="3285"/>
      <c r="O152" s="3286"/>
      <c r="P152" s="2191"/>
    </row>
    <row r="153" spans="1:16" s="2192" customFormat="1" ht="16.5" customHeight="1">
      <c r="A153" s="2121">
        <v>141</v>
      </c>
      <c r="B153" s="2121">
        <v>141</v>
      </c>
      <c r="C153" s="3283">
        <v>0</v>
      </c>
      <c r="D153" s="3284" t="s">
        <v>1602</v>
      </c>
      <c r="E153" s="3284" t="s">
        <v>40</v>
      </c>
      <c r="F153" s="3285"/>
      <c r="G153" s="3285">
        <v>698787.34089288791</v>
      </c>
      <c r="H153" s="3285">
        <v>337100</v>
      </c>
      <c r="I153" s="3285">
        <v>0</v>
      </c>
      <c r="J153" s="3285">
        <v>0</v>
      </c>
      <c r="K153" s="3285">
        <f t="shared" si="5"/>
        <v>1035887.3408928879</v>
      </c>
      <c r="L153" s="3285">
        <v>0</v>
      </c>
      <c r="M153" s="3285">
        <f t="shared" si="6"/>
        <v>1035887.3408928879</v>
      </c>
      <c r="N153" s="3285"/>
      <c r="O153" s="3286"/>
      <c r="P153" s="2191"/>
    </row>
    <row r="154" spans="1:16" s="2192" customFormat="1" ht="16.5" customHeight="1">
      <c r="A154" s="2121">
        <v>142</v>
      </c>
      <c r="B154" s="2121">
        <v>142</v>
      </c>
      <c r="C154" s="3283"/>
      <c r="D154" s="3284" t="s">
        <v>1603</v>
      </c>
      <c r="E154" s="3284" t="s">
        <v>40</v>
      </c>
      <c r="F154" s="3285"/>
      <c r="G154" s="3285">
        <v>698787.34089288791</v>
      </c>
      <c r="H154" s="3285">
        <v>337100</v>
      </c>
      <c r="I154" s="3285">
        <v>0</v>
      </c>
      <c r="J154" s="3285">
        <v>0</v>
      </c>
      <c r="K154" s="3285">
        <f t="shared" si="5"/>
        <v>1035887.3408928879</v>
      </c>
      <c r="L154" s="3285">
        <v>0</v>
      </c>
      <c r="M154" s="3285">
        <f t="shared" si="6"/>
        <v>1035887.3408928879</v>
      </c>
      <c r="N154" s="3285"/>
      <c r="O154" s="3286"/>
      <c r="P154" s="2191"/>
    </row>
    <row r="155" spans="1:16" s="2192" customFormat="1" ht="16.5" customHeight="1">
      <c r="A155" s="2121">
        <v>143</v>
      </c>
      <c r="B155" s="2121">
        <v>143</v>
      </c>
      <c r="C155" s="3283"/>
      <c r="D155" s="3284" t="s">
        <v>1604</v>
      </c>
      <c r="E155" s="3284" t="s">
        <v>40</v>
      </c>
      <c r="F155" s="3285"/>
      <c r="G155" s="3285">
        <v>698787.34089288791</v>
      </c>
      <c r="H155" s="3285">
        <v>337100</v>
      </c>
      <c r="I155" s="3285">
        <v>0</v>
      </c>
      <c r="J155" s="3285">
        <v>0</v>
      </c>
      <c r="K155" s="3285">
        <f t="shared" si="5"/>
        <v>1035887.3408928879</v>
      </c>
      <c r="L155" s="3285">
        <v>0</v>
      </c>
      <c r="M155" s="3285">
        <f t="shared" si="6"/>
        <v>1035887.3408928879</v>
      </c>
      <c r="N155" s="3285"/>
      <c r="O155" s="3286"/>
      <c r="P155" s="2191"/>
    </row>
    <row r="156" spans="1:16" s="2192" customFormat="1" ht="16.5" customHeight="1">
      <c r="A156" s="2121">
        <v>144</v>
      </c>
      <c r="B156" s="2121">
        <v>144</v>
      </c>
      <c r="C156" s="3283"/>
      <c r="D156" s="3284" t="s">
        <v>1605</v>
      </c>
      <c r="E156" s="3284" t="s">
        <v>40</v>
      </c>
      <c r="F156" s="3285"/>
      <c r="G156" s="3285">
        <v>698787.34089288791</v>
      </c>
      <c r="H156" s="3285">
        <v>337100</v>
      </c>
      <c r="I156" s="3285">
        <v>0</v>
      </c>
      <c r="J156" s="3285">
        <v>0</v>
      </c>
      <c r="K156" s="3285">
        <f t="shared" si="5"/>
        <v>1035887.3408928879</v>
      </c>
      <c r="L156" s="3285">
        <v>0</v>
      </c>
      <c r="M156" s="3285">
        <f t="shared" si="6"/>
        <v>1035887.3408928879</v>
      </c>
      <c r="N156" s="3285"/>
      <c r="O156" s="3286"/>
      <c r="P156" s="2191"/>
    </row>
    <row r="157" spans="1:16" s="2192" customFormat="1" ht="16.5" customHeight="1">
      <c r="A157" s="2121">
        <v>145</v>
      </c>
      <c r="B157" s="2121">
        <v>145</v>
      </c>
      <c r="C157" s="3283"/>
      <c r="D157" s="3284" t="s">
        <v>1606</v>
      </c>
      <c r="E157" s="3284" t="s">
        <v>40</v>
      </c>
      <c r="F157" s="3285"/>
      <c r="G157" s="3285">
        <v>698787.34089288791</v>
      </c>
      <c r="H157" s="3285">
        <v>337100</v>
      </c>
      <c r="I157" s="3285">
        <v>0</v>
      </c>
      <c r="J157" s="3285">
        <v>0</v>
      </c>
      <c r="K157" s="3285">
        <f t="shared" si="5"/>
        <v>1035887.3408928879</v>
      </c>
      <c r="L157" s="3285">
        <v>0</v>
      </c>
      <c r="M157" s="3285">
        <f t="shared" si="6"/>
        <v>1035887.3408928879</v>
      </c>
      <c r="N157" s="3285"/>
      <c r="O157" s="3286"/>
      <c r="P157" s="2191"/>
    </row>
    <row r="158" spans="1:16" s="2192" customFormat="1" ht="16.5" customHeight="1">
      <c r="A158" s="2121">
        <v>146</v>
      </c>
      <c r="B158" s="2121">
        <v>146</v>
      </c>
      <c r="C158" s="3283">
        <v>0</v>
      </c>
      <c r="D158" s="3284" t="s">
        <v>1607</v>
      </c>
      <c r="E158" s="3284" t="s">
        <v>40</v>
      </c>
      <c r="F158" s="3285"/>
      <c r="G158" s="3285">
        <v>816771.47254100384</v>
      </c>
      <c r="H158" s="3285">
        <v>284293.66666666669</v>
      </c>
      <c r="I158" s="3285">
        <v>0</v>
      </c>
      <c r="J158" s="3285">
        <v>0</v>
      </c>
      <c r="K158" s="3285">
        <f t="shared" si="5"/>
        <v>1101065.1392076705</v>
      </c>
      <c r="L158" s="3285">
        <v>0</v>
      </c>
      <c r="M158" s="3285">
        <f t="shared" si="6"/>
        <v>1101065.1392076705</v>
      </c>
      <c r="N158" s="3285">
        <v>0</v>
      </c>
      <c r="O158" s="3286"/>
      <c r="P158" s="2191"/>
    </row>
    <row r="159" spans="1:16" s="2192" customFormat="1" ht="16.5" customHeight="1">
      <c r="A159" s="2121">
        <v>147</v>
      </c>
      <c r="B159" s="2121">
        <v>147</v>
      </c>
      <c r="C159" s="3283"/>
      <c r="D159" s="3284" t="s">
        <v>270</v>
      </c>
      <c r="E159" s="3284" t="s">
        <v>40</v>
      </c>
      <c r="F159" s="3285"/>
      <c r="G159" s="3285">
        <v>816771.47254100384</v>
      </c>
      <c r="H159" s="3285">
        <v>284293.66666666669</v>
      </c>
      <c r="I159" s="3285">
        <v>0</v>
      </c>
      <c r="J159" s="3285">
        <v>0</v>
      </c>
      <c r="K159" s="3285">
        <f t="shared" si="5"/>
        <v>1101065.1392076705</v>
      </c>
      <c r="L159" s="3285">
        <v>0</v>
      </c>
      <c r="M159" s="3285">
        <f t="shared" si="6"/>
        <v>1101065.1392076705</v>
      </c>
      <c r="N159" s="3285">
        <v>0</v>
      </c>
      <c r="O159" s="3286"/>
      <c r="P159" s="2191"/>
    </row>
    <row r="160" spans="1:16" s="2192" customFormat="1" ht="16.5" customHeight="1">
      <c r="A160" s="2121">
        <v>148</v>
      </c>
      <c r="B160" s="2121">
        <v>148</v>
      </c>
      <c r="C160" s="3283"/>
      <c r="D160" s="3284" t="s">
        <v>1426</v>
      </c>
      <c r="E160" s="3284" t="s">
        <v>40</v>
      </c>
      <c r="F160" s="3285"/>
      <c r="G160" s="3285">
        <v>816771.47254100384</v>
      </c>
      <c r="H160" s="3285">
        <v>284293.66666666669</v>
      </c>
      <c r="I160" s="3285">
        <v>0</v>
      </c>
      <c r="J160" s="3285">
        <v>0</v>
      </c>
      <c r="K160" s="3285">
        <f t="shared" si="5"/>
        <v>1101065.1392076705</v>
      </c>
      <c r="L160" s="3285">
        <v>0</v>
      </c>
      <c r="M160" s="3285">
        <f t="shared" si="6"/>
        <v>1101065.1392076705</v>
      </c>
      <c r="N160" s="3285">
        <v>0</v>
      </c>
      <c r="O160" s="3286"/>
      <c r="P160" s="2191"/>
    </row>
    <row r="161" spans="1:16" s="2192" customFormat="1" ht="16.5" customHeight="1">
      <c r="A161" s="2121">
        <v>149</v>
      </c>
      <c r="B161" s="2121">
        <v>149</v>
      </c>
      <c r="C161" s="3283"/>
      <c r="D161" s="3284" t="s">
        <v>1427</v>
      </c>
      <c r="E161" s="3284" t="s">
        <v>40</v>
      </c>
      <c r="F161" s="3285"/>
      <c r="G161" s="3285">
        <v>816771.47254100384</v>
      </c>
      <c r="H161" s="3285">
        <v>284293.66666666669</v>
      </c>
      <c r="I161" s="3285">
        <v>0</v>
      </c>
      <c r="J161" s="3285">
        <v>0</v>
      </c>
      <c r="K161" s="3285">
        <f t="shared" si="5"/>
        <v>1101065.1392076705</v>
      </c>
      <c r="L161" s="3285">
        <v>0</v>
      </c>
      <c r="M161" s="3285">
        <f t="shared" si="6"/>
        <v>1101065.1392076705</v>
      </c>
      <c r="N161" s="3285">
        <v>0</v>
      </c>
      <c r="O161" s="3286"/>
      <c r="P161" s="2191"/>
    </row>
    <row r="162" spans="1:16" s="2192" customFormat="1" ht="16.5" customHeight="1">
      <c r="A162" s="2121">
        <v>150</v>
      </c>
      <c r="B162" s="2121">
        <v>150</v>
      </c>
      <c r="C162" s="3283"/>
      <c r="D162" s="3284" t="s">
        <v>1428</v>
      </c>
      <c r="E162" s="3284" t="s">
        <v>40</v>
      </c>
      <c r="F162" s="3285"/>
      <c r="G162" s="3285">
        <v>816771.47254100384</v>
      </c>
      <c r="H162" s="3285">
        <v>284293.66666666669</v>
      </c>
      <c r="I162" s="3285">
        <v>0</v>
      </c>
      <c r="J162" s="3285">
        <v>0</v>
      </c>
      <c r="K162" s="3285">
        <f t="shared" si="5"/>
        <v>1101065.1392076705</v>
      </c>
      <c r="L162" s="3285">
        <v>0</v>
      </c>
      <c r="M162" s="3285">
        <f t="shared" si="6"/>
        <v>1101065.1392076705</v>
      </c>
      <c r="N162" s="3285">
        <v>0</v>
      </c>
      <c r="O162" s="3286"/>
      <c r="P162" s="2191"/>
    </row>
    <row r="163" spans="1:16" s="2192" customFormat="1" ht="16.5" customHeight="1">
      <c r="A163" s="2121">
        <v>151</v>
      </c>
      <c r="B163" s="2121">
        <v>151</v>
      </c>
      <c r="C163" s="3283"/>
      <c r="D163" s="3284" t="s">
        <v>1429</v>
      </c>
      <c r="E163" s="3284" t="s">
        <v>40</v>
      </c>
      <c r="F163" s="3285"/>
      <c r="G163" s="3285">
        <v>816771.47254100384</v>
      </c>
      <c r="H163" s="3285">
        <v>284293.66666666669</v>
      </c>
      <c r="I163" s="3285">
        <v>0</v>
      </c>
      <c r="J163" s="3285">
        <v>0</v>
      </c>
      <c r="K163" s="3285">
        <f t="shared" si="5"/>
        <v>1101065.1392076705</v>
      </c>
      <c r="L163" s="3285">
        <v>0</v>
      </c>
      <c r="M163" s="3285">
        <f t="shared" si="6"/>
        <v>1101065.1392076705</v>
      </c>
      <c r="N163" s="3285">
        <v>0</v>
      </c>
      <c r="O163" s="3286"/>
      <c r="P163" s="2191"/>
    </row>
    <row r="164" spans="1:16" s="2192" customFormat="1" ht="16.5" customHeight="1">
      <c r="A164" s="2121">
        <v>152</v>
      </c>
      <c r="B164" s="2121">
        <v>152</v>
      </c>
      <c r="C164" s="3283">
        <v>0</v>
      </c>
      <c r="D164" s="3284" t="s">
        <v>1608</v>
      </c>
      <c r="E164" s="3284" t="s">
        <v>40</v>
      </c>
      <c r="F164" s="3285">
        <v>230687.42857142858</v>
      </c>
      <c r="G164" s="3285">
        <v>816536.2111313066</v>
      </c>
      <c r="H164" s="3285">
        <v>230687.42857142858</v>
      </c>
      <c r="I164" s="3285">
        <v>0</v>
      </c>
      <c r="J164" s="3285">
        <v>0</v>
      </c>
      <c r="K164" s="3285">
        <f t="shared" si="5"/>
        <v>1277911.0682741639</v>
      </c>
      <c r="L164" s="3285">
        <v>0</v>
      </c>
      <c r="M164" s="3285">
        <f t="shared" si="6"/>
        <v>1277911.0682741639</v>
      </c>
      <c r="N164" s="3285"/>
      <c r="O164" s="3286"/>
      <c r="P164" s="2191"/>
    </row>
    <row r="165" spans="1:16" s="2192" customFormat="1" ht="16.5" customHeight="1">
      <c r="A165" s="2121">
        <v>153</v>
      </c>
      <c r="B165" s="2121">
        <v>153</v>
      </c>
      <c r="C165" s="3283"/>
      <c r="D165" s="3284" t="s">
        <v>1609</v>
      </c>
      <c r="E165" s="3284" t="s">
        <v>40</v>
      </c>
      <c r="F165" s="3285">
        <v>230687.42857142858</v>
      </c>
      <c r="G165" s="3285">
        <v>816536.2111313066</v>
      </c>
      <c r="H165" s="3285">
        <v>230687.42857142858</v>
      </c>
      <c r="I165" s="3285">
        <v>0</v>
      </c>
      <c r="J165" s="3285">
        <v>0</v>
      </c>
      <c r="K165" s="3285">
        <f t="shared" si="5"/>
        <v>1277911.0682741639</v>
      </c>
      <c r="L165" s="3285">
        <v>0</v>
      </c>
      <c r="M165" s="3285">
        <f t="shared" si="6"/>
        <v>1277911.0682741639</v>
      </c>
      <c r="N165" s="3285"/>
      <c r="O165" s="3286"/>
      <c r="P165" s="2191"/>
    </row>
    <row r="166" spans="1:16" s="2192" customFormat="1" ht="16.5" customHeight="1">
      <c r="A166" s="2121">
        <v>154</v>
      </c>
      <c r="B166" s="2121">
        <v>154</v>
      </c>
      <c r="C166" s="3283"/>
      <c r="D166" s="3284" t="s">
        <v>1610</v>
      </c>
      <c r="E166" s="3284" t="s">
        <v>40</v>
      </c>
      <c r="F166" s="3285">
        <v>230687.42857142858</v>
      </c>
      <c r="G166" s="3285">
        <v>816536.2111313066</v>
      </c>
      <c r="H166" s="3285">
        <v>230687.42857142858</v>
      </c>
      <c r="I166" s="3285">
        <v>0</v>
      </c>
      <c r="J166" s="3285">
        <v>0</v>
      </c>
      <c r="K166" s="3285">
        <f t="shared" si="5"/>
        <v>1277911.0682741639</v>
      </c>
      <c r="L166" s="3285">
        <v>0</v>
      </c>
      <c r="M166" s="3285">
        <f t="shared" si="6"/>
        <v>1277911.0682741639</v>
      </c>
      <c r="N166" s="3285"/>
      <c r="O166" s="3286"/>
      <c r="P166" s="2191"/>
    </row>
    <row r="167" spans="1:16" s="2192" customFormat="1" ht="16.5" customHeight="1">
      <c r="A167" s="2121">
        <v>155</v>
      </c>
      <c r="B167" s="2121">
        <v>155</v>
      </c>
      <c r="C167" s="3283"/>
      <c r="D167" s="3284" t="s">
        <v>1611</v>
      </c>
      <c r="E167" s="3284" t="s">
        <v>40</v>
      </c>
      <c r="F167" s="3285">
        <v>230687.42857142858</v>
      </c>
      <c r="G167" s="3285">
        <v>816536.2111313066</v>
      </c>
      <c r="H167" s="3285">
        <v>230687.42857142858</v>
      </c>
      <c r="I167" s="3285">
        <v>0</v>
      </c>
      <c r="J167" s="3285">
        <v>0</v>
      </c>
      <c r="K167" s="3285">
        <f t="shared" si="5"/>
        <v>1277911.0682741639</v>
      </c>
      <c r="L167" s="3285">
        <v>0</v>
      </c>
      <c r="M167" s="3285">
        <f t="shared" si="6"/>
        <v>1277911.0682741639</v>
      </c>
      <c r="N167" s="3285"/>
      <c r="O167" s="3286"/>
      <c r="P167" s="2191"/>
    </row>
    <row r="168" spans="1:16" s="2192" customFormat="1" ht="16.5" customHeight="1">
      <c r="A168" s="2121">
        <v>156</v>
      </c>
      <c r="B168" s="2121">
        <v>156</v>
      </c>
      <c r="C168" s="3283"/>
      <c r="D168" s="3284" t="s">
        <v>1612</v>
      </c>
      <c r="E168" s="3284" t="s">
        <v>40</v>
      </c>
      <c r="F168" s="3285">
        <v>230687.42857142858</v>
      </c>
      <c r="G168" s="3285">
        <v>816536.2111313066</v>
      </c>
      <c r="H168" s="3285">
        <v>230687.42857142858</v>
      </c>
      <c r="I168" s="3285">
        <v>0</v>
      </c>
      <c r="J168" s="3285">
        <v>0</v>
      </c>
      <c r="K168" s="3285">
        <f t="shared" si="5"/>
        <v>1277911.0682741639</v>
      </c>
      <c r="L168" s="3285">
        <v>0</v>
      </c>
      <c r="M168" s="3285">
        <f t="shared" si="6"/>
        <v>1277911.0682741639</v>
      </c>
      <c r="N168" s="3285"/>
      <c r="O168" s="3286"/>
      <c r="P168" s="2191"/>
    </row>
    <row r="169" spans="1:16" s="2192" customFormat="1" ht="16.5" customHeight="1">
      <c r="A169" s="2121">
        <v>157</v>
      </c>
      <c r="B169" s="2121">
        <v>157</v>
      </c>
      <c r="C169" s="3283"/>
      <c r="D169" s="3284" t="s">
        <v>1613</v>
      </c>
      <c r="E169" s="3284" t="s">
        <v>40</v>
      </c>
      <c r="F169" s="3285">
        <v>230687.42857142858</v>
      </c>
      <c r="G169" s="3285">
        <v>816536.2111313066</v>
      </c>
      <c r="H169" s="3285">
        <v>230687.42857142858</v>
      </c>
      <c r="I169" s="3285">
        <v>0</v>
      </c>
      <c r="J169" s="3285">
        <v>0</v>
      </c>
      <c r="K169" s="3285">
        <f t="shared" si="5"/>
        <v>1277911.0682741639</v>
      </c>
      <c r="L169" s="3285">
        <v>0</v>
      </c>
      <c r="M169" s="3285">
        <f t="shared" si="6"/>
        <v>1277911.0682741639</v>
      </c>
      <c r="N169" s="3285"/>
      <c r="O169" s="3286"/>
      <c r="P169" s="2191"/>
    </row>
    <row r="170" spans="1:16" s="2192" customFormat="1" ht="16.5" customHeight="1">
      <c r="A170" s="2121">
        <v>158</v>
      </c>
      <c r="B170" s="2121">
        <v>158</v>
      </c>
      <c r="C170" s="3283"/>
      <c r="D170" s="3284" t="s">
        <v>1614</v>
      </c>
      <c r="E170" s="3284" t="s">
        <v>40</v>
      </c>
      <c r="F170" s="3285">
        <v>230687.42857142858</v>
      </c>
      <c r="G170" s="3285">
        <v>816536.2111313066</v>
      </c>
      <c r="H170" s="3285">
        <v>230687.42857142858</v>
      </c>
      <c r="I170" s="3285">
        <v>0</v>
      </c>
      <c r="J170" s="3285">
        <v>0</v>
      </c>
      <c r="K170" s="3285">
        <f t="shared" si="5"/>
        <v>1277911.0682741639</v>
      </c>
      <c r="L170" s="3285">
        <v>0</v>
      </c>
      <c r="M170" s="3285">
        <f t="shared" si="6"/>
        <v>1277911.0682741639</v>
      </c>
      <c r="N170" s="3285"/>
      <c r="O170" s="3286"/>
      <c r="P170" s="2191"/>
    </row>
    <row r="171" spans="1:16" s="2192" customFormat="1" ht="16.5" customHeight="1">
      <c r="A171" s="2121">
        <v>159</v>
      </c>
      <c r="B171" s="2121">
        <v>159</v>
      </c>
      <c r="C171" s="3283">
        <v>0</v>
      </c>
      <c r="D171" s="3284" t="s">
        <v>1615</v>
      </c>
      <c r="E171" s="3284" t="s">
        <v>40</v>
      </c>
      <c r="F171" s="3285"/>
      <c r="G171" s="3285">
        <v>821872.90233627637</v>
      </c>
      <c r="H171" s="3285">
        <v>298648</v>
      </c>
      <c r="I171" s="3285">
        <v>0</v>
      </c>
      <c r="J171" s="3285">
        <v>0</v>
      </c>
      <c r="K171" s="3285">
        <f t="shared" si="5"/>
        <v>1120520.9023362764</v>
      </c>
      <c r="L171" s="3285">
        <v>0</v>
      </c>
      <c r="M171" s="3285">
        <f t="shared" si="6"/>
        <v>1120520.9023362764</v>
      </c>
      <c r="N171" s="3285"/>
      <c r="O171" s="3286"/>
      <c r="P171" s="2191"/>
    </row>
    <row r="172" spans="1:16" s="2192" customFormat="1" ht="16.5" customHeight="1">
      <c r="A172" s="2121">
        <v>160</v>
      </c>
      <c r="B172" s="2121">
        <v>160</v>
      </c>
      <c r="C172" s="3283"/>
      <c r="D172" s="3284" t="s">
        <v>1469</v>
      </c>
      <c r="E172" s="3284" t="s">
        <v>40</v>
      </c>
      <c r="F172" s="3285"/>
      <c r="G172" s="3285">
        <v>821872.90233627637</v>
      </c>
      <c r="H172" s="3285">
        <v>298648</v>
      </c>
      <c r="I172" s="3285">
        <v>0</v>
      </c>
      <c r="J172" s="3285">
        <v>0</v>
      </c>
      <c r="K172" s="3285">
        <f t="shared" si="5"/>
        <v>1120520.9023362764</v>
      </c>
      <c r="L172" s="3285">
        <v>0</v>
      </c>
      <c r="M172" s="3285">
        <f t="shared" si="6"/>
        <v>1120520.9023362764</v>
      </c>
      <c r="N172" s="3285"/>
      <c r="O172" s="3286"/>
      <c r="P172" s="2191"/>
    </row>
    <row r="173" spans="1:16" s="2192" customFormat="1" ht="16.5" customHeight="1">
      <c r="A173" s="2121">
        <v>161</v>
      </c>
      <c r="B173" s="2121">
        <v>161</v>
      </c>
      <c r="C173" s="3283"/>
      <c r="D173" s="3284" t="s">
        <v>1430</v>
      </c>
      <c r="E173" s="3284" t="s">
        <v>40</v>
      </c>
      <c r="F173" s="3285"/>
      <c r="G173" s="3285">
        <v>821872.90233627637</v>
      </c>
      <c r="H173" s="3285">
        <v>298648</v>
      </c>
      <c r="I173" s="3285">
        <v>0</v>
      </c>
      <c r="J173" s="3285">
        <v>0</v>
      </c>
      <c r="K173" s="3285">
        <f t="shared" si="5"/>
        <v>1120520.9023362764</v>
      </c>
      <c r="L173" s="3285">
        <v>0</v>
      </c>
      <c r="M173" s="3285">
        <f t="shared" si="6"/>
        <v>1120520.9023362764</v>
      </c>
      <c r="N173" s="3285"/>
      <c r="O173" s="3286"/>
      <c r="P173" s="2191"/>
    </row>
    <row r="174" spans="1:16" s="2192" customFormat="1" ht="16.5" customHeight="1">
      <c r="A174" s="2121">
        <v>162</v>
      </c>
      <c r="B174" s="2121">
        <v>162</v>
      </c>
      <c r="C174" s="3283"/>
      <c r="D174" s="3284" t="s">
        <v>1431</v>
      </c>
      <c r="E174" s="3284" t="s">
        <v>40</v>
      </c>
      <c r="F174" s="3285"/>
      <c r="G174" s="3285">
        <v>821872.90233627637</v>
      </c>
      <c r="H174" s="3285">
        <v>298648</v>
      </c>
      <c r="I174" s="3285">
        <v>0</v>
      </c>
      <c r="J174" s="3285">
        <v>0</v>
      </c>
      <c r="K174" s="3285">
        <f t="shared" si="5"/>
        <v>1120520.9023362764</v>
      </c>
      <c r="L174" s="3285">
        <v>0</v>
      </c>
      <c r="M174" s="3285">
        <f t="shared" si="6"/>
        <v>1120520.9023362764</v>
      </c>
      <c r="N174" s="3285"/>
      <c r="O174" s="3286"/>
      <c r="P174" s="2191"/>
    </row>
    <row r="175" spans="1:16" s="2192" customFormat="1" ht="16.5" customHeight="1">
      <c r="A175" s="2121">
        <v>163</v>
      </c>
      <c r="B175" s="2121">
        <v>163</v>
      </c>
      <c r="C175" s="3283"/>
      <c r="D175" s="3284" t="s">
        <v>1432</v>
      </c>
      <c r="E175" s="3284" t="s">
        <v>40</v>
      </c>
      <c r="F175" s="3285"/>
      <c r="G175" s="3285">
        <v>821872.90233627637</v>
      </c>
      <c r="H175" s="3285">
        <v>298648</v>
      </c>
      <c r="I175" s="3285">
        <v>0</v>
      </c>
      <c r="J175" s="3285">
        <v>0</v>
      </c>
      <c r="K175" s="3285">
        <f t="shared" si="5"/>
        <v>1120520.9023362764</v>
      </c>
      <c r="L175" s="3285">
        <v>0</v>
      </c>
      <c r="M175" s="3285">
        <f t="shared" si="6"/>
        <v>1120520.9023362764</v>
      </c>
      <c r="N175" s="3285"/>
      <c r="O175" s="3286"/>
      <c r="P175" s="2191"/>
    </row>
    <row r="176" spans="1:16" s="2192" customFormat="1" ht="16.5" customHeight="1">
      <c r="A176" s="2121">
        <v>164</v>
      </c>
      <c r="B176" s="2121">
        <v>164</v>
      </c>
      <c r="C176" s="3283">
        <v>0</v>
      </c>
      <c r="D176" s="3284" t="s">
        <v>1564</v>
      </c>
      <c r="E176" s="3284" t="s">
        <v>40</v>
      </c>
      <c r="F176" s="3285"/>
      <c r="G176" s="3285">
        <v>871449.03125097463</v>
      </c>
      <c r="H176" s="3285">
        <v>190417.25</v>
      </c>
      <c r="I176" s="3285">
        <v>0</v>
      </c>
      <c r="J176" s="3285">
        <v>0</v>
      </c>
      <c r="K176" s="3285">
        <f t="shared" si="5"/>
        <v>1061866.2812509746</v>
      </c>
      <c r="L176" s="3285">
        <v>0</v>
      </c>
      <c r="M176" s="3285">
        <f t="shared" si="6"/>
        <v>1061866.2812509746</v>
      </c>
      <c r="N176" s="3285"/>
      <c r="O176" s="3286"/>
      <c r="P176" s="2191"/>
    </row>
    <row r="177" spans="1:17" s="2192" customFormat="1" ht="16.5" customHeight="1">
      <c r="A177" s="2121">
        <v>165</v>
      </c>
      <c r="B177" s="2121">
        <v>165</v>
      </c>
      <c r="C177" s="3283"/>
      <c r="D177" s="3284" t="s">
        <v>1565</v>
      </c>
      <c r="E177" s="3284" t="s">
        <v>40</v>
      </c>
      <c r="F177" s="3285"/>
      <c r="G177" s="3285">
        <v>871449.03125097463</v>
      </c>
      <c r="H177" s="3285">
        <v>190417.25</v>
      </c>
      <c r="I177" s="3285">
        <v>0</v>
      </c>
      <c r="J177" s="3285">
        <v>0</v>
      </c>
      <c r="K177" s="3285">
        <f t="shared" si="5"/>
        <v>1061866.2812509746</v>
      </c>
      <c r="L177" s="3285">
        <v>0</v>
      </c>
      <c r="M177" s="3285">
        <f t="shared" si="6"/>
        <v>1061866.2812509746</v>
      </c>
      <c r="N177" s="3285"/>
      <c r="O177" s="3286"/>
      <c r="P177" s="2191"/>
    </row>
    <row r="178" spans="1:17" s="2192" customFormat="1" ht="16.5" customHeight="1">
      <c r="A178" s="2121">
        <v>166</v>
      </c>
      <c r="B178" s="2121">
        <v>166</v>
      </c>
      <c r="C178" s="3283"/>
      <c r="D178" s="3284" t="s">
        <v>1566</v>
      </c>
      <c r="E178" s="3284" t="s">
        <v>40</v>
      </c>
      <c r="F178" s="3285"/>
      <c r="G178" s="3285">
        <v>871449.03125097463</v>
      </c>
      <c r="H178" s="3285">
        <v>190417.25</v>
      </c>
      <c r="I178" s="3285">
        <v>0</v>
      </c>
      <c r="J178" s="3285">
        <v>0</v>
      </c>
      <c r="K178" s="3285">
        <f t="shared" si="5"/>
        <v>1061866.2812509746</v>
      </c>
      <c r="L178" s="3285">
        <v>0</v>
      </c>
      <c r="M178" s="3285">
        <f t="shared" si="6"/>
        <v>1061866.2812509746</v>
      </c>
      <c r="N178" s="3285"/>
      <c r="O178" s="3286"/>
      <c r="P178" s="2191"/>
    </row>
    <row r="179" spans="1:17" s="2192" customFormat="1" ht="16.5" customHeight="1">
      <c r="A179" s="2121">
        <v>167</v>
      </c>
      <c r="B179" s="2121">
        <v>167</v>
      </c>
      <c r="C179" s="3283"/>
      <c r="D179" s="3284" t="s">
        <v>1567</v>
      </c>
      <c r="E179" s="3284" t="s">
        <v>40</v>
      </c>
      <c r="F179" s="3285"/>
      <c r="G179" s="3285">
        <v>871449.03125097463</v>
      </c>
      <c r="H179" s="3285">
        <v>190417.25</v>
      </c>
      <c r="I179" s="3285">
        <v>0</v>
      </c>
      <c r="J179" s="3285">
        <v>0</v>
      </c>
      <c r="K179" s="3285">
        <f t="shared" si="5"/>
        <v>1061866.2812509746</v>
      </c>
      <c r="L179" s="3285">
        <v>0</v>
      </c>
      <c r="M179" s="3285">
        <f t="shared" si="6"/>
        <v>1061866.2812509746</v>
      </c>
      <c r="N179" s="3285"/>
      <c r="O179" s="3286"/>
      <c r="P179" s="2191"/>
    </row>
    <row r="180" spans="1:17" s="2192" customFormat="1" ht="16.5" customHeight="1">
      <c r="A180" s="2121">
        <v>168</v>
      </c>
      <c r="B180" s="2121">
        <v>168</v>
      </c>
      <c r="C180" s="3283"/>
      <c r="D180" s="3284" t="s">
        <v>1568</v>
      </c>
      <c r="E180" s="3284" t="s">
        <v>40</v>
      </c>
      <c r="F180" s="3285"/>
      <c r="G180" s="3285">
        <v>871449.03125097463</v>
      </c>
      <c r="H180" s="3285">
        <v>190417.25</v>
      </c>
      <c r="I180" s="3285">
        <v>0</v>
      </c>
      <c r="J180" s="3285">
        <v>0</v>
      </c>
      <c r="K180" s="3285">
        <f t="shared" si="5"/>
        <v>1061866.2812509746</v>
      </c>
      <c r="L180" s="3285">
        <v>0</v>
      </c>
      <c r="M180" s="3285">
        <f t="shared" si="6"/>
        <v>1061866.2812509746</v>
      </c>
      <c r="N180" s="3285"/>
      <c r="O180" s="3286"/>
      <c r="P180" s="2191"/>
    </row>
    <row r="181" spans="1:17" s="2192" customFormat="1" ht="16.5" customHeight="1">
      <c r="A181" s="2121">
        <v>169</v>
      </c>
      <c r="B181" s="2121">
        <v>169</v>
      </c>
      <c r="C181" s="3283"/>
      <c r="D181" s="3284" t="s">
        <v>1569</v>
      </c>
      <c r="E181" s="3284" t="s">
        <v>40</v>
      </c>
      <c r="F181" s="3285"/>
      <c r="G181" s="3285">
        <v>871449.03125097463</v>
      </c>
      <c r="H181" s="3285">
        <v>190417.25</v>
      </c>
      <c r="I181" s="3285">
        <v>0</v>
      </c>
      <c r="J181" s="3285">
        <v>0</v>
      </c>
      <c r="K181" s="3285">
        <f t="shared" si="5"/>
        <v>1061866.2812509746</v>
      </c>
      <c r="L181" s="3285">
        <v>0</v>
      </c>
      <c r="M181" s="3285">
        <f t="shared" si="6"/>
        <v>1061866.2812509746</v>
      </c>
      <c r="N181" s="3285"/>
      <c r="O181" s="3286"/>
      <c r="P181" s="2191"/>
    </row>
    <row r="182" spans="1:17" s="2192" customFormat="1" ht="16.5" customHeight="1">
      <c r="A182" s="2121">
        <v>170</v>
      </c>
      <c r="B182" s="2121">
        <v>170</v>
      </c>
      <c r="C182" s="3283"/>
      <c r="D182" s="3284" t="s">
        <v>1616</v>
      </c>
      <c r="E182" s="3284" t="s">
        <v>40</v>
      </c>
      <c r="F182" s="3285"/>
      <c r="G182" s="3285">
        <v>871449.03125097463</v>
      </c>
      <c r="H182" s="3285">
        <v>190417.25</v>
      </c>
      <c r="I182" s="3285">
        <v>0</v>
      </c>
      <c r="J182" s="3285">
        <v>0</v>
      </c>
      <c r="K182" s="3285">
        <f t="shared" si="5"/>
        <v>1061866.2812509746</v>
      </c>
      <c r="L182" s="3285">
        <v>0</v>
      </c>
      <c r="M182" s="3285">
        <f t="shared" si="6"/>
        <v>1061866.2812509746</v>
      </c>
      <c r="N182" s="3285"/>
      <c r="O182" s="3286"/>
      <c r="P182" s="2191"/>
    </row>
    <row r="183" spans="1:17" s="2192" customFormat="1" ht="16.5" customHeight="1">
      <c r="A183" s="2121">
        <v>171</v>
      </c>
      <c r="B183" s="2121">
        <v>171</v>
      </c>
      <c r="C183" s="3283"/>
      <c r="D183" s="3284" t="s">
        <v>1617</v>
      </c>
      <c r="E183" s="3284" t="s">
        <v>40</v>
      </c>
      <c r="F183" s="3285"/>
      <c r="G183" s="3285">
        <v>871449.03125097463</v>
      </c>
      <c r="H183" s="3285">
        <v>190417.25</v>
      </c>
      <c r="I183" s="3285">
        <v>0</v>
      </c>
      <c r="J183" s="3285">
        <v>0</v>
      </c>
      <c r="K183" s="3285">
        <f t="shared" si="5"/>
        <v>1061866.2812509746</v>
      </c>
      <c r="L183" s="3285">
        <v>0</v>
      </c>
      <c r="M183" s="3285">
        <f t="shared" si="6"/>
        <v>1061866.2812509746</v>
      </c>
      <c r="N183" s="3285"/>
      <c r="O183" s="3286"/>
      <c r="P183" s="2191"/>
    </row>
    <row r="184" spans="1:17" s="2192" customFormat="1" ht="16.5" customHeight="1">
      <c r="A184" s="2121">
        <v>172</v>
      </c>
      <c r="B184" s="2121">
        <v>172</v>
      </c>
      <c r="C184" s="3283">
        <v>0</v>
      </c>
      <c r="D184" s="3284" t="s">
        <v>1618</v>
      </c>
      <c r="E184" s="3284" t="s">
        <v>40</v>
      </c>
      <c r="F184" s="3285"/>
      <c r="G184" s="3285">
        <v>876129.86444078595</v>
      </c>
      <c r="H184" s="3285">
        <v>190417.25</v>
      </c>
      <c r="I184" s="3285">
        <v>0</v>
      </c>
      <c r="J184" s="3285">
        <v>0</v>
      </c>
      <c r="K184" s="3285">
        <f t="shared" si="5"/>
        <v>1066547.114440786</v>
      </c>
      <c r="L184" s="3285">
        <v>0</v>
      </c>
      <c r="M184" s="3285">
        <f t="shared" si="6"/>
        <v>1066547.114440786</v>
      </c>
      <c r="N184" s="3285"/>
      <c r="O184" s="3286"/>
      <c r="P184" s="2191"/>
    </row>
    <row r="185" spans="1:17" s="2192" customFormat="1" ht="16.5" customHeight="1">
      <c r="A185" s="2121">
        <v>173</v>
      </c>
      <c r="B185" s="2121">
        <v>173</v>
      </c>
      <c r="C185" s="3283"/>
      <c r="D185" s="3284" t="s">
        <v>1619</v>
      </c>
      <c r="E185" s="3284" t="s">
        <v>40</v>
      </c>
      <c r="F185" s="3285"/>
      <c r="G185" s="3285">
        <v>876129.86444078595</v>
      </c>
      <c r="H185" s="3285">
        <v>190417.25</v>
      </c>
      <c r="I185" s="3285">
        <v>0</v>
      </c>
      <c r="J185" s="3285">
        <v>0</v>
      </c>
      <c r="K185" s="3285">
        <f t="shared" si="5"/>
        <v>1066547.114440786</v>
      </c>
      <c r="L185" s="3285">
        <v>0</v>
      </c>
      <c r="M185" s="3285">
        <f t="shared" si="6"/>
        <v>1066547.114440786</v>
      </c>
      <c r="N185" s="3285"/>
      <c r="O185" s="3286"/>
      <c r="P185" s="2191"/>
    </row>
    <row r="186" spans="1:17" s="2192" customFormat="1" ht="16.5" customHeight="1">
      <c r="A186" s="2121">
        <v>174</v>
      </c>
      <c r="B186" s="2121">
        <v>174</v>
      </c>
      <c r="C186" s="3283"/>
      <c r="D186" s="3284" t="s">
        <v>1620</v>
      </c>
      <c r="E186" s="3284" t="s">
        <v>40</v>
      </c>
      <c r="F186" s="3285"/>
      <c r="G186" s="3285">
        <v>876129.86444078595</v>
      </c>
      <c r="H186" s="3285">
        <v>190417.25</v>
      </c>
      <c r="I186" s="3285">
        <v>0</v>
      </c>
      <c r="J186" s="3285">
        <v>0</v>
      </c>
      <c r="K186" s="3285">
        <f t="shared" si="5"/>
        <v>1066547.114440786</v>
      </c>
      <c r="L186" s="3285">
        <v>0</v>
      </c>
      <c r="M186" s="3285">
        <f t="shared" si="6"/>
        <v>1066547.114440786</v>
      </c>
      <c r="N186" s="3285"/>
      <c r="O186" s="3286"/>
      <c r="P186" s="2191"/>
    </row>
    <row r="187" spans="1:17" s="2192" customFormat="1" ht="16.5" customHeight="1">
      <c r="A187" s="2121">
        <v>175</v>
      </c>
      <c r="B187" s="2121">
        <v>175</v>
      </c>
      <c r="C187" s="3283"/>
      <c r="D187" s="3284" t="s">
        <v>1621</v>
      </c>
      <c r="E187" s="3284" t="s">
        <v>40</v>
      </c>
      <c r="F187" s="3285"/>
      <c r="G187" s="3285">
        <v>876129.86444078595</v>
      </c>
      <c r="H187" s="3285">
        <v>190417.25</v>
      </c>
      <c r="I187" s="3285">
        <v>0</v>
      </c>
      <c r="J187" s="3285">
        <v>0</v>
      </c>
      <c r="K187" s="3285">
        <f t="shared" si="5"/>
        <v>1066547.114440786</v>
      </c>
      <c r="L187" s="3285">
        <v>0</v>
      </c>
      <c r="M187" s="3285">
        <f t="shared" si="6"/>
        <v>1066547.114440786</v>
      </c>
      <c r="N187" s="3285"/>
      <c r="O187" s="3286"/>
      <c r="P187" s="2191"/>
    </row>
    <row r="188" spans="1:17" s="2192" customFormat="1" ht="16.5" customHeight="1">
      <c r="A188" s="2121">
        <v>176</v>
      </c>
      <c r="B188" s="2121">
        <v>176</v>
      </c>
      <c r="C188" s="3283"/>
      <c r="D188" s="3284" t="s">
        <v>1622</v>
      </c>
      <c r="E188" s="3284" t="s">
        <v>40</v>
      </c>
      <c r="F188" s="3285"/>
      <c r="G188" s="3285">
        <v>876129.86444078595</v>
      </c>
      <c r="H188" s="3285">
        <v>190417.25</v>
      </c>
      <c r="I188" s="3285">
        <v>0</v>
      </c>
      <c r="J188" s="3285">
        <v>0</v>
      </c>
      <c r="K188" s="3285">
        <f t="shared" si="5"/>
        <v>1066547.114440786</v>
      </c>
      <c r="L188" s="3285">
        <v>0</v>
      </c>
      <c r="M188" s="3285">
        <f t="shared" si="6"/>
        <v>1066547.114440786</v>
      </c>
      <c r="N188" s="3285"/>
      <c r="O188" s="3286"/>
      <c r="P188" s="2191"/>
    </row>
    <row r="189" spans="1:17" s="2192" customFormat="1" ht="16.5" customHeight="1">
      <c r="A189" s="2121">
        <v>177</v>
      </c>
      <c r="B189" s="2121">
        <v>177</v>
      </c>
      <c r="C189" s="3283"/>
      <c r="D189" s="3284" t="s">
        <v>1623</v>
      </c>
      <c r="E189" s="3284" t="s">
        <v>40</v>
      </c>
      <c r="F189" s="3285"/>
      <c r="G189" s="3285">
        <v>876129.86444078595</v>
      </c>
      <c r="H189" s="3285">
        <v>190417.25</v>
      </c>
      <c r="I189" s="3285">
        <v>0</v>
      </c>
      <c r="J189" s="3285">
        <v>0</v>
      </c>
      <c r="K189" s="3285">
        <f t="shared" ref="K189:K191" si="7">F189+G189+H189</f>
        <v>1066547.114440786</v>
      </c>
      <c r="L189" s="3285">
        <v>0</v>
      </c>
      <c r="M189" s="3285">
        <f t="shared" ref="M189:M191" si="8">K189</f>
        <v>1066547.114440786</v>
      </c>
      <c r="N189" s="3285"/>
      <c r="O189" s="3286"/>
      <c r="P189" s="2191"/>
    </row>
    <row r="190" spans="1:17" s="2192" customFormat="1" ht="16.5" customHeight="1">
      <c r="A190" s="2121">
        <v>178</v>
      </c>
      <c r="B190" s="2121">
        <v>178</v>
      </c>
      <c r="C190" s="3283"/>
      <c r="D190" s="3284" t="s">
        <v>1624</v>
      </c>
      <c r="E190" s="3284" t="s">
        <v>40</v>
      </c>
      <c r="F190" s="3285"/>
      <c r="G190" s="3285">
        <v>876129.86444078595</v>
      </c>
      <c r="H190" s="3285">
        <v>190417.25</v>
      </c>
      <c r="I190" s="3285">
        <v>0</v>
      </c>
      <c r="J190" s="3285">
        <v>0</v>
      </c>
      <c r="K190" s="3285">
        <f t="shared" si="7"/>
        <v>1066547.114440786</v>
      </c>
      <c r="L190" s="3285">
        <v>0</v>
      </c>
      <c r="M190" s="3285">
        <f t="shared" si="8"/>
        <v>1066547.114440786</v>
      </c>
      <c r="N190" s="3285"/>
      <c r="O190" s="3286"/>
      <c r="P190" s="2191"/>
    </row>
    <row r="191" spans="1:17" s="2192" customFormat="1" ht="16.5" customHeight="1">
      <c r="A191" s="2121">
        <v>179</v>
      </c>
      <c r="B191" s="2121">
        <v>179</v>
      </c>
      <c r="C191" s="3283"/>
      <c r="D191" s="3284" t="s">
        <v>1625</v>
      </c>
      <c r="E191" s="3284" t="s">
        <v>40</v>
      </c>
      <c r="F191" s="3285"/>
      <c r="G191" s="3285">
        <v>876129.86444078595</v>
      </c>
      <c r="H191" s="3285">
        <v>190417.25</v>
      </c>
      <c r="I191" s="3285">
        <v>0</v>
      </c>
      <c r="J191" s="3285">
        <v>0</v>
      </c>
      <c r="K191" s="3285">
        <f t="shared" si="7"/>
        <v>1066547.114440786</v>
      </c>
      <c r="L191" s="3285">
        <v>0</v>
      </c>
      <c r="M191" s="3285">
        <f t="shared" si="8"/>
        <v>1066547.114440786</v>
      </c>
      <c r="N191" s="3285"/>
      <c r="O191" s="3286"/>
      <c r="P191" s="2191"/>
    </row>
    <row r="192" spans="1:17" s="2192" customFormat="1" ht="22.5" customHeight="1">
      <c r="A192" s="4409" t="s">
        <v>322</v>
      </c>
      <c r="B192" s="4410"/>
      <c r="C192" s="4410"/>
      <c r="D192" s="4411"/>
      <c r="E192" s="3281"/>
      <c r="F192" s="3641">
        <f>SUM(F193:F297)</f>
        <v>40604166.925925612</v>
      </c>
      <c r="G192" s="3641">
        <f>SUM(G193:G297)</f>
        <v>43287282.075948551</v>
      </c>
      <c r="H192" s="3641">
        <f>SUM(H193:H297)</f>
        <v>29479242.566666704</v>
      </c>
      <c r="I192" s="3282"/>
      <c r="J192" s="3282"/>
      <c r="K192" s="3282">
        <f>SUM(K193:K297)</f>
        <v>113370691.56854081</v>
      </c>
      <c r="L192" s="3282">
        <f>SUM(L193:L297)</f>
        <v>0</v>
      </c>
      <c r="M192" s="3282">
        <f>SUM(M193:M297)</f>
        <v>113370691.56854081</v>
      </c>
      <c r="N192" s="3282">
        <f>SUM(N193:N297)</f>
        <v>0</v>
      </c>
      <c r="O192" s="3287"/>
      <c r="P192" s="2191"/>
      <c r="Q192" s="2194"/>
    </row>
    <row r="193" spans="1:18" s="2192" customFormat="1" ht="16.5" customHeight="1">
      <c r="A193" s="2121">
        <v>180</v>
      </c>
      <c r="B193" s="2121">
        <v>1</v>
      </c>
      <c r="C193" s="3288"/>
      <c r="D193" s="3289" t="s">
        <v>747</v>
      </c>
      <c r="E193" s="3284" t="s">
        <v>40</v>
      </c>
      <c r="F193" s="3285">
        <f>550846.558944174-77155+0.4</f>
        <v>473691.958944174</v>
      </c>
      <c r="G193" s="3285"/>
      <c r="H193" s="3285">
        <f>245485.333333333+67484.3-41922-0.4</f>
        <v>271047.23333333299</v>
      </c>
      <c r="I193" s="3285">
        <v>0</v>
      </c>
      <c r="J193" s="3285">
        <v>0</v>
      </c>
      <c r="K193" s="3285">
        <f t="shared" ref="K193:K224" si="9">H193+G193+F193</f>
        <v>744739.19227750693</v>
      </c>
      <c r="L193" s="3285">
        <v>0</v>
      </c>
      <c r="M193" s="3285">
        <f>K193</f>
        <v>744739.19227750693</v>
      </c>
      <c r="N193" s="3285"/>
      <c r="O193" s="3286"/>
      <c r="P193" s="2197"/>
      <c r="Q193" s="2194"/>
    </row>
    <row r="194" spans="1:18" s="2192" customFormat="1" ht="16.5" customHeight="1">
      <c r="A194" s="2121">
        <v>181</v>
      </c>
      <c r="B194" s="2121">
        <v>2</v>
      </c>
      <c r="C194" s="3288"/>
      <c r="D194" s="3289" t="s">
        <v>1626</v>
      </c>
      <c r="E194" s="3284" t="s">
        <v>40</v>
      </c>
      <c r="F194" s="3285">
        <v>884022.55894417397</v>
      </c>
      <c r="G194" s="3285"/>
      <c r="H194" s="3285">
        <v>245485.33333333334</v>
      </c>
      <c r="I194" s="3285">
        <v>0</v>
      </c>
      <c r="J194" s="3285">
        <v>0</v>
      </c>
      <c r="K194" s="3285">
        <f t="shared" si="9"/>
        <v>1129507.8922775073</v>
      </c>
      <c r="L194" s="3285">
        <v>0</v>
      </c>
      <c r="M194" s="3285">
        <f t="shared" ref="M194:M274" si="10">K194</f>
        <v>1129507.8922775073</v>
      </c>
      <c r="N194" s="3285"/>
      <c r="O194" s="3286"/>
      <c r="P194" s="2197"/>
      <c r="Q194" s="2194"/>
    </row>
    <row r="195" spans="1:18" s="2192" customFormat="1" ht="16.5" customHeight="1">
      <c r="A195" s="2121">
        <v>182</v>
      </c>
      <c r="B195" s="2121">
        <v>3</v>
      </c>
      <c r="C195" s="3288"/>
      <c r="D195" s="3289" t="s">
        <v>966</v>
      </c>
      <c r="E195" s="3284" t="s">
        <v>40</v>
      </c>
      <c r="F195" s="3285">
        <v>927750.14285714296</v>
      </c>
      <c r="G195" s="3285"/>
      <c r="H195" s="3285">
        <v>317619.71428571403</v>
      </c>
      <c r="I195" s="3285">
        <v>0</v>
      </c>
      <c r="J195" s="3285">
        <v>0</v>
      </c>
      <c r="K195" s="3285">
        <f t="shared" si="9"/>
        <v>1245369.857142857</v>
      </c>
      <c r="L195" s="3285">
        <v>0</v>
      </c>
      <c r="M195" s="3285">
        <f t="shared" si="10"/>
        <v>1245369.857142857</v>
      </c>
      <c r="N195" s="3285"/>
      <c r="O195" s="3286"/>
      <c r="P195" s="2197"/>
      <c r="Q195" s="2194"/>
      <c r="R195" s="3253">
        <f>F192-'LƯƠNG TT'!F50</f>
        <v>40604166.925925612</v>
      </c>
    </row>
    <row r="196" spans="1:18" s="2192" customFormat="1" ht="16.5" customHeight="1">
      <c r="A196" s="2121">
        <v>183</v>
      </c>
      <c r="B196" s="2121">
        <v>4</v>
      </c>
      <c r="C196" s="3288"/>
      <c r="D196" s="3289" t="s">
        <v>975</v>
      </c>
      <c r="E196" s="3284" t="s">
        <v>40</v>
      </c>
      <c r="F196" s="3285">
        <v>927750.14285714296</v>
      </c>
      <c r="G196" s="3285"/>
      <c r="H196" s="3285">
        <v>317619.71428571403</v>
      </c>
      <c r="I196" s="3285">
        <v>0</v>
      </c>
      <c r="J196" s="3285">
        <v>0</v>
      </c>
      <c r="K196" s="3285">
        <f t="shared" si="9"/>
        <v>1245369.857142857</v>
      </c>
      <c r="L196" s="3285">
        <v>0</v>
      </c>
      <c r="M196" s="3285">
        <f t="shared" si="10"/>
        <v>1245369.857142857</v>
      </c>
      <c r="N196" s="3285"/>
      <c r="O196" s="3286"/>
      <c r="P196" s="2197"/>
      <c r="Q196" s="2194"/>
      <c r="R196" s="3253"/>
    </row>
    <row r="197" spans="1:18" s="2192" customFormat="1" ht="16.5" customHeight="1">
      <c r="A197" s="2121">
        <v>184</v>
      </c>
      <c r="B197" s="2121">
        <v>5</v>
      </c>
      <c r="C197" s="3288"/>
      <c r="D197" s="3289" t="s">
        <v>753</v>
      </c>
      <c r="E197" s="3284" t="s">
        <v>40</v>
      </c>
      <c r="F197" s="3285">
        <v>927750.14285714296</v>
      </c>
      <c r="G197" s="3285"/>
      <c r="H197" s="3285">
        <v>317619.71428571403</v>
      </c>
      <c r="I197" s="3285">
        <v>0</v>
      </c>
      <c r="J197" s="3285">
        <v>0</v>
      </c>
      <c r="K197" s="3285">
        <f t="shared" si="9"/>
        <v>1245369.857142857</v>
      </c>
      <c r="L197" s="3285">
        <v>0</v>
      </c>
      <c r="M197" s="3285">
        <f t="shared" si="10"/>
        <v>1245369.857142857</v>
      </c>
      <c r="N197" s="3285"/>
      <c r="O197" s="3286"/>
      <c r="P197" s="2197"/>
      <c r="Q197" s="2194"/>
      <c r="R197" s="3253">
        <f>G192-'LƯƠNG TT'!G50</f>
        <v>38205014.075948551</v>
      </c>
    </row>
    <row r="198" spans="1:18" s="2192" customFormat="1" ht="16.5" customHeight="1">
      <c r="A198" s="2121">
        <v>185</v>
      </c>
      <c r="B198" s="2121">
        <v>6</v>
      </c>
      <c r="C198" s="3288"/>
      <c r="D198" s="3289" t="s">
        <v>974</v>
      </c>
      <c r="E198" s="3284" t="s">
        <v>40</v>
      </c>
      <c r="F198" s="3285">
        <v>927750.14285714296</v>
      </c>
      <c r="G198" s="3285"/>
      <c r="H198" s="3285">
        <v>317619.71428571403</v>
      </c>
      <c r="I198" s="3285">
        <v>0</v>
      </c>
      <c r="J198" s="3285">
        <v>0</v>
      </c>
      <c r="K198" s="3285">
        <f t="shared" si="9"/>
        <v>1245369.857142857</v>
      </c>
      <c r="L198" s="3285">
        <v>0</v>
      </c>
      <c r="M198" s="3285">
        <f t="shared" si="10"/>
        <v>1245369.857142857</v>
      </c>
      <c r="N198" s="3285"/>
      <c r="O198" s="3286"/>
      <c r="P198" s="2197"/>
      <c r="Q198" s="2194"/>
      <c r="R198" s="3253"/>
    </row>
    <row r="199" spans="1:18" s="2192" customFormat="1" ht="16.5" customHeight="1">
      <c r="A199" s="2121">
        <v>186</v>
      </c>
      <c r="B199" s="2121">
        <v>7</v>
      </c>
      <c r="C199" s="3288"/>
      <c r="D199" s="3289" t="s">
        <v>926</v>
      </c>
      <c r="E199" s="3284" t="s">
        <v>40</v>
      </c>
      <c r="F199" s="3285">
        <v>927750.14285714296</v>
      </c>
      <c r="G199" s="3285"/>
      <c r="H199" s="3285">
        <v>317619.71428571403</v>
      </c>
      <c r="I199" s="3285">
        <v>0</v>
      </c>
      <c r="J199" s="3285">
        <v>0</v>
      </c>
      <c r="K199" s="3285">
        <f t="shared" si="9"/>
        <v>1245369.857142857</v>
      </c>
      <c r="L199" s="3285">
        <v>0</v>
      </c>
      <c r="M199" s="3285">
        <f t="shared" si="10"/>
        <v>1245369.857142857</v>
      </c>
      <c r="N199" s="3285"/>
      <c r="O199" s="3286"/>
      <c r="P199" s="2197"/>
      <c r="Q199" s="2194"/>
      <c r="R199" s="3253">
        <f>H192-'LƯƠNG TT'!H50</f>
        <v>5438572.5666667037</v>
      </c>
    </row>
    <row r="200" spans="1:18" s="2192" customFormat="1" ht="16.5" customHeight="1">
      <c r="A200" s="2121">
        <v>187</v>
      </c>
      <c r="B200" s="2121">
        <v>8</v>
      </c>
      <c r="C200" s="3288"/>
      <c r="D200" s="3289" t="s">
        <v>989</v>
      </c>
      <c r="E200" s="3284" t="s">
        <v>40</v>
      </c>
      <c r="F200" s="3285">
        <v>927750.14285714296</v>
      </c>
      <c r="G200" s="3285"/>
      <c r="H200" s="3285">
        <v>317619.71428571403</v>
      </c>
      <c r="I200" s="3285">
        <v>0</v>
      </c>
      <c r="J200" s="3285">
        <v>0</v>
      </c>
      <c r="K200" s="3285">
        <f t="shared" si="9"/>
        <v>1245369.857142857</v>
      </c>
      <c r="L200" s="3285">
        <v>0</v>
      </c>
      <c r="M200" s="3285">
        <f t="shared" si="10"/>
        <v>1245369.857142857</v>
      </c>
      <c r="N200" s="3285"/>
      <c r="O200" s="3286"/>
      <c r="P200" s="2197"/>
      <c r="Q200" s="2194"/>
    </row>
    <row r="201" spans="1:18" s="2192" customFormat="1" ht="16.5" customHeight="1">
      <c r="A201" s="2121">
        <v>188</v>
      </c>
      <c r="B201" s="2121">
        <v>9</v>
      </c>
      <c r="C201" s="3288"/>
      <c r="D201" s="3289" t="s">
        <v>1463</v>
      </c>
      <c r="E201" s="3284" t="s">
        <v>40</v>
      </c>
      <c r="F201" s="3285">
        <v>727750.14285714296</v>
      </c>
      <c r="G201" s="3285"/>
      <c r="H201" s="3285">
        <v>417619.71428571403</v>
      </c>
      <c r="I201" s="3285">
        <v>0</v>
      </c>
      <c r="J201" s="3285">
        <v>0</v>
      </c>
      <c r="K201" s="3285">
        <f t="shared" si="9"/>
        <v>1145369.857142857</v>
      </c>
      <c r="L201" s="3285">
        <v>0</v>
      </c>
      <c r="M201" s="3285">
        <f t="shared" si="10"/>
        <v>1145369.857142857</v>
      </c>
      <c r="N201" s="3285"/>
      <c r="O201" s="3286"/>
      <c r="P201" s="2197"/>
      <c r="Q201" s="2194"/>
      <c r="R201" s="3253"/>
    </row>
    <row r="202" spans="1:18" s="2192" customFormat="1" ht="16.5" customHeight="1">
      <c r="A202" s="2121">
        <v>189</v>
      </c>
      <c r="B202" s="2121">
        <v>10</v>
      </c>
      <c r="C202" s="3288"/>
      <c r="D202" s="3289" t="s">
        <v>1464</v>
      </c>
      <c r="E202" s="3284" t="s">
        <v>40</v>
      </c>
      <c r="F202" s="3285">
        <v>684022.55894417397</v>
      </c>
      <c r="G202" s="3285"/>
      <c r="H202" s="3285">
        <v>417619.71428571403</v>
      </c>
      <c r="I202" s="3285">
        <v>0</v>
      </c>
      <c r="J202" s="3285">
        <v>0</v>
      </c>
      <c r="K202" s="3285">
        <f t="shared" si="9"/>
        <v>1101642.2732298879</v>
      </c>
      <c r="L202" s="3285">
        <v>0</v>
      </c>
      <c r="M202" s="3285">
        <f t="shared" si="10"/>
        <v>1101642.2732298879</v>
      </c>
      <c r="N202" s="3285"/>
      <c r="O202" s="3286"/>
      <c r="P202" s="2197"/>
      <c r="Q202" s="2194"/>
    </row>
    <row r="203" spans="1:18" s="2192" customFormat="1" ht="16.5" customHeight="1">
      <c r="A203" s="2121">
        <v>190</v>
      </c>
      <c r="B203" s="2121">
        <v>11</v>
      </c>
      <c r="C203" s="3288"/>
      <c r="D203" s="3289" t="s">
        <v>103</v>
      </c>
      <c r="E203" s="3284" t="s">
        <v>40</v>
      </c>
      <c r="F203" s="3285">
        <v>684022.55894417397</v>
      </c>
      <c r="G203" s="3285"/>
      <c r="H203" s="3285">
        <v>417619.71428571403</v>
      </c>
      <c r="I203" s="3285">
        <v>0</v>
      </c>
      <c r="J203" s="3285">
        <v>0</v>
      </c>
      <c r="K203" s="3285">
        <f t="shared" si="9"/>
        <v>1101642.2732298879</v>
      </c>
      <c r="L203" s="3285">
        <v>0</v>
      </c>
      <c r="M203" s="3285">
        <f t="shared" si="10"/>
        <v>1101642.2732298879</v>
      </c>
      <c r="N203" s="3285"/>
      <c r="O203" s="3286"/>
      <c r="P203" s="2197"/>
      <c r="Q203" s="2194"/>
    </row>
    <row r="204" spans="1:18" s="2192" customFormat="1" ht="16.5" customHeight="1">
      <c r="A204" s="2121">
        <v>191</v>
      </c>
      <c r="B204" s="2121">
        <v>12</v>
      </c>
      <c r="C204" s="3288"/>
      <c r="D204" s="3289" t="s">
        <v>1465</v>
      </c>
      <c r="E204" s="3284" t="s">
        <v>40</v>
      </c>
      <c r="F204" s="3285">
        <v>684022.55894417397</v>
      </c>
      <c r="G204" s="3285"/>
      <c r="H204" s="3285">
        <v>417619.71428571403</v>
      </c>
      <c r="I204" s="3285">
        <v>0</v>
      </c>
      <c r="J204" s="3285">
        <v>0</v>
      </c>
      <c r="K204" s="3285">
        <f t="shared" si="9"/>
        <v>1101642.2732298879</v>
      </c>
      <c r="L204" s="3285">
        <v>0</v>
      </c>
      <c r="M204" s="3285">
        <f t="shared" si="10"/>
        <v>1101642.2732298879</v>
      </c>
      <c r="N204" s="3285"/>
      <c r="O204" s="3286"/>
      <c r="P204" s="2197"/>
      <c r="Q204" s="2194"/>
    </row>
    <row r="205" spans="1:18" s="2192" customFormat="1" ht="16.5" customHeight="1">
      <c r="A205" s="2121">
        <v>192</v>
      </c>
      <c r="B205" s="2121">
        <v>13</v>
      </c>
      <c r="C205" s="3288"/>
      <c r="D205" s="3289" t="s">
        <v>1466</v>
      </c>
      <c r="E205" s="3284" t="s">
        <v>40</v>
      </c>
      <c r="F205" s="3285">
        <v>684022.55894417397</v>
      </c>
      <c r="G205" s="3285"/>
      <c r="H205" s="3285">
        <v>517619.71428571403</v>
      </c>
      <c r="I205" s="3285">
        <v>0</v>
      </c>
      <c r="J205" s="3285">
        <v>0</v>
      </c>
      <c r="K205" s="3285">
        <f t="shared" si="9"/>
        <v>1201642.2732298879</v>
      </c>
      <c r="L205" s="3285">
        <v>0</v>
      </c>
      <c r="M205" s="3285">
        <f t="shared" si="10"/>
        <v>1201642.2732298879</v>
      </c>
      <c r="N205" s="3285"/>
      <c r="O205" s="3286"/>
      <c r="P205" s="2197"/>
      <c r="Q205" s="2194"/>
    </row>
    <row r="206" spans="1:18" s="2192" customFormat="1" ht="16.5" customHeight="1">
      <c r="A206" s="2121">
        <v>193</v>
      </c>
      <c r="B206" s="2121">
        <v>14</v>
      </c>
      <c r="C206" s="3288"/>
      <c r="D206" s="3289" t="s">
        <v>1467</v>
      </c>
      <c r="E206" s="3284" t="s">
        <v>40</v>
      </c>
      <c r="F206" s="3285">
        <v>767311.31003484002</v>
      </c>
      <c r="G206" s="3285"/>
      <c r="H206" s="3285">
        <v>410416</v>
      </c>
      <c r="I206" s="3285">
        <v>0</v>
      </c>
      <c r="J206" s="3285">
        <v>0</v>
      </c>
      <c r="K206" s="3285">
        <f t="shared" si="9"/>
        <v>1177727.3100348399</v>
      </c>
      <c r="L206" s="3285">
        <v>0</v>
      </c>
      <c r="M206" s="3285">
        <f t="shared" si="10"/>
        <v>1177727.3100348399</v>
      </c>
      <c r="N206" s="3285"/>
      <c r="O206" s="3286"/>
      <c r="P206" s="2197"/>
      <c r="Q206" s="2194"/>
    </row>
    <row r="207" spans="1:18" s="2192" customFormat="1" ht="16.5" customHeight="1">
      <c r="A207" s="2121">
        <v>194</v>
      </c>
      <c r="B207" s="2121">
        <v>15</v>
      </c>
      <c r="C207" s="3288"/>
      <c r="D207" s="3289" t="s">
        <v>1468</v>
      </c>
      <c r="E207" s="3284" t="s">
        <v>40</v>
      </c>
      <c r="F207" s="3285">
        <v>767311.31003484002</v>
      </c>
      <c r="G207" s="3285"/>
      <c r="H207" s="3285">
        <v>410416</v>
      </c>
      <c r="I207" s="3285">
        <v>0</v>
      </c>
      <c r="J207" s="3285">
        <v>0</v>
      </c>
      <c r="K207" s="3285">
        <f t="shared" si="9"/>
        <v>1177727.3100348399</v>
      </c>
      <c r="L207" s="3285">
        <v>0</v>
      </c>
      <c r="M207" s="3285">
        <f t="shared" si="10"/>
        <v>1177727.3100348399</v>
      </c>
      <c r="N207" s="3285"/>
      <c r="O207" s="3286"/>
      <c r="P207" s="2197"/>
      <c r="Q207" s="2194"/>
    </row>
    <row r="208" spans="1:18" s="2192" customFormat="1" ht="16.5" customHeight="1">
      <c r="A208" s="2121">
        <v>195</v>
      </c>
      <c r="B208" s="2121">
        <v>16</v>
      </c>
      <c r="C208" s="3288"/>
      <c r="D208" s="3289" t="s">
        <v>1469</v>
      </c>
      <c r="E208" s="3284" t="s">
        <v>40</v>
      </c>
      <c r="F208" s="3285">
        <v>767311.31003484002</v>
      </c>
      <c r="G208" s="3285"/>
      <c r="H208" s="3285">
        <v>410416</v>
      </c>
      <c r="I208" s="3285">
        <v>0</v>
      </c>
      <c r="J208" s="3285">
        <v>0</v>
      </c>
      <c r="K208" s="3285">
        <f t="shared" si="9"/>
        <v>1177727.3100348399</v>
      </c>
      <c r="L208" s="3285">
        <v>0</v>
      </c>
      <c r="M208" s="3285">
        <f t="shared" si="10"/>
        <v>1177727.3100348399</v>
      </c>
      <c r="N208" s="3285"/>
      <c r="O208" s="3286"/>
      <c r="P208" s="2197"/>
      <c r="Q208" s="2194"/>
    </row>
    <row r="209" spans="1:17" s="2192" customFormat="1" ht="16.5" customHeight="1">
      <c r="A209" s="2121">
        <v>196</v>
      </c>
      <c r="B209" s="2121">
        <v>17</v>
      </c>
      <c r="C209" s="3288"/>
      <c r="D209" s="3289" t="s">
        <v>1470</v>
      </c>
      <c r="E209" s="3284" t="s">
        <v>40</v>
      </c>
      <c r="F209" s="3285">
        <v>767311.31003484002</v>
      </c>
      <c r="G209" s="3285"/>
      <c r="H209" s="3285">
        <v>410416</v>
      </c>
      <c r="I209" s="3285">
        <v>0</v>
      </c>
      <c r="J209" s="3285">
        <v>0</v>
      </c>
      <c r="K209" s="3285">
        <f t="shared" si="9"/>
        <v>1177727.3100348399</v>
      </c>
      <c r="L209" s="3285">
        <v>0</v>
      </c>
      <c r="M209" s="3285">
        <f t="shared" si="10"/>
        <v>1177727.3100348399</v>
      </c>
      <c r="N209" s="3285"/>
      <c r="O209" s="3286"/>
      <c r="P209" s="2197"/>
      <c r="Q209" s="2194"/>
    </row>
    <row r="210" spans="1:17" s="2192" customFormat="1" ht="16.5" customHeight="1">
      <c r="A210" s="2121">
        <v>197</v>
      </c>
      <c r="B210" s="2121">
        <v>18</v>
      </c>
      <c r="C210" s="3288"/>
      <c r="D210" s="3289" t="s">
        <v>1471</v>
      </c>
      <c r="E210" s="3284" t="s">
        <v>40</v>
      </c>
      <c r="F210" s="3285">
        <v>767311.31003484002</v>
      </c>
      <c r="G210" s="3285"/>
      <c r="H210" s="3285">
        <v>410416</v>
      </c>
      <c r="I210" s="3285">
        <v>0</v>
      </c>
      <c r="J210" s="3285">
        <v>0</v>
      </c>
      <c r="K210" s="3285">
        <f t="shared" si="9"/>
        <v>1177727.3100348399</v>
      </c>
      <c r="L210" s="3285">
        <v>0</v>
      </c>
      <c r="M210" s="3285">
        <f t="shared" si="10"/>
        <v>1177727.3100348399</v>
      </c>
      <c r="N210" s="3285"/>
      <c r="O210" s="3286"/>
      <c r="P210" s="2197"/>
      <c r="Q210" s="2194"/>
    </row>
    <row r="211" spans="1:17" s="2192" customFormat="1" ht="16.5" customHeight="1">
      <c r="A211" s="2121">
        <v>198</v>
      </c>
      <c r="B211" s="2121">
        <v>19</v>
      </c>
      <c r="C211" s="3288"/>
      <c r="D211" s="3289" t="s">
        <v>1472</v>
      </c>
      <c r="E211" s="3284" t="s">
        <v>40</v>
      </c>
      <c r="F211" s="3285">
        <v>767311.31003484002</v>
      </c>
      <c r="G211" s="3285"/>
      <c r="H211" s="3285">
        <v>410416</v>
      </c>
      <c r="I211" s="3285">
        <v>0</v>
      </c>
      <c r="J211" s="3285">
        <v>0</v>
      </c>
      <c r="K211" s="3285">
        <f t="shared" si="9"/>
        <v>1177727.3100348399</v>
      </c>
      <c r="L211" s="3285">
        <v>0</v>
      </c>
      <c r="M211" s="3285">
        <f t="shared" si="10"/>
        <v>1177727.3100348399</v>
      </c>
      <c r="N211" s="3285"/>
      <c r="O211" s="3286"/>
      <c r="P211" s="2197"/>
      <c r="Q211" s="2194"/>
    </row>
    <row r="212" spans="1:17" s="2192" customFormat="1" ht="16.5" customHeight="1">
      <c r="A212" s="2121">
        <v>199</v>
      </c>
      <c r="B212" s="2121">
        <v>20</v>
      </c>
      <c r="C212" s="3288"/>
      <c r="D212" s="3289" t="s">
        <v>1473</v>
      </c>
      <c r="E212" s="3284" t="s">
        <v>40</v>
      </c>
      <c r="F212" s="3285">
        <v>767311.31003484002</v>
      </c>
      <c r="G212" s="3285"/>
      <c r="H212" s="3285">
        <v>410416</v>
      </c>
      <c r="I212" s="3285">
        <v>0</v>
      </c>
      <c r="J212" s="3285">
        <v>0</v>
      </c>
      <c r="K212" s="3285">
        <f t="shared" si="9"/>
        <v>1177727.3100348399</v>
      </c>
      <c r="L212" s="3285">
        <v>0</v>
      </c>
      <c r="M212" s="3285">
        <f t="shared" si="10"/>
        <v>1177727.3100348399</v>
      </c>
      <c r="N212" s="3285"/>
      <c r="O212" s="3286"/>
      <c r="P212" s="2197"/>
      <c r="Q212" s="2194"/>
    </row>
    <row r="213" spans="1:17" s="2192" customFormat="1" ht="16.5" customHeight="1">
      <c r="A213" s="2121">
        <v>200</v>
      </c>
      <c r="B213" s="2121">
        <v>21</v>
      </c>
      <c r="C213" s="3288"/>
      <c r="D213" s="3289" t="s">
        <v>1474</v>
      </c>
      <c r="E213" s="3284" t="s">
        <v>40</v>
      </c>
      <c r="F213" s="3285">
        <v>577511.97231105098</v>
      </c>
      <c r="G213" s="3285"/>
      <c r="H213" s="3285">
        <f>527727.428571429-15243</f>
        <v>512484.42857142899</v>
      </c>
      <c r="I213" s="3285">
        <v>0</v>
      </c>
      <c r="J213" s="3285">
        <v>0</v>
      </c>
      <c r="K213" s="3285">
        <f t="shared" si="9"/>
        <v>1089996.40088248</v>
      </c>
      <c r="L213" s="3285">
        <v>0</v>
      </c>
      <c r="M213" s="3285">
        <f t="shared" si="10"/>
        <v>1089996.40088248</v>
      </c>
      <c r="N213" s="3285"/>
      <c r="O213" s="3286"/>
      <c r="P213" s="2197"/>
      <c r="Q213" s="2194"/>
    </row>
    <row r="214" spans="1:17" s="2192" customFormat="1" ht="16.5" customHeight="1">
      <c r="A214" s="2121">
        <v>201</v>
      </c>
      <c r="B214" s="2121">
        <v>22</v>
      </c>
      <c r="C214" s="3288"/>
      <c r="D214" s="3289" t="s">
        <v>1475</v>
      </c>
      <c r="E214" s="3284" t="s">
        <v>40</v>
      </c>
      <c r="F214" s="3285">
        <v>577511.97231105098</v>
      </c>
      <c r="G214" s="3285"/>
      <c r="H214" s="3285">
        <v>527727.42857142899</v>
      </c>
      <c r="I214" s="3285">
        <v>0</v>
      </c>
      <c r="J214" s="3285">
        <v>0</v>
      </c>
      <c r="K214" s="3285">
        <f t="shared" si="9"/>
        <v>1105239.40088248</v>
      </c>
      <c r="L214" s="3285">
        <v>0</v>
      </c>
      <c r="M214" s="3285">
        <f t="shared" si="10"/>
        <v>1105239.40088248</v>
      </c>
      <c r="N214" s="3285"/>
      <c r="O214" s="3286"/>
      <c r="P214" s="2197"/>
      <c r="Q214" s="2194"/>
    </row>
    <row r="215" spans="1:17" s="2192" customFormat="1" ht="16.5" customHeight="1">
      <c r="A215" s="2121">
        <v>202</v>
      </c>
      <c r="B215" s="2121">
        <v>23</v>
      </c>
      <c r="C215" s="3288"/>
      <c r="D215" s="3289" t="s">
        <v>1476</v>
      </c>
      <c r="E215" s="3284" t="s">
        <v>40</v>
      </c>
      <c r="F215" s="3285">
        <v>577511.97231105098</v>
      </c>
      <c r="G215" s="3285"/>
      <c r="H215" s="3285">
        <v>527727.42857142899</v>
      </c>
      <c r="I215" s="3285">
        <v>0</v>
      </c>
      <c r="J215" s="3285">
        <v>0</v>
      </c>
      <c r="K215" s="3285">
        <f t="shared" si="9"/>
        <v>1105239.40088248</v>
      </c>
      <c r="L215" s="3285">
        <v>0</v>
      </c>
      <c r="M215" s="3285">
        <f t="shared" si="10"/>
        <v>1105239.40088248</v>
      </c>
      <c r="N215" s="3285"/>
      <c r="O215" s="3286"/>
      <c r="P215" s="2197"/>
      <c r="Q215" s="2194"/>
    </row>
    <row r="216" spans="1:17" s="2192" customFormat="1" ht="16.5" customHeight="1">
      <c r="A216" s="2121">
        <v>203</v>
      </c>
      <c r="B216" s="2121">
        <v>24</v>
      </c>
      <c r="C216" s="3288"/>
      <c r="D216" s="3289" t="s">
        <v>1477</v>
      </c>
      <c r="E216" s="3284" t="s">
        <v>40</v>
      </c>
      <c r="F216" s="3285">
        <v>577511.97231105098</v>
      </c>
      <c r="G216" s="3285"/>
      <c r="H216" s="3285">
        <v>527727.42857142899</v>
      </c>
      <c r="I216" s="3285">
        <v>0</v>
      </c>
      <c r="J216" s="3285">
        <v>0</v>
      </c>
      <c r="K216" s="3285">
        <f t="shared" si="9"/>
        <v>1105239.40088248</v>
      </c>
      <c r="L216" s="3285">
        <v>0</v>
      </c>
      <c r="M216" s="3285">
        <f t="shared" si="10"/>
        <v>1105239.40088248</v>
      </c>
      <c r="N216" s="3285"/>
      <c r="O216" s="3286"/>
      <c r="P216" s="2197"/>
      <c r="Q216" s="2194"/>
    </row>
    <row r="217" spans="1:17" s="2192" customFormat="1" ht="16.5" customHeight="1">
      <c r="A217" s="2121">
        <v>204</v>
      </c>
      <c r="B217" s="2121">
        <v>25</v>
      </c>
      <c r="C217" s="3288"/>
      <c r="D217" s="3289" t="s">
        <v>1478</v>
      </c>
      <c r="E217" s="3284" t="s">
        <v>40</v>
      </c>
      <c r="F217" s="3285">
        <v>577511.97231105098</v>
      </c>
      <c r="G217" s="3285"/>
      <c r="H217" s="3285">
        <v>527727.42857142899</v>
      </c>
      <c r="I217" s="3285">
        <v>0</v>
      </c>
      <c r="J217" s="3285">
        <v>0</v>
      </c>
      <c r="K217" s="3285">
        <f t="shared" si="9"/>
        <v>1105239.40088248</v>
      </c>
      <c r="L217" s="3285">
        <v>0</v>
      </c>
      <c r="M217" s="3285">
        <f t="shared" si="10"/>
        <v>1105239.40088248</v>
      </c>
      <c r="N217" s="3285"/>
      <c r="O217" s="3286"/>
      <c r="P217" s="2197"/>
      <c r="Q217" s="2194"/>
    </row>
    <row r="218" spans="1:17" s="2192" customFormat="1" ht="16.5" customHeight="1">
      <c r="A218" s="2121">
        <v>205</v>
      </c>
      <c r="B218" s="2121">
        <v>26</v>
      </c>
      <c r="C218" s="3288"/>
      <c r="D218" s="3289" t="s">
        <v>1479</v>
      </c>
      <c r="E218" s="3284" t="s">
        <v>40</v>
      </c>
      <c r="F218" s="3285">
        <v>577511.97231105098</v>
      </c>
      <c r="G218" s="3285"/>
      <c r="H218" s="3285">
        <v>527727.42857142899</v>
      </c>
      <c r="I218" s="3285">
        <v>0</v>
      </c>
      <c r="J218" s="3285">
        <v>0</v>
      </c>
      <c r="K218" s="3285">
        <f t="shared" si="9"/>
        <v>1105239.40088248</v>
      </c>
      <c r="L218" s="3285">
        <v>0</v>
      </c>
      <c r="M218" s="3285">
        <f t="shared" si="10"/>
        <v>1105239.40088248</v>
      </c>
      <c r="N218" s="3285"/>
      <c r="O218" s="3286"/>
      <c r="P218" s="2197"/>
      <c r="Q218" s="2194"/>
    </row>
    <row r="219" spans="1:17" s="2192" customFormat="1" ht="16.5" customHeight="1">
      <c r="A219" s="2121">
        <v>206</v>
      </c>
      <c r="B219" s="2121">
        <v>27</v>
      </c>
      <c r="C219" s="3288"/>
      <c r="D219" s="3289" t="s">
        <v>1480</v>
      </c>
      <c r="E219" s="3284" t="s">
        <v>40</v>
      </c>
      <c r="F219" s="3285">
        <v>577511.97231105098</v>
      </c>
      <c r="G219" s="3285"/>
      <c r="H219" s="3285">
        <v>527727.42857142899</v>
      </c>
      <c r="I219" s="3285">
        <v>0</v>
      </c>
      <c r="J219" s="3285">
        <v>0</v>
      </c>
      <c r="K219" s="3285">
        <f t="shared" si="9"/>
        <v>1105239.40088248</v>
      </c>
      <c r="L219" s="3285">
        <v>0</v>
      </c>
      <c r="M219" s="3285">
        <f t="shared" si="10"/>
        <v>1105239.40088248</v>
      </c>
      <c r="N219" s="3285"/>
      <c r="O219" s="3286"/>
      <c r="P219" s="2197"/>
      <c r="Q219" s="2194"/>
    </row>
    <row r="220" spans="1:17" s="2192" customFormat="1" ht="16.5" customHeight="1">
      <c r="A220" s="2121">
        <v>207</v>
      </c>
      <c r="B220" s="2121">
        <v>28</v>
      </c>
      <c r="C220" s="3288"/>
      <c r="D220" s="3289" t="s">
        <v>1481</v>
      </c>
      <c r="E220" s="3284" t="s">
        <v>40</v>
      </c>
      <c r="F220" s="3285">
        <v>933143.27200882696</v>
      </c>
      <c r="G220" s="3285"/>
      <c r="H220" s="3285">
        <v>127727.428571429</v>
      </c>
      <c r="I220" s="3285">
        <v>0</v>
      </c>
      <c r="J220" s="3285">
        <v>0</v>
      </c>
      <c r="K220" s="3285">
        <f t="shared" si="9"/>
        <v>1060870.7005802561</v>
      </c>
      <c r="L220" s="3285">
        <v>0</v>
      </c>
      <c r="M220" s="3285">
        <f t="shared" si="10"/>
        <v>1060870.7005802561</v>
      </c>
      <c r="N220" s="3285"/>
      <c r="O220" s="3286"/>
      <c r="P220" s="2197"/>
      <c r="Q220" s="2194"/>
    </row>
    <row r="221" spans="1:17" s="2192" customFormat="1" ht="16.5" customHeight="1">
      <c r="A221" s="2121">
        <v>208</v>
      </c>
      <c r="B221" s="2121">
        <v>29</v>
      </c>
      <c r="C221" s="3288"/>
      <c r="D221" s="3289" t="s">
        <v>1482</v>
      </c>
      <c r="E221" s="3284" t="s">
        <v>40</v>
      </c>
      <c r="F221" s="3285">
        <v>933143.27200882696</v>
      </c>
      <c r="G221" s="3285"/>
      <c r="H221" s="3285">
        <v>127727.428571429</v>
      </c>
      <c r="I221" s="3285">
        <v>0</v>
      </c>
      <c r="J221" s="3285">
        <v>0</v>
      </c>
      <c r="K221" s="3285">
        <f t="shared" si="9"/>
        <v>1060870.7005802561</v>
      </c>
      <c r="L221" s="3285">
        <v>0</v>
      </c>
      <c r="M221" s="3285">
        <f t="shared" si="10"/>
        <v>1060870.7005802561</v>
      </c>
      <c r="N221" s="3285"/>
      <c r="O221" s="3286"/>
      <c r="P221" s="2197"/>
      <c r="Q221" s="2194"/>
    </row>
    <row r="222" spans="1:17" s="2192" customFormat="1" ht="16.5" customHeight="1">
      <c r="A222" s="2121">
        <v>209</v>
      </c>
      <c r="B222" s="2121">
        <v>30</v>
      </c>
      <c r="C222" s="3288"/>
      <c r="D222" s="3289" t="s">
        <v>1483</v>
      </c>
      <c r="E222" s="3284" t="s">
        <v>40</v>
      </c>
      <c r="F222" s="3285">
        <v>933143.27200882696</v>
      </c>
      <c r="G222" s="3285"/>
      <c r="H222" s="3285">
        <v>127727.428571429</v>
      </c>
      <c r="I222" s="3285">
        <v>0</v>
      </c>
      <c r="J222" s="3285">
        <v>0</v>
      </c>
      <c r="K222" s="3285">
        <f t="shared" si="9"/>
        <v>1060870.7005802561</v>
      </c>
      <c r="L222" s="3285">
        <v>0</v>
      </c>
      <c r="M222" s="3285">
        <f t="shared" si="10"/>
        <v>1060870.7005802561</v>
      </c>
      <c r="N222" s="3285"/>
      <c r="O222" s="3286"/>
      <c r="P222" s="2197"/>
      <c r="Q222" s="2194"/>
    </row>
    <row r="223" spans="1:17" s="2192" customFormat="1" ht="16.5" customHeight="1">
      <c r="A223" s="2121">
        <v>210</v>
      </c>
      <c r="B223" s="2121">
        <v>31</v>
      </c>
      <c r="C223" s="3288"/>
      <c r="D223" s="3289" t="s">
        <v>1484</v>
      </c>
      <c r="E223" s="3284" t="s">
        <v>40</v>
      </c>
      <c r="F223" s="3285">
        <v>933143.27200882696</v>
      </c>
      <c r="G223" s="3285"/>
      <c r="H223" s="3285">
        <v>127727.428571429</v>
      </c>
      <c r="I223" s="3285">
        <v>0</v>
      </c>
      <c r="J223" s="3285">
        <v>0</v>
      </c>
      <c r="K223" s="3285">
        <f t="shared" si="9"/>
        <v>1060870.7005802561</v>
      </c>
      <c r="L223" s="3285">
        <v>0</v>
      </c>
      <c r="M223" s="3285">
        <f t="shared" si="10"/>
        <v>1060870.7005802561</v>
      </c>
      <c r="N223" s="3285"/>
      <c r="O223" s="3286"/>
      <c r="P223" s="2197"/>
      <c r="Q223" s="2194"/>
    </row>
    <row r="224" spans="1:17" s="2192" customFormat="1" ht="16.5" customHeight="1">
      <c r="A224" s="2121">
        <v>211</v>
      </c>
      <c r="B224" s="2121">
        <v>32</v>
      </c>
      <c r="C224" s="3288"/>
      <c r="D224" s="3289" t="s">
        <v>1485</v>
      </c>
      <c r="E224" s="3284" t="s">
        <v>40</v>
      </c>
      <c r="F224" s="3285">
        <v>933143.27200882696</v>
      </c>
      <c r="G224" s="3285"/>
      <c r="H224" s="3285">
        <v>127727.428571429</v>
      </c>
      <c r="I224" s="3285">
        <v>0</v>
      </c>
      <c r="J224" s="3285">
        <v>0</v>
      </c>
      <c r="K224" s="3285">
        <f t="shared" si="9"/>
        <v>1060870.7005802561</v>
      </c>
      <c r="L224" s="3285">
        <v>0</v>
      </c>
      <c r="M224" s="3285">
        <f t="shared" si="10"/>
        <v>1060870.7005802561</v>
      </c>
      <c r="N224" s="3285"/>
      <c r="O224" s="3286"/>
      <c r="P224" s="2197"/>
      <c r="Q224" s="2194"/>
    </row>
    <row r="225" spans="1:17" s="2192" customFormat="1" ht="16.5" customHeight="1">
      <c r="A225" s="2121">
        <v>212</v>
      </c>
      <c r="B225" s="2121">
        <v>33</v>
      </c>
      <c r="C225" s="3288"/>
      <c r="D225" s="3289" t="s">
        <v>1486</v>
      </c>
      <c r="E225" s="3284" t="s">
        <v>40</v>
      </c>
      <c r="F225" s="3285">
        <v>933143.27200882696</v>
      </c>
      <c r="G225" s="3285"/>
      <c r="H225" s="3285">
        <v>127727.428571429</v>
      </c>
      <c r="I225" s="3285">
        <v>0</v>
      </c>
      <c r="J225" s="3285">
        <v>0</v>
      </c>
      <c r="K225" s="3285">
        <f t="shared" ref="K225:K273" si="11">H225+G225+F225</f>
        <v>1060870.7005802561</v>
      </c>
      <c r="L225" s="3285">
        <v>0</v>
      </c>
      <c r="M225" s="3285">
        <f t="shared" si="10"/>
        <v>1060870.7005802561</v>
      </c>
      <c r="N225" s="3285"/>
      <c r="O225" s="3286"/>
      <c r="P225" s="2197"/>
      <c r="Q225" s="2194"/>
    </row>
    <row r="226" spans="1:17" s="2192" customFormat="1" ht="16.5" customHeight="1">
      <c r="A226" s="2121">
        <v>213</v>
      </c>
      <c r="B226" s="2121">
        <v>34</v>
      </c>
      <c r="C226" s="3288"/>
      <c r="D226" s="3289" t="s">
        <v>1487</v>
      </c>
      <c r="E226" s="3284" t="s">
        <v>40</v>
      </c>
      <c r="F226" s="3285">
        <v>933143.27200882696</v>
      </c>
      <c r="G226" s="3285"/>
      <c r="H226" s="3285">
        <v>127727.428571429</v>
      </c>
      <c r="I226" s="3285">
        <v>0</v>
      </c>
      <c r="J226" s="3285">
        <v>0</v>
      </c>
      <c r="K226" s="3285">
        <f t="shared" si="11"/>
        <v>1060870.7005802561</v>
      </c>
      <c r="L226" s="3285">
        <v>0</v>
      </c>
      <c r="M226" s="3285">
        <f t="shared" si="10"/>
        <v>1060870.7005802561</v>
      </c>
      <c r="N226" s="3285"/>
      <c r="O226" s="3286"/>
      <c r="P226" s="2197"/>
      <c r="Q226" s="2194"/>
    </row>
    <row r="227" spans="1:17" s="2192" customFormat="1" ht="16.5" customHeight="1">
      <c r="A227" s="2121">
        <v>214</v>
      </c>
      <c r="B227" s="2121">
        <v>35</v>
      </c>
      <c r="C227" s="3288"/>
      <c r="D227" s="3289" t="s">
        <v>1488</v>
      </c>
      <c r="E227" s="3284" t="s">
        <v>40</v>
      </c>
      <c r="F227" s="3285">
        <v>814957.6650819754</v>
      </c>
      <c r="G227" s="3285"/>
      <c r="H227" s="3285">
        <v>227727.42857142858</v>
      </c>
      <c r="I227" s="3285">
        <v>0</v>
      </c>
      <c r="J227" s="3285">
        <v>0</v>
      </c>
      <c r="K227" s="3285">
        <f t="shared" si="11"/>
        <v>1042685.0936534039</v>
      </c>
      <c r="L227" s="3285">
        <v>0</v>
      </c>
      <c r="M227" s="3285">
        <f t="shared" si="10"/>
        <v>1042685.0936534039</v>
      </c>
      <c r="N227" s="3285"/>
      <c r="O227" s="3286"/>
      <c r="P227" s="2197"/>
      <c r="Q227" s="2194"/>
    </row>
    <row r="228" spans="1:17" s="2192" customFormat="1" ht="16.5" customHeight="1">
      <c r="A228" s="2121">
        <v>215</v>
      </c>
      <c r="B228" s="2121">
        <v>36</v>
      </c>
      <c r="C228" s="3288"/>
      <c r="D228" s="3289" t="s">
        <v>1489</v>
      </c>
      <c r="E228" s="3284" t="s">
        <v>40</v>
      </c>
      <c r="F228" s="3285">
        <v>814957.6650819754</v>
      </c>
      <c r="G228" s="3285"/>
      <c r="H228" s="3285">
        <v>227727.42857142858</v>
      </c>
      <c r="I228" s="3285">
        <v>0</v>
      </c>
      <c r="J228" s="3285">
        <v>0</v>
      </c>
      <c r="K228" s="3285">
        <f t="shared" si="11"/>
        <v>1042685.0936534039</v>
      </c>
      <c r="L228" s="3285">
        <v>0</v>
      </c>
      <c r="M228" s="3285">
        <f t="shared" si="10"/>
        <v>1042685.0936534039</v>
      </c>
      <c r="N228" s="3285"/>
      <c r="O228" s="3286"/>
      <c r="P228" s="2197"/>
      <c r="Q228" s="2194"/>
    </row>
    <row r="229" spans="1:17" s="2192" customFormat="1" ht="16.5" customHeight="1">
      <c r="A229" s="2121">
        <v>216</v>
      </c>
      <c r="B229" s="2121">
        <v>37</v>
      </c>
      <c r="C229" s="3283"/>
      <c r="D229" s="3284" t="s">
        <v>1421</v>
      </c>
      <c r="E229" s="3284" t="s">
        <v>40</v>
      </c>
      <c r="F229" s="3285">
        <v>355136.99520170002</v>
      </c>
      <c r="G229" s="3285">
        <f>385143+26806</f>
        <v>411949</v>
      </c>
      <c r="H229" s="3285">
        <v>506116.28571428597</v>
      </c>
      <c r="I229" s="3285">
        <v>0</v>
      </c>
      <c r="J229" s="3285">
        <v>0</v>
      </c>
      <c r="K229" s="3285">
        <f t="shared" ref="K229:K245" si="12">F229+G229+H229</f>
        <v>1273202.280915986</v>
      </c>
      <c r="L229" s="3285">
        <v>0</v>
      </c>
      <c r="M229" s="3285">
        <f t="shared" si="10"/>
        <v>1273202.280915986</v>
      </c>
      <c r="N229" s="3285"/>
      <c r="O229" s="3286"/>
      <c r="P229" s="2191"/>
    </row>
    <row r="230" spans="1:17" s="2192" customFormat="1" ht="16.5" customHeight="1">
      <c r="A230" s="2121">
        <v>217</v>
      </c>
      <c r="B230" s="2121">
        <v>38</v>
      </c>
      <c r="C230" s="3283"/>
      <c r="D230" s="3284" t="s">
        <v>1422</v>
      </c>
      <c r="E230" s="3284" t="s">
        <v>40</v>
      </c>
      <c r="F230" s="3285">
        <v>355136.99520170002</v>
      </c>
      <c r="G230" s="3285">
        <v>385143</v>
      </c>
      <c r="H230" s="3285">
        <v>506116.28571428597</v>
      </c>
      <c r="I230" s="3285">
        <v>0</v>
      </c>
      <c r="J230" s="3285">
        <v>0</v>
      </c>
      <c r="K230" s="3285">
        <f t="shared" si="12"/>
        <v>1246396.280915986</v>
      </c>
      <c r="L230" s="3285">
        <v>0</v>
      </c>
      <c r="M230" s="3285">
        <f t="shared" si="10"/>
        <v>1246396.280915986</v>
      </c>
      <c r="N230" s="3285"/>
      <c r="O230" s="3286"/>
      <c r="P230" s="2191"/>
    </row>
    <row r="231" spans="1:17" s="2192" customFormat="1" ht="16.5" customHeight="1">
      <c r="A231" s="2121">
        <v>218</v>
      </c>
      <c r="B231" s="2121">
        <v>39</v>
      </c>
      <c r="C231" s="3283"/>
      <c r="D231" s="3284" t="s">
        <v>944</v>
      </c>
      <c r="E231" s="3284" t="s">
        <v>40</v>
      </c>
      <c r="F231" s="3285">
        <v>355136.99520170002</v>
      </c>
      <c r="G231" s="3285"/>
      <c r="H231" s="3285">
        <v>506116.28571428597</v>
      </c>
      <c r="I231" s="3285">
        <v>0</v>
      </c>
      <c r="J231" s="3285">
        <v>0</v>
      </c>
      <c r="K231" s="3285">
        <f t="shared" si="12"/>
        <v>861253.28091598605</v>
      </c>
      <c r="L231" s="3285">
        <v>0</v>
      </c>
      <c r="M231" s="3285">
        <f t="shared" si="10"/>
        <v>861253.28091598605</v>
      </c>
      <c r="N231" s="3285"/>
      <c r="O231" s="3286"/>
      <c r="P231" s="2191"/>
    </row>
    <row r="232" spans="1:17" s="2192" customFormat="1" ht="16.5" customHeight="1">
      <c r="A232" s="2121">
        <v>219</v>
      </c>
      <c r="B232" s="2121">
        <v>40</v>
      </c>
      <c r="C232" s="3283">
        <v>0</v>
      </c>
      <c r="D232" s="3284" t="s">
        <v>945</v>
      </c>
      <c r="E232" s="3284" t="s">
        <v>40</v>
      </c>
      <c r="F232" s="3285">
        <v>355136.99520170002</v>
      </c>
      <c r="G232" s="3285"/>
      <c r="H232" s="3285">
        <v>506116.28571428597</v>
      </c>
      <c r="I232" s="3285">
        <v>0</v>
      </c>
      <c r="J232" s="3285">
        <v>0</v>
      </c>
      <c r="K232" s="3285">
        <f t="shared" si="12"/>
        <v>861253.28091598605</v>
      </c>
      <c r="L232" s="3285">
        <v>0</v>
      </c>
      <c r="M232" s="3285">
        <f t="shared" si="10"/>
        <v>861253.28091598605</v>
      </c>
      <c r="N232" s="3285"/>
      <c r="O232" s="3286"/>
      <c r="P232" s="2191"/>
    </row>
    <row r="233" spans="1:17" s="2192" customFormat="1" ht="16.5" customHeight="1">
      <c r="A233" s="2121">
        <v>220</v>
      </c>
      <c r="B233" s="2121">
        <v>41</v>
      </c>
      <c r="C233" s="3283"/>
      <c r="D233" s="3284" t="s">
        <v>961</v>
      </c>
      <c r="E233" s="3284" t="s">
        <v>40</v>
      </c>
      <c r="F233" s="3285">
        <v>355136.99520170002</v>
      </c>
      <c r="G233" s="3285"/>
      <c r="H233" s="3285">
        <v>506116.28571428597</v>
      </c>
      <c r="I233" s="3285">
        <v>0</v>
      </c>
      <c r="J233" s="3285">
        <v>0</v>
      </c>
      <c r="K233" s="3285">
        <f t="shared" si="12"/>
        <v>861253.28091598605</v>
      </c>
      <c r="L233" s="3285">
        <v>0</v>
      </c>
      <c r="M233" s="3285">
        <f t="shared" si="10"/>
        <v>861253.28091598605</v>
      </c>
      <c r="N233" s="3285"/>
      <c r="O233" s="3286"/>
      <c r="P233" s="2191"/>
    </row>
    <row r="234" spans="1:17" s="2192" customFormat="1" ht="16.5" customHeight="1">
      <c r="A234" s="2121">
        <v>221</v>
      </c>
      <c r="B234" s="2121">
        <v>42</v>
      </c>
      <c r="C234" s="3283"/>
      <c r="D234" s="3284" t="s">
        <v>756</v>
      </c>
      <c r="E234" s="3284" t="s">
        <v>40</v>
      </c>
      <c r="F234" s="3285">
        <v>355136.99520170002</v>
      </c>
      <c r="G234" s="3285"/>
      <c r="H234" s="3285">
        <v>506116.28571428597</v>
      </c>
      <c r="I234" s="3285">
        <v>0</v>
      </c>
      <c r="J234" s="3285">
        <v>0</v>
      </c>
      <c r="K234" s="3285">
        <f t="shared" si="12"/>
        <v>861253.28091598605</v>
      </c>
      <c r="L234" s="3285">
        <v>0</v>
      </c>
      <c r="M234" s="3285">
        <f t="shared" si="10"/>
        <v>861253.28091598605</v>
      </c>
      <c r="N234" s="3285"/>
      <c r="O234" s="3286"/>
      <c r="P234" s="2191"/>
    </row>
    <row r="235" spans="1:17" s="2192" customFormat="1" ht="16.5" customHeight="1">
      <c r="A235" s="2121">
        <v>222</v>
      </c>
      <c r="B235" s="2121">
        <v>43</v>
      </c>
      <c r="C235" s="3283"/>
      <c r="D235" s="3284" t="s">
        <v>946</v>
      </c>
      <c r="E235" s="3284" t="s">
        <v>40</v>
      </c>
      <c r="F235" s="3285">
        <v>355136.99520170002</v>
      </c>
      <c r="G235" s="3285"/>
      <c r="H235" s="3285">
        <v>506116.28571428597</v>
      </c>
      <c r="I235" s="3285">
        <v>0</v>
      </c>
      <c r="J235" s="3285">
        <v>0</v>
      </c>
      <c r="K235" s="3285">
        <f t="shared" si="12"/>
        <v>861253.28091598605</v>
      </c>
      <c r="L235" s="3285">
        <v>0</v>
      </c>
      <c r="M235" s="3285">
        <f t="shared" si="10"/>
        <v>861253.28091598605</v>
      </c>
      <c r="N235" s="3285"/>
      <c r="O235" s="3286"/>
      <c r="P235" s="2191"/>
    </row>
    <row r="236" spans="1:17" s="2192" customFormat="1" ht="16.5" customHeight="1">
      <c r="A236" s="2121">
        <v>223</v>
      </c>
      <c r="B236" s="2121">
        <v>44</v>
      </c>
      <c r="C236" s="3283"/>
      <c r="D236" s="3284" t="s">
        <v>947</v>
      </c>
      <c r="E236" s="3284" t="s">
        <v>40</v>
      </c>
      <c r="F236" s="3285">
        <v>355136.99520170002</v>
      </c>
      <c r="G236" s="3285"/>
      <c r="H236" s="3285">
        <v>506116.28571428597</v>
      </c>
      <c r="I236" s="3285">
        <v>0</v>
      </c>
      <c r="J236" s="3285">
        <v>0</v>
      </c>
      <c r="K236" s="3285">
        <f t="shared" si="12"/>
        <v>861253.28091598605</v>
      </c>
      <c r="L236" s="3285">
        <v>0</v>
      </c>
      <c r="M236" s="3285">
        <f t="shared" si="10"/>
        <v>861253.28091598605</v>
      </c>
      <c r="N236" s="3285"/>
      <c r="O236" s="3286"/>
      <c r="P236" s="2191"/>
    </row>
    <row r="237" spans="1:17" s="2192" customFormat="1" ht="16.5" customHeight="1">
      <c r="A237" s="2121">
        <v>224</v>
      </c>
      <c r="B237" s="2121">
        <v>45</v>
      </c>
      <c r="C237" s="3283"/>
      <c r="D237" s="3284" t="s">
        <v>1423</v>
      </c>
      <c r="E237" s="3284" t="s">
        <v>40</v>
      </c>
      <c r="F237" s="3285"/>
      <c r="G237" s="3285">
        <v>355136.99520170002</v>
      </c>
      <c r="H237" s="3285">
        <v>506116.28571428597</v>
      </c>
      <c r="I237" s="3285">
        <v>0</v>
      </c>
      <c r="J237" s="3285">
        <v>0</v>
      </c>
      <c r="K237" s="3285">
        <f t="shared" si="12"/>
        <v>861253.28091598605</v>
      </c>
      <c r="L237" s="3285">
        <v>0</v>
      </c>
      <c r="M237" s="3285">
        <f t="shared" si="10"/>
        <v>861253.28091598605</v>
      </c>
      <c r="N237" s="3285"/>
      <c r="O237" s="3286"/>
      <c r="P237" s="2191"/>
    </row>
    <row r="238" spans="1:17" s="2192" customFormat="1" ht="16.5" customHeight="1">
      <c r="A238" s="2121">
        <v>225</v>
      </c>
      <c r="B238" s="2121">
        <v>46</v>
      </c>
      <c r="C238" s="3283"/>
      <c r="D238" s="3284" t="s">
        <v>653</v>
      </c>
      <c r="E238" s="3284" t="s">
        <v>40</v>
      </c>
      <c r="F238" s="3285"/>
      <c r="G238" s="3285">
        <v>355136.99520170002</v>
      </c>
      <c r="H238" s="3285">
        <v>506116.28571428597</v>
      </c>
      <c r="I238" s="3285">
        <v>0</v>
      </c>
      <c r="J238" s="3285">
        <v>0</v>
      </c>
      <c r="K238" s="3285">
        <f t="shared" si="12"/>
        <v>861253.28091598605</v>
      </c>
      <c r="L238" s="3285">
        <v>0</v>
      </c>
      <c r="M238" s="3285">
        <f t="shared" si="10"/>
        <v>861253.28091598605</v>
      </c>
      <c r="N238" s="3285"/>
      <c r="O238" s="3286"/>
      <c r="P238" s="2191"/>
    </row>
    <row r="239" spans="1:17" s="2192" customFormat="1" ht="16.5" customHeight="1">
      <c r="A239" s="2121">
        <v>226</v>
      </c>
      <c r="B239" s="2121">
        <v>47</v>
      </c>
      <c r="C239" s="3283"/>
      <c r="D239" s="3284" t="s">
        <v>983</v>
      </c>
      <c r="E239" s="3284" t="s">
        <v>40</v>
      </c>
      <c r="F239" s="3285"/>
      <c r="G239" s="3285">
        <v>355136.99520170002</v>
      </c>
      <c r="H239" s="3285">
        <v>506116.28571428597</v>
      </c>
      <c r="I239" s="3285">
        <v>0</v>
      </c>
      <c r="J239" s="3285">
        <v>0</v>
      </c>
      <c r="K239" s="3285">
        <f t="shared" si="12"/>
        <v>861253.28091598605</v>
      </c>
      <c r="L239" s="3285">
        <v>0</v>
      </c>
      <c r="M239" s="3285">
        <f t="shared" si="10"/>
        <v>861253.28091598605</v>
      </c>
      <c r="N239" s="3285"/>
      <c r="O239" s="3286"/>
      <c r="P239" s="2191"/>
    </row>
    <row r="240" spans="1:17" s="2192" customFormat="1" ht="16.5" customHeight="1">
      <c r="A240" s="2121">
        <v>227</v>
      </c>
      <c r="B240" s="2121">
        <v>48</v>
      </c>
      <c r="C240" s="3283">
        <v>0</v>
      </c>
      <c r="D240" s="3284" t="s">
        <v>1424</v>
      </c>
      <c r="E240" s="3284" t="s">
        <v>40</v>
      </c>
      <c r="F240" s="3285"/>
      <c r="G240" s="3285">
        <v>468716.122432078</v>
      </c>
      <c r="H240" s="3285">
        <v>227727.42857142858</v>
      </c>
      <c r="I240" s="3285">
        <v>0</v>
      </c>
      <c r="J240" s="3285">
        <v>0</v>
      </c>
      <c r="K240" s="3285">
        <f t="shared" si="12"/>
        <v>696443.55100350664</v>
      </c>
      <c r="L240" s="3285">
        <v>0</v>
      </c>
      <c r="M240" s="3285">
        <f t="shared" si="10"/>
        <v>696443.55100350664</v>
      </c>
      <c r="N240" s="3285"/>
      <c r="O240" s="3286"/>
      <c r="P240" s="2191"/>
    </row>
    <row r="241" spans="1:17" s="2192" customFormat="1" ht="16.5" customHeight="1">
      <c r="A241" s="2121">
        <v>228</v>
      </c>
      <c r="B241" s="2121">
        <v>49</v>
      </c>
      <c r="C241" s="3283"/>
      <c r="D241" s="3284" t="s">
        <v>1425</v>
      </c>
      <c r="E241" s="3284" t="s">
        <v>40</v>
      </c>
      <c r="F241" s="3285"/>
      <c r="G241" s="3285">
        <v>468716.122432078</v>
      </c>
      <c r="H241" s="3285">
        <v>227727.42857142858</v>
      </c>
      <c r="I241" s="3285">
        <v>0</v>
      </c>
      <c r="J241" s="3285">
        <v>0</v>
      </c>
      <c r="K241" s="3285">
        <f t="shared" si="12"/>
        <v>696443.55100350664</v>
      </c>
      <c r="L241" s="3285">
        <v>0</v>
      </c>
      <c r="M241" s="3285">
        <f t="shared" si="10"/>
        <v>696443.55100350664</v>
      </c>
      <c r="N241" s="3285"/>
      <c r="O241" s="3286"/>
      <c r="P241" s="2191"/>
    </row>
    <row r="242" spans="1:17" s="2192" customFormat="1" ht="16.5" customHeight="1">
      <c r="A242" s="2121">
        <v>229</v>
      </c>
      <c r="B242" s="2121">
        <v>50</v>
      </c>
      <c r="C242" s="3283"/>
      <c r="D242" s="3284" t="s">
        <v>740</v>
      </c>
      <c r="E242" s="3284" t="s">
        <v>40</v>
      </c>
      <c r="F242" s="3285"/>
      <c r="G242" s="3285">
        <v>468716.122432078</v>
      </c>
      <c r="H242" s="3285">
        <v>227727.42857142858</v>
      </c>
      <c r="I242" s="3285">
        <v>0</v>
      </c>
      <c r="J242" s="3285">
        <v>0</v>
      </c>
      <c r="K242" s="3285">
        <f t="shared" si="12"/>
        <v>696443.55100350664</v>
      </c>
      <c r="L242" s="3285">
        <v>0</v>
      </c>
      <c r="M242" s="3285">
        <f t="shared" si="10"/>
        <v>696443.55100350664</v>
      </c>
      <c r="N242" s="3285"/>
      <c r="O242" s="3286"/>
      <c r="P242" s="2191"/>
    </row>
    <row r="243" spans="1:17" s="2192" customFormat="1" ht="16.5" customHeight="1">
      <c r="A243" s="2121">
        <v>230</v>
      </c>
      <c r="B243" s="2121">
        <v>51</v>
      </c>
      <c r="C243" s="3283"/>
      <c r="D243" s="3284" t="s">
        <v>948</v>
      </c>
      <c r="E243" s="3284" t="s">
        <v>40</v>
      </c>
      <c r="F243" s="3285"/>
      <c r="G243" s="3285">
        <v>468716.122432078</v>
      </c>
      <c r="H243" s="3285">
        <v>227727.42857142858</v>
      </c>
      <c r="I243" s="3285">
        <v>0</v>
      </c>
      <c r="J243" s="3285">
        <v>0</v>
      </c>
      <c r="K243" s="3285">
        <f t="shared" si="12"/>
        <v>696443.55100350664</v>
      </c>
      <c r="L243" s="3285">
        <v>0</v>
      </c>
      <c r="M243" s="3285">
        <f t="shared" si="10"/>
        <v>696443.55100350664</v>
      </c>
      <c r="N243" s="3285"/>
      <c r="O243" s="3286"/>
      <c r="P243" s="2191"/>
    </row>
    <row r="244" spans="1:17" s="2192" customFormat="1" ht="16.5" customHeight="1">
      <c r="A244" s="2121">
        <v>231</v>
      </c>
      <c r="B244" s="2121">
        <v>52</v>
      </c>
      <c r="C244" s="3283"/>
      <c r="D244" s="3284" t="s">
        <v>1398</v>
      </c>
      <c r="E244" s="3284" t="s">
        <v>40</v>
      </c>
      <c r="F244" s="3285"/>
      <c r="G244" s="3285">
        <v>468716.122432078</v>
      </c>
      <c r="H244" s="3285">
        <v>227727.42857142858</v>
      </c>
      <c r="I244" s="3285">
        <v>0</v>
      </c>
      <c r="J244" s="3285">
        <v>0</v>
      </c>
      <c r="K244" s="3285">
        <f t="shared" si="12"/>
        <v>696443.55100350664</v>
      </c>
      <c r="L244" s="3285">
        <v>0</v>
      </c>
      <c r="M244" s="3285">
        <f t="shared" si="10"/>
        <v>696443.55100350664</v>
      </c>
      <c r="N244" s="3285"/>
      <c r="O244" s="3286"/>
      <c r="P244" s="2191"/>
    </row>
    <row r="245" spans="1:17" s="2192" customFormat="1" ht="16.5" customHeight="1">
      <c r="A245" s="2121">
        <v>232</v>
      </c>
      <c r="B245" s="2121">
        <v>53</v>
      </c>
      <c r="C245" s="3283"/>
      <c r="D245" s="3284" t="s">
        <v>1399</v>
      </c>
      <c r="E245" s="3284" t="s">
        <v>40</v>
      </c>
      <c r="F245" s="3285"/>
      <c r="G245" s="3285">
        <v>768716.122432078</v>
      </c>
      <c r="H245" s="3285">
        <v>227727.42857142858</v>
      </c>
      <c r="I245" s="3285">
        <v>0</v>
      </c>
      <c r="J245" s="3285">
        <v>0</v>
      </c>
      <c r="K245" s="3285">
        <f t="shared" si="12"/>
        <v>996443.55100350664</v>
      </c>
      <c r="L245" s="3285">
        <v>0</v>
      </c>
      <c r="M245" s="3285">
        <f t="shared" si="10"/>
        <v>996443.55100350664</v>
      </c>
      <c r="N245" s="3285"/>
      <c r="O245" s="3286"/>
      <c r="P245" s="2191"/>
    </row>
    <row r="246" spans="1:17" s="2192" customFormat="1" ht="16.5" customHeight="1">
      <c r="A246" s="2121">
        <v>233</v>
      </c>
      <c r="B246" s="2121">
        <v>54</v>
      </c>
      <c r="C246" s="3288"/>
      <c r="D246" s="3289" t="s">
        <v>1490</v>
      </c>
      <c r="E246" s="3284" t="s">
        <v>40</v>
      </c>
      <c r="F246" s="3285"/>
      <c r="G246" s="3285">
        <v>814957.6650819754</v>
      </c>
      <c r="H246" s="3285">
        <v>227727.42857142858</v>
      </c>
      <c r="I246" s="3285">
        <v>0</v>
      </c>
      <c r="J246" s="3285">
        <v>0</v>
      </c>
      <c r="K246" s="3285">
        <f t="shared" si="11"/>
        <v>1042685.0936534039</v>
      </c>
      <c r="L246" s="3285">
        <v>0</v>
      </c>
      <c r="M246" s="3285">
        <f t="shared" si="10"/>
        <v>1042685.0936534039</v>
      </c>
      <c r="N246" s="3285"/>
      <c r="O246" s="3286"/>
      <c r="P246" s="2197"/>
      <c r="Q246" s="2194"/>
    </row>
    <row r="247" spans="1:17" s="2192" customFormat="1" ht="16.5" customHeight="1">
      <c r="A247" s="2121">
        <v>234</v>
      </c>
      <c r="B247" s="2121">
        <v>55</v>
      </c>
      <c r="C247" s="3288"/>
      <c r="D247" s="3289" t="s">
        <v>1491</v>
      </c>
      <c r="E247" s="3284" t="s">
        <v>40</v>
      </c>
      <c r="F247" s="3285"/>
      <c r="G247" s="3285">
        <v>814957.6650819754</v>
      </c>
      <c r="H247" s="3285">
        <v>227727.42857142858</v>
      </c>
      <c r="I247" s="3285">
        <v>0</v>
      </c>
      <c r="J247" s="3285">
        <v>0</v>
      </c>
      <c r="K247" s="3285">
        <f t="shared" si="11"/>
        <v>1042685.0936534039</v>
      </c>
      <c r="L247" s="3285">
        <v>0</v>
      </c>
      <c r="M247" s="3285">
        <f t="shared" si="10"/>
        <v>1042685.0936534039</v>
      </c>
      <c r="N247" s="3285"/>
      <c r="O247" s="3286"/>
      <c r="P247" s="2197"/>
      <c r="Q247" s="2194"/>
    </row>
    <row r="248" spans="1:17" s="2192" customFormat="1" ht="16.5" customHeight="1">
      <c r="A248" s="2121">
        <v>235</v>
      </c>
      <c r="B248" s="2121">
        <v>56</v>
      </c>
      <c r="C248" s="3288"/>
      <c r="D248" s="3289" t="s">
        <v>1492</v>
      </c>
      <c r="E248" s="3284" t="s">
        <v>40</v>
      </c>
      <c r="F248" s="3285"/>
      <c r="G248" s="3285">
        <v>814957.6650819754</v>
      </c>
      <c r="H248" s="3285">
        <v>227727.42857142858</v>
      </c>
      <c r="I248" s="3285">
        <v>0</v>
      </c>
      <c r="J248" s="3285">
        <v>0</v>
      </c>
      <c r="K248" s="3285">
        <f t="shared" si="11"/>
        <v>1042685.0936534039</v>
      </c>
      <c r="L248" s="3285">
        <v>0</v>
      </c>
      <c r="M248" s="3285">
        <f t="shared" si="10"/>
        <v>1042685.0936534039</v>
      </c>
      <c r="N248" s="3285"/>
      <c r="O248" s="3286"/>
      <c r="P248" s="2197"/>
      <c r="Q248" s="2194"/>
    </row>
    <row r="249" spans="1:17" s="2192" customFormat="1" ht="16.5" customHeight="1">
      <c r="A249" s="2121">
        <v>236</v>
      </c>
      <c r="B249" s="2121">
        <v>57</v>
      </c>
      <c r="C249" s="3288"/>
      <c r="D249" s="3289" t="s">
        <v>1493</v>
      </c>
      <c r="E249" s="3284" t="s">
        <v>40</v>
      </c>
      <c r="F249" s="3285"/>
      <c r="G249" s="3285">
        <v>814957.6650819754</v>
      </c>
      <c r="H249" s="3285">
        <v>227727.42857142858</v>
      </c>
      <c r="I249" s="3285">
        <v>0</v>
      </c>
      <c r="J249" s="3285">
        <v>0</v>
      </c>
      <c r="K249" s="3285">
        <f t="shared" si="11"/>
        <v>1042685.0936534039</v>
      </c>
      <c r="L249" s="3285">
        <v>0</v>
      </c>
      <c r="M249" s="3285">
        <f t="shared" si="10"/>
        <v>1042685.0936534039</v>
      </c>
      <c r="N249" s="3285"/>
      <c r="O249" s="3286"/>
      <c r="P249" s="2197"/>
      <c r="Q249" s="2194"/>
    </row>
    <row r="250" spans="1:17" s="2192" customFormat="1" ht="16.5" customHeight="1">
      <c r="A250" s="2121">
        <v>237</v>
      </c>
      <c r="B250" s="2121">
        <v>58</v>
      </c>
      <c r="C250" s="3288"/>
      <c r="D250" s="3289" t="s">
        <v>1494</v>
      </c>
      <c r="E250" s="3284" t="s">
        <v>40</v>
      </c>
      <c r="F250" s="3285"/>
      <c r="G250" s="3285">
        <v>814957.6650819754</v>
      </c>
      <c r="H250" s="3285">
        <v>227727.42857142858</v>
      </c>
      <c r="I250" s="3285">
        <v>0</v>
      </c>
      <c r="J250" s="3285">
        <v>0</v>
      </c>
      <c r="K250" s="3285">
        <f t="shared" si="11"/>
        <v>1042685.0936534039</v>
      </c>
      <c r="L250" s="3285">
        <v>0</v>
      </c>
      <c r="M250" s="3285">
        <f t="shared" si="10"/>
        <v>1042685.0936534039</v>
      </c>
      <c r="N250" s="3285"/>
      <c r="O250" s="3286"/>
      <c r="P250" s="2197"/>
      <c r="Q250" s="2194"/>
    </row>
    <row r="251" spans="1:17" s="2192" customFormat="1" ht="16.5" customHeight="1">
      <c r="A251" s="2121">
        <v>238</v>
      </c>
      <c r="B251" s="2121">
        <v>59</v>
      </c>
      <c r="C251" s="3288"/>
      <c r="D251" s="3289" t="s">
        <v>1495</v>
      </c>
      <c r="E251" s="3284" t="s">
        <v>40</v>
      </c>
      <c r="F251" s="3285"/>
      <c r="G251" s="3285">
        <v>854815.49874648161</v>
      </c>
      <c r="H251" s="3285">
        <v>227727.42857142858</v>
      </c>
      <c r="I251" s="3285">
        <v>0</v>
      </c>
      <c r="J251" s="3285">
        <v>0</v>
      </c>
      <c r="K251" s="3285">
        <f t="shared" si="11"/>
        <v>1082542.9273179101</v>
      </c>
      <c r="L251" s="3285">
        <v>0</v>
      </c>
      <c r="M251" s="3285">
        <f t="shared" si="10"/>
        <v>1082542.9273179101</v>
      </c>
      <c r="N251" s="3285"/>
      <c r="O251" s="3286"/>
      <c r="P251" s="2197"/>
      <c r="Q251" s="2194"/>
    </row>
    <row r="252" spans="1:17" s="2192" customFormat="1" ht="16.5" customHeight="1">
      <c r="A252" s="2121">
        <v>239</v>
      </c>
      <c r="B252" s="2121">
        <v>60</v>
      </c>
      <c r="C252" s="3288"/>
      <c r="D252" s="3289" t="s">
        <v>1447</v>
      </c>
      <c r="E252" s="3284" t="s">
        <v>40</v>
      </c>
      <c r="F252" s="3285"/>
      <c r="G252" s="3285">
        <v>854815.49874648161</v>
      </c>
      <c r="H252" s="3285">
        <v>227727.42857142858</v>
      </c>
      <c r="I252" s="3285">
        <v>0</v>
      </c>
      <c r="J252" s="3285">
        <v>0</v>
      </c>
      <c r="K252" s="3285">
        <f t="shared" si="11"/>
        <v>1082542.9273179101</v>
      </c>
      <c r="L252" s="3285">
        <v>0</v>
      </c>
      <c r="M252" s="3285">
        <f t="shared" si="10"/>
        <v>1082542.9273179101</v>
      </c>
      <c r="N252" s="3285"/>
      <c r="O252" s="3286"/>
      <c r="P252" s="2197"/>
      <c r="Q252" s="2194"/>
    </row>
    <row r="253" spans="1:17" s="2192" customFormat="1" ht="16.5" customHeight="1">
      <c r="A253" s="2121">
        <v>240</v>
      </c>
      <c r="B253" s="2121">
        <v>61</v>
      </c>
      <c r="C253" s="3288"/>
      <c r="D253" s="3289" t="s">
        <v>1496</v>
      </c>
      <c r="E253" s="3284" t="s">
        <v>40</v>
      </c>
      <c r="F253" s="3285"/>
      <c r="G253" s="3285">
        <v>854815.49874648161</v>
      </c>
      <c r="H253" s="3285">
        <v>227727.42857142858</v>
      </c>
      <c r="I253" s="3285">
        <v>0</v>
      </c>
      <c r="J253" s="3285">
        <v>0</v>
      </c>
      <c r="K253" s="3285">
        <f t="shared" si="11"/>
        <v>1082542.9273179101</v>
      </c>
      <c r="L253" s="3285">
        <v>0</v>
      </c>
      <c r="M253" s="3285">
        <f t="shared" si="10"/>
        <v>1082542.9273179101</v>
      </c>
      <c r="N253" s="3285"/>
      <c r="O253" s="3286"/>
      <c r="P253" s="2197"/>
      <c r="Q253" s="2194"/>
    </row>
    <row r="254" spans="1:17" s="2192" customFormat="1" ht="16.5" customHeight="1">
      <c r="A254" s="2121">
        <v>241</v>
      </c>
      <c r="B254" s="2121">
        <v>62</v>
      </c>
      <c r="C254" s="3288"/>
      <c r="D254" s="3289" t="s">
        <v>1497</v>
      </c>
      <c r="E254" s="3284" t="s">
        <v>40</v>
      </c>
      <c r="F254" s="3285"/>
      <c r="G254" s="3285">
        <v>854815.49874648161</v>
      </c>
      <c r="H254" s="3285">
        <v>227727.42857142858</v>
      </c>
      <c r="I254" s="3285">
        <v>0</v>
      </c>
      <c r="J254" s="3285">
        <v>0</v>
      </c>
      <c r="K254" s="3285">
        <f t="shared" si="11"/>
        <v>1082542.9273179101</v>
      </c>
      <c r="L254" s="3285">
        <v>0</v>
      </c>
      <c r="M254" s="3285">
        <f t="shared" si="10"/>
        <v>1082542.9273179101</v>
      </c>
      <c r="N254" s="3285"/>
      <c r="O254" s="3286"/>
      <c r="P254" s="2197"/>
      <c r="Q254" s="2194"/>
    </row>
    <row r="255" spans="1:17" s="2192" customFormat="1" ht="16.5" customHeight="1">
      <c r="A255" s="2121">
        <v>242</v>
      </c>
      <c r="B255" s="2121">
        <v>63</v>
      </c>
      <c r="C255" s="3288"/>
      <c r="D255" s="3289" t="s">
        <v>1498</v>
      </c>
      <c r="E255" s="3284" t="s">
        <v>40</v>
      </c>
      <c r="F255" s="3285"/>
      <c r="G255" s="3285">
        <v>854815.49874648161</v>
      </c>
      <c r="H255" s="3285">
        <v>227727.42857142858</v>
      </c>
      <c r="I255" s="3285">
        <v>0</v>
      </c>
      <c r="J255" s="3285">
        <v>0</v>
      </c>
      <c r="K255" s="3285">
        <f t="shared" si="11"/>
        <v>1082542.9273179101</v>
      </c>
      <c r="L255" s="3285">
        <v>0</v>
      </c>
      <c r="M255" s="3285">
        <f t="shared" si="10"/>
        <v>1082542.9273179101</v>
      </c>
      <c r="N255" s="3285"/>
      <c r="O255" s="3286"/>
      <c r="P255" s="2197"/>
      <c r="Q255" s="2194"/>
    </row>
    <row r="256" spans="1:17" s="2192" customFormat="1" ht="16.5" customHeight="1">
      <c r="A256" s="2121">
        <v>243</v>
      </c>
      <c r="B256" s="2121">
        <v>64</v>
      </c>
      <c r="C256" s="3288"/>
      <c r="D256" s="3289" t="s">
        <v>1499</v>
      </c>
      <c r="E256" s="3284" t="s">
        <v>40</v>
      </c>
      <c r="F256" s="3285"/>
      <c r="G256" s="3285">
        <v>854815.49874648161</v>
      </c>
      <c r="H256" s="3285">
        <v>227727.42857142858</v>
      </c>
      <c r="I256" s="3285">
        <v>0</v>
      </c>
      <c r="J256" s="3285">
        <v>0</v>
      </c>
      <c r="K256" s="3285">
        <f t="shared" si="11"/>
        <v>1082542.9273179101</v>
      </c>
      <c r="L256" s="3285">
        <v>0</v>
      </c>
      <c r="M256" s="3285">
        <f t="shared" si="10"/>
        <v>1082542.9273179101</v>
      </c>
      <c r="N256" s="3285"/>
      <c r="O256" s="3286"/>
      <c r="P256" s="2197"/>
      <c r="Q256" s="2194"/>
    </row>
    <row r="257" spans="1:17" s="2192" customFormat="1" ht="16.5" customHeight="1">
      <c r="A257" s="2121">
        <v>244</v>
      </c>
      <c r="B257" s="2121">
        <v>65</v>
      </c>
      <c r="C257" s="3288"/>
      <c r="D257" s="3289" t="s">
        <v>1500</v>
      </c>
      <c r="E257" s="3284" t="s">
        <v>40</v>
      </c>
      <c r="F257" s="3285"/>
      <c r="G257" s="3285">
        <v>854815.49874648161</v>
      </c>
      <c r="H257" s="3285">
        <v>227727.42857142858</v>
      </c>
      <c r="I257" s="3285">
        <v>0</v>
      </c>
      <c r="J257" s="3285">
        <v>0</v>
      </c>
      <c r="K257" s="3285">
        <f t="shared" si="11"/>
        <v>1082542.9273179101</v>
      </c>
      <c r="L257" s="3285">
        <v>0</v>
      </c>
      <c r="M257" s="3285">
        <f t="shared" si="10"/>
        <v>1082542.9273179101</v>
      </c>
      <c r="N257" s="3285"/>
      <c r="O257" s="3286"/>
      <c r="P257" s="2197"/>
      <c r="Q257" s="2194"/>
    </row>
    <row r="258" spans="1:17" s="2192" customFormat="1" ht="16.5" customHeight="1">
      <c r="A258" s="2121">
        <v>245</v>
      </c>
      <c r="B258" s="2121">
        <v>66</v>
      </c>
      <c r="C258" s="3288"/>
      <c r="D258" s="3289" t="s">
        <v>564</v>
      </c>
      <c r="E258" s="3284" t="s">
        <v>40</v>
      </c>
      <c r="F258" s="3285">
        <v>471381</v>
      </c>
      <c r="G258" s="3285">
        <v>569397.36418352695</v>
      </c>
      <c r="H258" s="3285">
        <v>206116.28571428571</v>
      </c>
      <c r="I258" s="3285">
        <v>0</v>
      </c>
      <c r="J258" s="3285">
        <v>0</v>
      </c>
      <c r="K258" s="3285">
        <f t="shared" si="11"/>
        <v>1246894.6498978126</v>
      </c>
      <c r="L258" s="3285">
        <v>0</v>
      </c>
      <c r="M258" s="3285">
        <f t="shared" si="10"/>
        <v>1246894.6498978126</v>
      </c>
      <c r="N258" s="3285"/>
      <c r="O258" s="3286"/>
      <c r="P258" s="2197"/>
      <c r="Q258" s="2194"/>
    </row>
    <row r="259" spans="1:17" s="2192" customFormat="1" ht="16.5" customHeight="1">
      <c r="A259" s="2121">
        <v>246</v>
      </c>
      <c r="B259" s="2121">
        <v>67</v>
      </c>
      <c r="C259" s="3288"/>
      <c r="D259" s="3289" t="s">
        <v>1501</v>
      </c>
      <c r="E259" s="3284" t="s">
        <v>40</v>
      </c>
      <c r="F259" s="3285">
        <v>471381</v>
      </c>
      <c r="G259" s="3285">
        <v>569397.36418352695</v>
      </c>
      <c r="H259" s="3285">
        <v>206116.28571428571</v>
      </c>
      <c r="I259" s="3285">
        <v>0</v>
      </c>
      <c r="J259" s="3285">
        <v>0</v>
      </c>
      <c r="K259" s="3285">
        <f t="shared" si="11"/>
        <v>1246894.6498978126</v>
      </c>
      <c r="L259" s="3285">
        <v>0</v>
      </c>
      <c r="M259" s="3285">
        <f t="shared" si="10"/>
        <v>1246894.6498978126</v>
      </c>
      <c r="N259" s="3285"/>
      <c r="O259" s="3286"/>
      <c r="P259" s="2197"/>
      <c r="Q259" s="2194"/>
    </row>
    <row r="260" spans="1:17" s="2192" customFormat="1" ht="16.5" customHeight="1">
      <c r="A260" s="2121">
        <v>247</v>
      </c>
      <c r="B260" s="2121">
        <v>68</v>
      </c>
      <c r="C260" s="3288"/>
      <c r="D260" s="3289" t="s">
        <v>1502</v>
      </c>
      <c r="E260" s="3284" t="s">
        <v>40</v>
      </c>
      <c r="F260" s="3285">
        <v>471381</v>
      </c>
      <c r="G260" s="3285">
        <v>569397.36418352695</v>
      </c>
      <c r="H260" s="3285">
        <v>206116.28571428571</v>
      </c>
      <c r="I260" s="3285">
        <v>0</v>
      </c>
      <c r="J260" s="3285">
        <v>0</v>
      </c>
      <c r="K260" s="3285">
        <f t="shared" si="11"/>
        <v>1246894.6498978126</v>
      </c>
      <c r="L260" s="3285">
        <v>0</v>
      </c>
      <c r="M260" s="3285">
        <f t="shared" si="10"/>
        <v>1246894.6498978126</v>
      </c>
      <c r="N260" s="3285"/>
      <c r="O260" s="3286"/>
      <c r="P260" s="2197"/>
      <c r="Q260" s="2194"/>
    </row>
    <row r="261" spans="1:17" s="2192" customFormat="1" ht="16.5" customHeight="1">
      <c r="A261" s="2121">
        <v>248</v>
      </c>
      <c r="B261" s="2121">
        <v>69</v>
      </c>
      <c r="C261" s="3288"/>
      <c r="D261" s="3289" t="s">
        <v>1503</v>
      </c>
      <c r="E261" s="3284" t="s">
        <v>40</v>
      </c>
      <c r="F261" s="3285">
        <v>471381</v>
      </c>
      <c r="G261" s="3285">
        <v>569397.36418352695</v>
      </c>
      <c r="H261" s="3285">
        <v>206116.28571428571</v>
      </c>
      <c r="I261" s="3285">
        <v>0</v>
      </c>
      <c r="J261" s="3285">
        <v>0</v>
      </c>
      <c r="K261" s="3285">
        <f t="shared" si="11"/>
        <v>1246894.6498978126</v>
      </c>
      <c r="L261" s="3285">
        <v>0</v>
      </c>
      <c r="M261" s="3285">
        <f t="shared" si="10"/>
        <v>1246894.6498978126</v>
      </c>
      <c r="N261" s="3285"/>
      <c r="O261" s="3286"/>
      <c r="P261" s="2197"/>
      <c r="Q261" s="2194"/>
    </row>
    <row r="262" spans="1:17" s="2192" customFormat="1" ht="16.5" customHeight="1">
      <c r="A262" s="2121">
        <v>249</v>
      </c>
      <c r="B262" s="2121">
        <v>70</v>
      </c>
      <c r="C262" s="3288"/>
      <c r="D262" s="3289" t="s">
        <v>1504</v>
      </c>
      <c r="E262" s="3284" t="s">
        <v>40</v>
      </c>
      <c r="F262" s="3285">
        <v>471381</v>
      </c>
      <c r="G262" s="3285">
        <v>569397.36418352695</v>
      </c>
      <c r="H262" s="3285">
        <v>206116.28571428571</v>
      </c>
      <c r="I262" s="3285">
        <v>0</v>
      </c>
      <c r="J262" s="3285">
        <v>0</v>
      </c>
      <c r="K262" s="3285">
        <f t="shared" si="11"/>
        <v>1246894.6498978126</v>
      </c>
      <c r="L262" s="3285">
        <v>0</v>
      </c>
      <c r="M262" s="3285">
        <f t="shared" si="10"/>
        <v>1246894.6498978126</v>
      </c>
      <c r="N262" s="3285"/>
      <c r="O262" s="3286"/>
      <c r="P262" s="2197"/>
      <c r="Q262" s="2194"/>
    </row>
    <row r="263" spans="1:17" s="2192" customFormat="1" ht="16.5" customHeight="1">
      <c r="A263" s="2121">
        <v>250</v>
      </c>
      <c r="B263" s="2121">
        <v>71</v>
      </c>
      <c r="C263" s="3288"/>
      <c r="D263" s="3289" t="s">
        <v>1389</v>
      </c>
      <c r="E263" s="3284" t="s">
        <v>40</v>
      </c>
      <c r="F263" s="3285">
        <v>471381</v>
      </c>
      <c r="G263" s="3285">
        <v>569397.36418352695</v>
      </c>
      <c r="H263" s="3285">
        <v>206116.28571428571</v>
      </c>
      <c r="I263" s="3285">
        <v>0</v>
      </c>
      <c r="J263" s="3285">
        <v>0</v>
      </c>
      <c r="K263" s="3285">
        <f t="shared" si="11"/>
        <v>1246894.6498978126</v>
      </c>
      <c r="L263" s="3285">
        <v>0</v>
      </c>
      <c r="M263" s="3285">
        <f t="shared" si="10"/>
        <v>1246894.6498978126</v>
      </c>
      <c r="N263" s="3285"/>
      <c r="O263" s="3286"/>
      <c r="P263" s="2197"/>
      <c r="Q263" s="2194"/>
    </row>
    <row r="264" spans="1:17" s="2192" customFormat="1" ht="16.5" customHeight="1">
      <c r="A264" s="2121">
        <v>251</v>
      </c>
      <c r="B264" s="2121">
        <v>72</v>
      </c>
      <c r="C264" s="3288"/>
      <c r="D264" s="3289" t="s">
        <v>1505</v>
      </c>
      <c r="E264" s="3284" t="s">
        <v>40</v>
      </c>
      <c r="F264" s="3285">
        <v>871381</v>
      </c>
      <c r="G264" s="3285">
        <v>169397.36418352701</v>
      </c>
      <c r="H264" s="3285">
        <v>206116.28571428571</v>
      </c>
      <c r="I264" s="3285">
        <v>0</v>
      </c>
      <c r="J264" s="3285">
        <v>0</v>
      </c>
      <c r="K264" s="3285">
        <f t="shared" si="11"/>
        <v>1246894.6498978129</v>
      </c>
      <c r="L264" s="3285">
        <v>0</v>
      </c>
      <c r="M264" s="3285">
        <f t="shared" si="10"/>
        <v>1246894.6498978129</v>
      </c>
      <c r="N264" s="3285"/>
      <c r="O264" s="3286"/>
      <c r="P264" s="2197"/>
      <c r="Q264" s="2194"/>
    </row>
    <row r="265" spans="1:17" s="2192" customFormat="1" ht="16.5" customHeight="1">
      <c r="A265" s="2121">
        <v>252</v>
      </c>
      <c r="B265" s="2121">
        <v>73</v>
      </c>
      <c r="C265" s="3288"/>
      <c r="D265" s="3289" t="s">
        <v>1506</v>
      </c>
      <c r="E265" s="3284" t="s">
        <v>40</v>
      </c>
      <c r="F265" s="3285">
        <v>871381</v>
      </c>
      <c r="G265" s="3285">
        <v>169397.36418352701</v>
      </c>
      <c r="H265" s="3285">
        <v>206116.28571428571</v>
      </c>
      <c r="I265" s="3285">
        <v>0</v>
      </c>
      <c r="J265" s="3285">
        <v>0</v>
      </c>
      <c r="K265" s="3285">
        <f t="shared" si="11"/>
        <v>1246894.6498978129</v>
      </c>
      <c r="L265" s="3285">
        <v>0</v>
      </c>
      <c r="M265" s="3285">
        <f t="shared" si="10"/>
        <v>1246894.6498978129</v>
      </c>
      <c r="N265" s="3285"/>
      <c r="O265" s="3286"/>
      <c r="P265" s="2197"/>
      <c r="Q265" s="2194"/>
    </row>
    <row r="266" spans="1:17" s="2192" customFormat="1" ht="16.5" customHeight="1">
      <c r="A266" s="2121">
        <v>253</v>
      </c>
      <c r="B266" s="2121">
        <v>74</v>
      </c>
      <c r="C266" s="3288"/>
      <c r="D266" s="3289" t="s">
        <v>1507</v>
      </c>
      <c r="E266" s="3284" t="s">
        <v>40</v>
      </c>
      <c r="F266" s="3285">
        <v>871381</v>
      </c>
      <c r="G266" s="3285">
        <v>169397.36418352701</v>
      </c>
      <c r="H266" s="3285">
        <v>206116.28571428571</v>
      </c>
      <c r="I266" s="3285">
        <v>0</v>
      </c>
      <c r="J266" s="3285">
        <v>0</v>
      </c>
      <c r="K266" s="3285">
        <f t="shared" si="11"/>
        <v>1246894.6498978129</v>
      </c>
      <c r="L266" s="3285">
        <v>0</v>
      </c>
      <c r="M266" s="3285">
        <f t="shared" si="10"/>
        <v>1246894.6498978129</v>
      </c>
      <c r="N266" s="3285"/>
      <c r="O266" s="3286"/>
      <c r="P266" s="2197"/>
      <c r="Q266" s="2194"/>
    </row>
    <row r="267" spans="1:17" s="2192" customFormat="1" ht="16.5" customHeight="1">
      <c r="A267" s="2121">
        <v>254</v>
      </c>
      <c r="B267" s="2121">
        <v>75</v>
      </c>
      <c r="C267" s="3288"/>
      <c r="D267" s="3289" t="s">
        <v>1508</v>
      </c>
      <c r="E267" s="3284" t="s">
        <v>40</v>
      </c>
      <c r="F267" s="3285">
        <v>871381</v>
      </c>
      <c r="G267" s="3285">
        <v>169397.36418352701</v>
      </c>
      <c r="H267" s="3285">
        <v>206116.28571428571</v>
      </c>
      <c r="I267" s="3285">
        <v>0</v>
      </c>
      <c r="J267" s="3285">
        <v>0</v>
      </c>
      <c r="K267" s="3285">
        <f t="shared" si="11"/>
        <v>1246894.6498978129</v>
      </c>
      <c r="L267" s="3285">
        <v>0</v>
      </c>
      <c r="M267" s="3285">
        <f t="shared" si="10"/>
        <v>1246894.6498978129</v>
      </c>
      <c r="N267" s="3285"/>
      <c r="O267" s="3286"/>
      <c r="P267" s="2197"/>
      <c r="Q267" s="2194"/>
    </row>
    <row r="268" spans="1:17" s="2192" customFormat="1" ht="16.5" customHeight="1">
      <c r="A268" s="2121">
        <v>255</v>
      </c>
      <c r="B268" s="2121">
        <v>76</v>
      </c>
      <c r="C268" s="3288"/>
      <c r="D268" s="3289" t="s">
        <v>1509</v>
      </c>
      <c r="E268" s="3284" t="s">
        <v>40</v>
      </c>
      <c r="F268" s="3285">
        <v>871381</v>
      </c>
      <c r="G268" s="3285">
        <v>169397.36418352701</v>
      </c>
      <c r="H268" s="3285">
        <v>206116.28571428571</v>
      </c>
      <c r="I268" s="3285">
        <v>0</v>
      </c>
      <c r="J268" s="3285">
        <v>0</v>
      </c>
      <c r="K268" s="3285">
        <f t="shared" si="11"/>
        <v>1246894.6498978129</v>
      </c>
      <c r="L268" s="3285">
        <v>0</v>
      </c>
      <c r="M268" s="3285">
        <f t="shared" si="10"/>
        <v>1246894.6498978129</v>
      </c>
      <c r="N268" s="3285"/>
      <c r="O268" s="3286"/>
      <c r="P268" s="2197"/>
      <c r="Q268" s="2194"/>
    </row>
    <row r="269" spans="1:17" s="2192" customFormat="1" ht="16.5" customHeight="1">
      <c r="A269" s="2121">
        <v>256</v>
      </c>
      <c r="B269" s="2121">
        <v>77</v>
      </c>
      <c r="C269" s="3288"/>
      <c r="D269" s="3289" t="s">
        <v>1510</v>
      </c>
      <c r="E269" s="3284" t="s">
        <v>40</v>
      </c>
      <c r="F269" s="3285">
        <v>871381</v>
      </c>
      <c r="G269" s="3285">
        <v>169397.36418352701</v>
      </c>
      <c r="H269" s="3285">
        <v>206116.28571428571</v>
      </c>
      <c r="I269" s="3285">
        <v>0</v>
      </c>
      <c r="J269" s="3285">
        <v>0</v>
      </c>
      <c r="K269" s="3285">
        <f t="shared" si="11"/>
        <v>1246894.6498978129</v>
      </c>
      <c r="L269" s="3285">
        <v>0</v>
      </c>
      <c r="M269" s="3285">
        <f t="shared" si="10"/>
        <v>1246894.6498978129</v>
      </c>
      <c r="N269" s="3285"/>
      <c r="O269" s="3286"/>
      <c r="P269" s="2197"/>
      <c r="Q269" s="2194"/>
    </row>
    <row r="270" spans="1:17" s="2192" customFormat="1" ht="16.5" customHeight="1">
      <c r="A270" s="2121">
        <v>257</v>
      </c>
      <c r="B270" s="2121">
        <v>78</v>
      </c>
      <c r="C270" s="3288"/>
      <c r="D270" s="3289" t="s">
        <v>1511</v>
      </c>
      <c r="E270" s="3284" t="s">
        <v>40</v>
      </c>
      <c r="F270" s="3285">
        <v>871381</v>
      </c>
      <c r="G270" s="3285">
        <v>169397.36418352701</v>
      </c>
      <c r="H270" s="3285">
        <v>206116.28571428571</v>
      </c>
      <c r="I270" s="3285">
        <v>0</v>
      </c>
      <c r="J270" s="3285">
        <v>0</v>
      </c>
      <c r="K270" s="3285">
        <f t="shared" si="11"/>
        <v>1246894.6498978129</v>
      </c>
      <c r="L270" s="3285">
        <v>0</v>
      </c>
      <c r="M270" s="3285">
        <f t="shared" si="10"/>
        <v>1246894.6498978129</v>
      </c>
      <c r="N270" s="3285"/>
      <c r="O270" s="3286"/>
      <c r="P270" s="2197"/>
      <c r="Q270" s="2194"/>
    </row>
    <row r="271" spans="1:17" s="2192" customFormat="1" ht="16.5" customHeight="1">
      <c r="A271" s="2121">
        <v>258</v>
      </c>
      <c r="B271" s="2121">
        <v>79</v>
      </c>
      <c r="C271" s="3288"/>
      <c r="D271" s="3289" t="s">
        <v>1512</v>
      </c>
      <c r="E271" s="3284" t="s">
        <v>40</v>
      </c>
      <c r="F271" s="3285">
        <v>871381</v>
      </c>
      <c r="G271" s="3285">
        <v>169397.36418352701</v>
      </c>
      <c r="H271" s="3285">
        <v>206116.28571428571</v>
      </c>
      <c r="I271" s="3285">
        <v>0</v>
      </c>
      <c r="J271" s="3285">
        <v>0</v>
      </c>
      <c r="K271" s="3285">
        <f t="shared" si="11"/>
        <v>1246894.6498978129</v>
      </c>
      <c r="L271" s="3285">
        <v>0</v>
      </c>
      <c r="M271" s="3285">
        <f t="shared" si="10"/>
        <v>1246894.6498978129</v>
      </c>
      <c r="N271" s="3285"/>
      <c r="O271" s="3286"/>
      <c r="P271" s="2197"/>
      <c r="Q271" s="2194"/>
    </row>
    <row r="272" spans="1:17" s="2192" customFormat="1" ht="16.5" customHeight="1">
      <c r="A272" s="2121">
        <v>259</v>
      </c>
      <c r="B272" s="2121">
        <v>80</v>
      </c>
      <c r="C272" s="3288"/>
      <c r="D272" s="3289" t="s">
        <v>1513</v>
      </c>
      <c r="E272" s="3284" t="s">
        <v>40</v>
      </c>
      <c r="F272" s="3285"/>
      <c r="G272" s="3285">
        <v>834159.15763715445</v>
      </c>
      <c r="H272" s="3285">
        <v>220523.71428571429</v>
      </c>
      <c r="I272" s="3285">
        <v>0</v>
      </c>
      <c r="J272" s="3285">
        <v>0</v>
      </c>
      <c r="K272" s="3285">
        <f t="shared" si="11"/>
        <v>1054682.8719228688</v>
      </c>
      <c r="L272" s="3285">
        <v>0</v>
      </c>
      <c r="M272" s="3285">
        <f t="shared" si="10"/>
        <v>1054682.8719228688</v>
      </c>
      <c r="N272" s="3285"/>
      <c r="O272" s="3286"/>
      <c r="P272" s="2197"/>
      <c r="Q272" s="2194"/>
    </row>
    <row r="273" spans="1:17" s="2192" customFormat="1" ht="16.5" customHeight="1">
      <c r="A273" s="2121">
        <v>260</v>
      </c>
      <c r="B273" s="2121">
        <v>81</v>
      </c>
      <c r="C273" s="3288"/>
      <c r="D273" s="3289" t="s">
        <v>1514</v>
      </c>
      <c r="E273" s="3284" t="s">
        <v>40</v>
      </c>
      <c r="F273" s="3285"/>
      <c r="G273" s="3285">
        <v>834159.15763715445</v>
      </c>
      <c r="H273" s="3285">
        <v>220523.71428571429</v>
      </c>
      <c r="I273" s="3285">
        <v>0</v>
      </c>
      <c r="J273" s="3285">
        <v>0</v>
      </c>
      <c r="K273" s="3285">
        <f t="shared" si="11"/>
        <v>1054682.8719228688</v>
      </c>
      <c r="L273" s="3285">
        <v>0</v>
      </c>
      <c r="M273" s="3285">
        <f t="shared" si="10"/>
        <v>1054682.8719228688</v>
      </c>
      <c r="N273" s="3285"/>
      <c r="O273" s="3286"/>
      <c r="P273" s="2197"/>
      <c r="Q273" s="2194"/>
    </row>
    <row r="274" spans="1:17" s="2192" customFormat="1" ht="16.5" customHeight="1">
      <c r="A274" s="2121">
        <v>261</v>
      </c>
      <c r="B274" s="2121">
        <v>82</v>
      </c>
      <c r="C274" s="3288"/>
      <c r="D274" s="3289" t="s">
        <v>1515</v>
      </c>
      <c r="E274" s="3284" t="s">
        <v>40</v>
      </c>
      <c r="F274" s="3285"/>
      <c r="G274" s="3285">
        <v>834159.15763715445</v>
      </c>
      <c r="H274" s="3285">
        <v>220523.71428571429</v>
      </c>
      <c r="I274" s="3285">
        <v>0</v>
      </c>
      <c r="J274" s="3285">
        <v>0</v>
      </c>
      <c r="K274" s="3285">
        <f t="shared" ref="K274:K297" si="13">H274+G274+F274</f>
        <v>1054682.8719228688</v>
      </c>
      <c r="L274" s="3285">
        <v>0</v>
      </c>
      <c r="M274" s="3285">
        <f t="shared" si="10"/>
        <v>1054682.8719228688</v>
      </c>
      <c r="N274" s="3285"/>
      <c r="O274" s="3286"/>
      <c r="P274" s="2197"/>
      <c r="Q274" s="2194"/>
    </row>
    <row r="275" spans="1:17" s="2192" customFormat="1" ht="16.5" customHeight="1">
      <c r="A275" s="2121">
        <v>262</v>
      </c>
      <c r="B275" s="2121">
        <v>83</v>
      </c>
      <c r="C275" s="3288"/>
      <c r="D275" s="3289" t="s">
        <v>1516</v>
      </c>
      <c r="E275" s="3284" t="s">
        <v>40</v>
      </c>
      <c r="F275" s="3285"/>
      <c r="G275" s="3285">
        <v>834159.15763715445</v>
      </c>
      <c r="H275" s="3285">
        <v>220523.71428571429</v>
      </c>
      <c r="I275" s="3285">
        <v>0</v>
      </c>
      <c r="J275" s="3285">
        <v>0</v>
      </c>
      <c r="K275" s="3285">
        <f t="shared" si="13"/>
        <v>1054682.8719228688</v>
      </c>
      <c r="L275" s="3285">
        <v>0</v>
      </c>
      <c r="M275" s="3285">
        <f t="shared" ref="M275:M297" si="14">K275</f>
        <v>1054682.8719228688</v>
      </c>
      <c r="N275" s="3285"/>
      <c r="O275" s="3286"/>
      <c r="P275" s="2197"/>
      <c r="Q275" s="2194"/>
    </row>
    <row r="276" spans="1:17" s="2192" customFormat="1" ht="16.5" customHeight="1">
      <c r="A276" s="2121">
        <v>263</v>
      </c>
      <c r="B276" s="2121">
        <v>84</v>
      </c>
      <c r="C276" s="3288"/>
      <c r="D276" s="3289" t="s">
        <v>1517</v>
      </c>
      <c r="E276" s="3284" t="s">
        <v>40</v>
      </c>
      <c r="F276" s="3285"/>
      <c r="G276" s="3285">
        <v>834159.15763715445</v>
      </c>
      <c r="H276" s="3285">
        <v>220523.71428571429</v>
      </c>
      <c r="I276" s="3285">
        <v>0</v>
      </c>
      <c r="J276" s="3285">
        <v>0</v>
      </c>
      <c r="K276" s="3285">
        <f t="shared" si="13"/>
        <v>1054682.8719228688</v>
      </c>
      <c r="L276" s="3285">
        <v>0</v>
      </c>
      <c r="M276" s="3285">
        <f t="shared" si="14"/>
        <v>1054682.8719228688</v>
      </c>
      <c r="N276" s="3285"/>
      <c r="O276" s="3286"/>
      <c r="P276" s="2197"/>
      <c r="Q276" s="2194"/>
    </row>
    <row r="277" spans="1:17" s="2192" customFormat="1" ht="16.5" customHeight="1">
      <c r="A277" s="2121">
        <v>264</v>
      </c>
      <c r="B277" s="2121">
        <v>85</v>
      </c>
      <c r="C277" s="3288"/>
      <c r="D277" s="3289" t="s">
        <v>1518</v>
      </c>
      <c r="E277" s="3284" t="s">
        <v>40</v>
      </c>
      <c r="F277" s="3285"/>
      <c r="G277" s="3285">
        <v>834159.15763715445</v>
      </c>
      <c r="H277" s="3285">
        <v>220523.71428571429</v>
      </c>
      <c r="I277" s="3285">
        <v>0</v>
      </c>
      <c r="J277" s="3285">
        <v>0</v>
      </c>
      <c r="K277" s="3285">
        <f t="shared" si="13"/>
        <v>1054682.8719228688</v>
      </c>
      <c r="L277" s="3285">
        <v>0</v>
      </c>
      <c r="M277" s="3285">
        <f t="shared" si="14"/>
        <v>1054682.8719228688</v>
      </c>
      <c r="N277" s="3285"/>
      <c r="O277" s="3286"/>
      <c r="P277" s="2197"/>
      <c r="Q277" s="2194"/>
    </row>
    <row r="278" spans="1:17" s="2192" customFormat="1" ht="16.5" customHeight="1">
      <c r="A278" s="2121">
        <v>265</v>
      </c>
      <c r="B278" s="2121">
        <v>86</v>
      </c>
      <c r="C278" s="3288"/>
      <c r="D278" s="3289" t="s">
        <v>1519</v>
      </c>
      <c r="E278" s="3284" t="s">
        <v>40</v>
      </c>
      <c r="F278" s="3285"/>
      <c r="G278" s="3285">
        <v>834159.15763715445</v>
      </c>
      <c r="H278" s="3285">
        <v>220523.71428571429</v>
      </c>
      <c r="I278" s="3285">
        <v>0</v>
      </c>
      <c r="J278" s="3285">
        <v>0</v>
      </c>
      <c r="K278" s="3285">
        <f t="shared" si="13"/>
        <v>1054682.8719228688</v>
      </c>
      <c r="L278" s="3285">
        <v>0</v>
      </c>
      <c r="M278" s="3285">
        <f t="shared" si="14"/>
        <v>1054682.8719228688</v>
      </c>
      <c r="N278" s="3285"/>
      <c r="O278" s="3286"/>
      <c r="P278" s="2197"/>
      <c r="Q278" s="2194"/>
    </row>
    <row r="279" spans="1:17" s="2192" customFormat="1" ht="16.5" customHeight="1">
      <c r="A279" s="2121">
        <v>266</v>
      </c>
      <c r="B279" s="2121">
        <v>87</v>
      </c>
      <c r="C279" s="3288"/>
      <c r="D279" s="3289" t="s">
        <v>1520</v>
      </c>
      <c r="E279" s="3284" t="s">
        <v>40</v>
      </c>
      <c r="F279" s="3285"/>
      <c r="G279" s="3285">
        <v>966004.350180701</v>
      </c>
      <c r="H279" s="3285"/>
      <c r="I279" s="3285">
        <v>0</v>
      </c>
      <c r="J279" s="3285">
        <v>0</v>
      </c>
      <c r="K279" s="3285">
        <f t="shared" si="13"/>
        <v>966004.350180701</v>
      </c>
      <c r="L279" s="3285">
        <v>0</v>
      </c>
      <c r="M279" s="3285">
        <f t="shared" si="14"/>
        <v>966004.350180701</v>
      </c>
      <c r="N279" s="3285"/>
      <c r="O279" s="3286"/>
      <c r="P279" s="2197"/>
      <c r="Q279" s="2194"/>
    </row>
    <row r="280" spans="1:17" s="2192" customFormat="1" ht="16.5" customHeight="1">
      <c r="A280" s="2121">
        <v>267</v>
      </c>
      <c r="B280" s="2121">
        <v>88</v>
      </c>
      <c r="C280" s="3288"/>
      <c r="D280" s="3289" t="s">
        <v>1521</v>
      </c>
      <c r="E280" s="3284" t="s">
        <v>40</v>
      </c>
      <c r="F280" s="3285"/>
      <c r="G280" s="3285">
        <v>966004.350180701</v>
      </c>
      <c r="H280" s="3285"/>
      <c r="I280" s="3285">
        <v>0</v>
      </c>
      <c r="J280" s="3285">
        <v>0</v>
      </c>
      <c r="K280" s="3285">
        <f t="shared" si="13"/>
        <v>966004.350180701</v>
      </c>
      <c r="L280" s="3285">
        <v>0</v>
      </c>
      <c r="M280" s="3285">
        <f t="shared" si="14"/>
        <v>966004.350180701</v>
      </c>
      <c r="N280" s="3285"/>
      <c r="O280" s="3286"/>
      <c r="P280" s="2197"/>
      <c r="Q280" s="2194"/>
    </row>
    <row r="281" spans="1:17" s="2192" customFormat="1" ht="16.5" customHeight="1">
      <c r="A281" s="2121">
        <v>268</v>
      </c>
      <c r="B281" s="2121">
        <v>89</v>
      </c>
      <c r="C281" s="3288"/>
      <c r="D281" s="3289" t="s">
        <v>1522</v>
      </c>
      <c r="E281" s="3284" t="s">
        <v>40</v>
      </c>
      <c r="F281" s="3285"/>
      <c r="G281" s="3285">
        <v>966004.350180701</v>
      </c>
      <c r="H281" s="3285"/>
      <c r="I281" s="3285">
        <v>0</v>
      </c>
      <c r="J281" s="3285">
        <v>0</v>
      </c>
      <c r="K281" s="3285">
        <f t="shared" si="13"/>
        <v>966004.350180701</v>
      </c>
      <c r="L281" s="3285">
        <v>0</v>
      </c>
      <c r="M281" s="3285">
        <f t="shared" si="14"/>
        <v>966004.350180701</v>
      </c>
      <c r="N281" s="3285"/>
      <c r="O281" s="3286"/>
      <c r="P281" s="2197"/>
      <c r="Q281" s="2194"/>
    </row>
    <row r="282" spans="1:17" s="2192" customFormat="1" ht="16.5" customHeight="1">
      <c r="A282" s="2121">
        <v>269</v>
      </c>
      <c r="B282" s="2121">
        <v>90</v>
      </c>
      <c r="C282" s="3288"/>
      <c r="D282" s="3289" t="s">
        <v>1399</v>
      </c>
      <c r="E282" s="3284" t="s">
        <v>40</v>
      </c>
      <c r="F282" s="3285"/>
      <c r="G282" s="3285">
        <v>966004.350180701</v>
      </c>
      <c r="H282" s="3285"/>
      <c r="I282" s="3285">
        <v>0</v>
      </c>
      <c r="J282" s="3285">
        <v>0</v>
      </c>
      <c r="K282" s="3285">
        <f t="shared" si="13"/>
        <v>966004.350180701</v>
      </c>
      <c r="L282" s="3285">
        <v>0</v>
      </c>
      <c r="M282" s="3285">
        <f t="shared" si="14"/>
        <v>966004.350180701</v>
      </c>
      <c r="N282" s="3285"/>
      <c r="O282" s="3286"/>
      <c r="P282" s="2197"/>
      <c r="Q282" s="2194"/>
    </row>
    <row r="283" spans="1:17" s="2192" customFormat="1" ht="16.5" customHeight="1">
      <c r="A283" s="2121">
        <v>270</v>
      </c>
      <c r="B283" s="2121">
        <v>91</v>
      </c>
      <c r="C283" s="3288"/>
      <c r="D283" s="3289" t="s">
        <v>1523</v>
      </c>
      <c r="E283" s="3284" t="s">
        <v>40</v>
      </c>
      <c r="F283" s="3285"/>
      <c r="G283" s="3285">
        <v>966004.350180701</v>
      </c>
      <c r="H283" s="3285"/>
      <c r="I283" s="3285">
        <v>0</v>
      </c>
      <c r="J283" s="3285">
        <v>0</v>
      </c>
      <c r="K283" s="3285">
        <f t="shared" si="13"/>
        <v>966004.350180701</v>
      </c>
      <c r="L283" s="3285">
        <v>0</v>
      </c>
      <c r="M283" s="3285">
        <f t="shared" si="14"/>
        <v>966004.350180701</v>
      </c>
      <c r="N283" s="3285"/>
      <c r="O283" s="3286"/>
      <c r="P283" s="2197"/>
      <c r="Q283" s="2194"/>
    </row>
    <row r="284" spans="1:17" s="2192" customFormat="1" ht="16.5" customHeight="1">
      <c r="A284" s="2121">
        <v>271</v>
      </c>
      <c r="B284" s="2121">
        <v>92</v>
      </c>
      <c r="C284" s="3288"/>
      <c r="D284" s="3289" t="s">
        <v>1524</v>
      </c>
      <c r="E284" s="3284" t="s">
        <v>40</v>
      </c>
      <c r="F284" s="3285"/>
      <c r="G284" s="3285">
        <v>966004.350180701</v>
      </c>
      <c r="H284" s="3285"/>
      <c r="I284" s="3285">
        <v>0</v>
      </c>
      <c r="J284" s="3285">
        <v>0</v>
      </c>
      <c r="K284" s="3285">
        <f t="shared" si="13"/>
        <v>966004.350180701</v>
      </c>
      <c r="L284" s="3285">
        <v>0</v>
      </c>
      <c r="M284" s="3285">
        <f t="shared" si="14"/>
        <v>966004.350180701</v>
      </c>
      <c r="N284" s="3285"/>
      <c r="O284" s="3286"/>
      <c r="P284" s="2197"/>
      <c r="Q284" s="2194"/>
    </row>
    <row r="285" spans="1:17" s="2192" customFormat="1" ht="16.5" customHeight="1">
      <c r="A285" s="2121">
        <v>272</v>
      </c>
      <c r="B285" s="2121">
        <v>93</v>
      </c>
      <c r="C285" s="3288"/>
      <c r="D285" s="3289" t="s">
        <v>1525</v>
      </c>
      <c r="E285" s="3284" t="s">
        <v>40</v>
      </c>
      <c r="F285" s="3285"/>
      <c r="G285" s="3285">
        <v>866004.35018070065</v>
      </c>
      <c r="H285" s="3285">
        <v>199261.5</v>
      </c>
      <c r="I285" s="3285">
        <v>0</v>
      </c>
      <c r="J285" s="3285">
        <v>0</v>
      </c>
      <c r="K285" s="3285">
        <f t="shared" si="13"/>
        <v>1065265.8501807007</v>
      </c>
      <c r="L285" s="3285">
        <v>0</v>
      </c>
      <c r="M285" s="3285">
        <f t="shared" si="14"/>
        <v>1065265.8501807007</v>
      </c>
      <c r="N285" s="3285"/>
      <c r="O285" s="3286"/>
      <c r="P285" s="2197"/>
      <c r="Q285" s="2194"/>
    </row>
    <row r="286" spans="1:17" s="2192" customFormat="1" ht="16.5" customHeight="1">
      <c r="A286" s="2121">
        <v>273</v>
      </c>
      <c r="B286" s="2121">
        <v>94</v>
      </c>
      <c r="C286" s="3288"/>
      <c r="D286" s="3289" t="s">
        <v>1526</v>
      </c>
      <c r="E286" s="3284" t="s">
        <v>40</v>
      </c>
      <c r="F286" s="3285"/>
      <c r="G286" s="3285">
        <v>866004.35018070065</v>
      </c>
      <c r="H286" s="3285">
        <v>199261.5</v>
      </c>
      <c r="I286" s="3285">
        <v>0</v>
      </c>
      <c r="J286" s="3285">
        <v>0</v>
      </c>
      <c r="K286" s="3285">
        <f t="shared" si="13"/>
        <v>1065265.8501807007</v>
      </c>
      <c r="L286" s="3285">
        <v>0</v>
      </c>
      <c r="M286" s="3285">
        <f t="shared" si="14"/>
        <v>1065265.8501807007</v>
      </c>
      <c r="N286" s="3285"/>
      <c r="O286" s="3286"/>
      <c r="P286" s="2197"/>
      <c r="Q286" s="2194"/>
    </row>
    <row r="287" spans="1:17" s="2192" customFormat="1" ht="16.5" customHeight="1">
      <c r="A287" s="2121">
        <v>274</v>
      </c>
      <c r="B287" s="2121">
        <v>95</v>
      </c>
      <c r="C287" s="3288"/>
      <c r="D287" s="3289" t="s">
        <v>1527</v>
      </c>
      <c r="E287" s="3284" t="s">
        <v>40</v>
      </c>
      <c r="F287" s="3285"/>
      <c r="G287" s="3285">
        <v>955256.48707316525</v>
      </c>
      <c r="H287" s="3285">
        <v>240469</v>
      </c>
      <c r="I287" s="3285">
        <v>0</v>
      </c>
      <c r="J287" s="3285">
        <v>0</v>
      </c>
      <c r="K287" s="3285">
        <f t="shared" si="13"/>
        <v>1195725.4870731654</v>
      </c>
      <c r="L287" s="3285">
        <v>0</v>
      </c>
      <c r="M287" s="3285">
        <f t="shared" si="14"/>
        <v>1195725.4870731654</v>
      </c>
      <c r="N287" s="3285"/>
      <c r="O287" s="3286"/>
      <c r="P287" s="2197"/>
      <c r="Q287" s="2194"/>
    </row>
    <row r="288" spans="1:17" s="2192" customFormat="1" ht="16.5" customHeight="1">
      <c r="A288" s="2121">
        <v>275</v>
      </c>
      <c r="B288" s="2121">
        <v>96</v>
      </c>
      <c r="C288" s="3288"/>
      <c r="D288" s="3289" t="s">
        <v>1528</v>
      </c>
      <c r="E288" s="3284" t="s">
        <v>40</v>
      </c>
      <c r="F288" s="3285"/>
      <c r="G288" s="3285">
        <v>955256.48707316525</v>
      </c>
      <c r="H288" s="3285">
        <v>240469</v>
      </c>
      <c r="I288" s="3285">
        <v>0</v>
      </c>
      <c r="J288" s="3285">
        <v>0</v>
      </c>
      <c r="K288" s="3285">
        <f t="shared" si="13"/>
        <v>1195725.4870731654</v>
      </c>
      <c r="L288" s="3285">
        <v>0</v>
      </c>
      <c r="M288" s="3285">
        <f t="shared" si="14"/>
        <v>1195725.4870731654</v>
      </c>
      <c r="N288" s="3285"/>
      <c r="O288" s="3286"/>
      <c r="P288" s="2197"/>
      <c r="Q288" s="2194"/>
    </row>
    <row r="289" spans="1:18" s="2192" customFormat="1" ht="16.5" customHeight="1">
      <c r="A289" s="2121">
        <v>276</v>
      </c>
      <c r="B289" s="2121">
        <v>97</v>
      </c>
      <c r="C289" s="3288"/>
      <c r="D289" s="3289" t="s">
        <v>1485</v>
      </c>
      <c r="E289" s="3284" t="s">
        <v>40</v>
      </c>
      <c r="F289" s="3285"/>
      <c r="G289" s="3285">
        <v>955256.48707316525</v>
      </c>
      <c r="H289" s="3285">
        <v>240469</v>
      </c>
      <c r="I289" s="3285">
        <v>0</v>
      </c>
      <c r="J289" s="3285">
        <v>0</v>
      </c>
      <c r="K289" s="3285">
        <f t="shared" si="13"/>
        <v>1195725.4870731654</v>
      </c>
      <c r="L289" s="3285">
        <v>0</v>
      </c>
      <c r="M289" s="3285">
        <f t="shared" si="14"/>
        <v>1195725.4870731654</v>
      </c>
      <c r="N289" s="3285"/>
      <c r="O289" s="3286"/>
      <c r="P289" s="2197"/>
      <c r="Q289" s="2194"/>
    </row>
    <row r="290" spans="1:18" s="2192" customFormat="1" ht="16.5" customHeight="1">
      <c r="A290" s="2121">
        <v>277</v>
      </c>
      <c r="B290" s="2121">
        <v>98</v>
      </c>
      <c r="C290" s="3288"/>
      <c r="D290" s="3289" t="s">
        <v>1627</v>
      </c>
      <c r="E290" s="3284" t="s">
        <v>40</v>
      </c>
      <c r="F290" s="3285"/>
      <c r="G290" s="3285">
        <v>955256.48707316525</v>
      </c>
      <c r="H290" s="3285">
        <v>240469</v>
      </c>
      <c r="I290" s="3285">
        <v>0</v>
      </c>
      <c r="J290" s="3285">
        <v>0</v>
      </c>
      <c r="K290" s="3285">
        <f t="shared" si="13"/>
        <v>1195725.4870731654</v>
      </c>
      <c r="L290" s="3285">
        <v>0</v>
      </c>
      <c r="M290" s="3285">
        <f t="shared" si="14"/>
        <v>1195725.4870731654</v>
      </c>
      <c r="N290" s="3285"/>
      <c r="O290" s="3286"/>
      <c r="P290" s="2197"/>
      <c r="Q290" s="2194"/>
    </row>
    <row r="291" spans="1:18" s="2192" customFormat="1" ht="16.5" customHeight="1">
      <c r="A291" s="2121">
        <v>278</v>
      </c>
      <c r="B291" s="2121">
        <v>99</v>
      </c>
      <c r="C291" s="3288"/>
      <c r="D291" s="3289" t="s">
        <v>1628</v>
      </c>
      <c r="E291" s="3284" t="s">
        <v>40</v>
      </c>
      <c r="F291" s="3285"/>
      <c r="G291" s="3285">
        <v>955256.48707316525</v>
      </c>
      <c r="H291" s="3285">
        <v>240469</v>
      </c>
      <c r="I291" s="3285">
        <v>0</v>
      </c>
      <c r="J291" s="3285">
        <v>0</v>
      </c>
      <c r="K291" s="3285">
        <f t="shared" si="13"/>
        <v>1195725.4870731654</v>
      </c>
      <c r="L291" s="3285">
        <v>0</v>
      </c>
      <c r="M291" s="3285">
        <f t="shared" si="14"/>
        <v>1195725.4870731654</v>
      </c>
      <c r="N291" s="3285"/>
      <c r="O291" s="3286"/>
      <c r="P291" s="2197"/>
      <c r="Q291" s="2194"/>
    </row>
    <row r="292" spans="1:18" s="2192" customFormat="1" ht="16.5" customHeight="1">
      <c r="A292" s="2121">
        <v>279</v>
      </c>
      <c r="B292" s="2121">
        <v>100</v>
      </c>
      <c r="C292" s="3288"/>
      <c r="D292" s="3289" t="s">
        <v>1629</v>
      </c>
      <c r="E292" s="3284" t="s">
        <v>40</v>
      </c>
      <c r="F292" s="3285"/>
      <c r="G292" s="3285">
        <v>955256.48707316525</v>
      </c>
      <c r="H292" s="3285">
        <v>240469</v>
      </c>
      <c r="I292" s="3285">
        <v>0</v>
      </c>
      <c r="J292" s="3285">
        <v>0</v>
      </c>
      <c r="K292" s="3285">
        <f t="shared" si="13"/>
        <v>1195725.4870731654</v>
      </c>
      <c r="L292" s="3285">
        <v>0</v>
      </c>
      <c r="M292" s="3285">
        <f t="shared" si="14"/>
        <v>1195725.4870731654</v>
      </c>
      <c r="N292" s="3285"/>
      <c r="O292" s="3286"/>
      <c r="P292" s="2197"/>
      <c r="Q292" s="2194"/>
    </row>
    <row r="293" spans="1:18" s="2192" customFormat="1" ht="16.5" customHeight="1">
      <c r="A293" s="2121">
        <v>280</v>
      </c>
      <c r="B293" s="2121">
        <v>101</v>
      </c>
      <c r="C293" s="3288"/>
      <c r="D293" s="3289" t="s">
        <v>1630</v>
      </c>
      <c r="E293" s="3284" t="s">
        <v>40</v>
      </c>
      <c r="F293" s="3285"/>
      <c r="G293" s="3285">
        <v>876746.9226403354</v>
      </c>
      <c r="H293" s="3285">
        <v>206116.28571428571</v>
      </c>
      <c r="I293" s="3285">
        <v>0</v>
      </c>
      <c r="J293" s="3285">
        <v>0</v>
      </c>
      <c r="K293" s="3285">
        <f t="shared" si="13"/>
        <v>1082863.2083546212</v>
      </c>
      <c r="L293" s="3285">
        <v>0</v>
      </c>
      <c r="M293" s="3285">
        <f t="shared" si="14"/>
        <v>1082863.2083546212</v>
      </c>
      <c r="N293" s="3285"/>
      <c r="O293" s="3286"/>
      <c r="P293" s="2197"/>
      <c r="Q293" s="2194"/>
    </row>
    <row r="294" spans="1:18" s="2192" customFormat="1" ht="16.5" customHeight="1">
      <c r="A294" s="2121">
        <v>281</v>
      </c>
      <c r="B294" s="2121">
        <v>102</v>
      </c>
      <c r="C294" s="3288"/>
      <c r="D294" s="3289" t="s">
        <v>1631</v>
      </c>
      <c r="E294" s="3284" t="s">
        <v>40</v>
      </c>
      <c r="F294" s="3285"/>
      <c r="G294" s="3285">
        <v>876746.9226403354</v>
      </c>
      <c r="H294" s="3285">
        <v>206116.28571428571</v>
      </c>
      <c r="I294" s="3285">
        <v>0</v>
      </c>
      <c r="J294" s="3285">
        <v>0</v>
      </c>
      <c r="K294" s="3285">
        <f t="shared" si="13"/>
        <v>1082863.2083546212</v>
      </c>
      <c r="L294" s="3285">
        <v>0</v>
      </c>
      <c r="M294" s="3285">
        <f t="shared" si="14"/>
        <v>1082863.2083546212</v>
      </c>
      <c r="N294" s="3285"/>
      <c r="O294" s="3286"/>
      <c r="P294" s="2197"/>
      <c r="Q294" s="2194"/>
    </row>
    <row r="295" spans="1:18" s="2192" customFormat="1" ht="16.5" customHeight="1">
      <c r="A295" s="2121">
        <v>282</v>
      </c>
      <c r="B295" s="2121">
        <v>103</v>
      </c>
      <c r="C295" s="3288"/>
      <c r="D295" s="3289" t="s">
        <v>1444</v>
      </c>
      <c r="E295" s="3284" t="s">
        <v>40</v>
      </c>
      <c r="F295" s="3285"/>
      <c r="G295" s="3285">
        <v>876746.9226403354</v>
      </c>
      <c r="H295" s="3285">
        <v>206116.28571428571</v>
      </c>
      <c r="I295" s="3285">
        <v>0</v>
      </c>
      <c r="J295" s="3285">
        <v>0</v>
      </c>
      <c r="K295" s="3285">
        <f t="shared" si="13"/>
        <v>1082863.2083546212</v>
      </c>
      <c r="L295" s="3285">
        <v>0</v>
      </c>
      <c r="M295" s="3285">
        <f t="shared" si="14"/>
        <v>1082863.2083546212</v>
      </c>
      <c r="N295" s="3285"/>
      <c r="O295" s="3286"/>
      <c r="P295" s="2197"/>
      <c r="Q295" s="2194"/>
    </row>
    <row r="296" spans="1:18" s="2192" customFormat="1" ht="16.5" customHeight="1">
      <c r="A296" s="2121">
        <v>283</v>
      </c>
      <c r="B296" s="2121">
        <v>104</v>
      </c>
      <c r="C296" s="3288"/>
      <c r="D296" s="3289" t="s">
        <v>1486</v>
      </c>
      <c r="E296" s="3284" t="s">
        <v>40</v>
      </c>
      <c r="F296" s="3285"/>
      <c r="G296" s="3285">
        <v>876746.9226403354</v>
      </c>
      <c r="H296" s="3285">
        <v>206116.28571428571</v>
      </c>
      <c r="I296" s="3285">
        <v>0</v>
      </c>
      <c r="J296" s="3285">
        <v>0</v>
      </c>
      <c r="K296" s="3285">
        <f t="shared" si="13"/>
        <v>1082863.2083546212</v>
      </c>
      <c r="L296" s="3285">
        <v>0</v>
      </c>
      <c r="M296" s="3285">
        <f t="shared" si="14"/>
        <v>1082863.2083546212</v>
      </c>
      <c r="N296" s="3285"/>
      <c r="O296" s="3286"/>
      <c r="P296" s="2197"/>
      <c r="Q296" s="2194"/>
    </row>
    <row r="297" spans="1:18" s="2192" customFormat="1" ht="16.5" customHeight="1">
      <c r="A297" s="2121">
        <v>284</v>
      </c>
      <c r="B297" s="2121">
        <v>105</v>
      </c>
      <c r="C297" s="3288"/>
      <c r="D297" s="3289" t="s">
        <v>1487</v>
      </c>
      <c r="E297" s="3284" t="s">
        <v>40</v>
      </c>
      <c r="F297" s="3285"/>
      <c r="G297" s="3285">
        <v>876746.9226403354</v>
      </c>
      <c r="H297" s="3285">
        <v>206116.28571428571</v>
      </c>
      <c r="I297" s="3285">
        <v>0</v>
      </c>
      <c r="J297" s="3285">
        <v>0</v>
      </c>
      <c r="K297" s="3285">
        <f t="shared" si="13"/>
        <v>1082863.2083546212</v>
      </c>
      <c r="L297" s="3285">
        <v>0</v>
      </c>
      <c r="M297" s="3285">
        <f t="shared" si="14"/>
        <v>1082863.2083546212</v>
      </c>
      <c r="N297" s="3285"/>
      <c r="O297" s="3286"/>
      <c r="P297" s="2197"/>
      <c r="Q297" s="2194"/>
    </row>
    <row r="298" spans="1:18" s="2192" customFormat="1" ht="21" customHeight="1">
      <c r="A298" s="4409" t="s">
        <v>371</v>
      </c>
      <c r="B298" s="4410"/>
      <c r="C298" s="4410"/>
      <c r="D298" s="4410"/>
      <c r="E298" s="4411"/>
      <c r="F298" s="3641">
        <f t="shared" ref="F298:M298" si="15">SUM(F299:F386)</f>
        <v>46419167.007771388</v>
      </c>
      <c r="G298" s="3641">
        <f t="shared" si="15"/>
        <v>25061413.991539065</v>
      </c>
      <c r="H298" s="3282">
        <f t="shared" si="15"/>
        <v>34680000.399999976</v>
      </c>
      <c r="I298" s="3282">
        <f t="shared" si="15"/>
        <v>0</v>
      </c>
      <c r="J298" s="3282">
        <f t="shared" si="15"/>
        <v>0</v>
      </c>
      <c r="K298" s="3282">
        <f t="shared" si="15"/>
        <v>106160581.39931056</v>
      </c>
      <c r="L298" s="3282">
        <f t="shared" si="15"/>
        <v>0</v>
      </c>
      <c r="M298" s="3282">
        <f t="shared" si="15"/>
        <v>106160581.39931056</v>
      </c>
      <c r="N298" s="3282">
        <f>SUM(N299:N354)</f>
        <v>0</v>
      </c>
      <c r="O298" s="3281"/>
      <c r="P298" s="2191"/>
      <c r="Q298" s="2194"/>
    </row>
    <row r="299" spans="1:18" s="1972" customFormat="1" ht="16.5" customHeight="1">
      <c r="A299" s="2121">
        <v>285</v>
      </c>
      <c r="B299" s="2121">
        <v>1</v>
      </c>
      <c r="C299" s="3283"/>
      <c r="D299" s="3289" t="s">
        <v>1633</v>
      </c>
      <c r="E299" s="3289" t="s">
        <v>40</v>
      </c>
      <c r="F299" s="3285">
        <f>961257.193444164-193792+0.4</f>
        <v>767465.59344416403</v>
      </c>
      <c r="G299" s="3285"/>
      <c r="H299" s="3285">
        <v>322727.67272727302</v>
      </c>
      <c r="I299" s="3285">
        <v>0</v>
      </c>
      <c r="J299" s="3285">
        <v>0</v>
      </c>
      <c r="K299" s="3285">
        <f t="shared" ref="K299:K330" si="16">H299+G299+F299</f>
        <v>1090193.266171437</v>
      </c>
      <c r="L299" s="3285">
        <v>0</v>
      </c>
      <c r="M299" s="3285">
        <f>K299</f>
        <v>1090193.266171437</v>
      </c>
      <c r="N299" s="3285"/>
      <c r="O299" s="3290"/>
      <c r="R299" s="3272"/>
    </row>
    <row r="300" spans="1:18" s="1972" customFormat="1" ht="16.5" customHeight="1">
      <c r="A300" s="2121">
        <v>286</v>
      </c>
      <c r="B300" s="2121">
        <v>2</v>
      </c>
      <c r="C300" s="3283"/>
      <c r="D300" s="3289" t="s">
        <v>966</v>
      </c>
      <c r="E300" s="3289" t="s">
        <v>40</v>
      </c>
      <c r="F300" s="3285">
        <v>961257.193444164</v>
      </c>
      <c r="G300" s="3285"/>
      <c r="H300" s="3285">
        <v>322727.67272727302</v>
      </c>
      <c r="I300" s="3285">
        <v>0</v>
      </c>
      <c r="J300" s="3285">
        <v>0</v>
      </c>
      <c r="K300" s="3285">
        <f t="shared" si="16"/>
        <v>1283984.8661714371</v>
      </c>
      <c r="L300" s="3285">
        <v>0</v>
      </c>
      <c r="M300" s="3285">
        <f t="shared" ref="M300:M363" si="17">K300</f>
        <v>1283984.8661714371</v>
      </c>
      <c r="N300" s="3285"/>
      <c r="O300" s="3290"/>
      <c r="R300" s="3272">
        <f>88+105</f>
        <v>193</v>
      </c>
    </row>
    <row r="301" spans="1:18" s="1972" customFormat="1" ht="16.5" customHeight="1">
      <c r="A301" s="2121">
        <v>287</v>
      </c>
      <c r="B301" s="2121">
        <v>3</v>
      </c>
      <c r="C301" s="3283"/>
      <c r="D301" s="3289" t="s">
        <v>975</v>
      </c>
      <c r="E301" s="3289" t="s">
        <v>40</v>
      </c>
      <c r="F301" s="3285">
        <v>961257.193444164</v>
      </c>
      <c r="G301" s="3285"/>
      <c r="H301" s="3285">
        <v>322727.67272727302</v>
      </c>
      <c r="I301" s="3285">
        <v>0</v>
      </c>
      <c r="J301" s="3285">
        <v>0</v>
      </c>
      <c r="K301" s="3285">
        <f t="shared" si="16"/>
        <v>1283984.8661714371</v>
      </c>
      <c r="L301" s="3285">
        <v>0</v>
      </c>
      <c r="M301" s="3285">
        <f t="shared" si="17"/>
        <v>1283984.8661714371</v>
      </c>
      <c r="N301" s="3285"/>
      <c r="O301" s="3290"/>
    </row>
    <row r="302" spans="1:18" s="1972" customFormat="1" ht="16.5" customHeight="1">
      <c r="A302" s="2121">
        <v>288</v>
      </c>
      <c r="B302" s="2121">
        <v>4</v>
      </c>
      <c r="C302" s="3283"/>
      <c r="D302" s="3289" t="s">
        <v>753</v>
      </c>
      <c r="E302" s="3289" t="s">
        <v>40</v>
      </c>
      <c r="F302" s="3285">
        <v>961257.193444164</v>
      </c>
      <c r="G302" s="3285"/>
      <c r="H302" s="3285">
        <v>322727.67272727302</v>
      </c>
      <c r="I302" s="3285">
        <v>0</v>
      </c>
      <c r="J302" s="3285">
        <v>0</v>
      </c>
      <c r="K302" s="3285">
        <f t="shared" si="16"/>
        <v>1283984.8661714371</v>
      </c>
      <c r="L302" s="3285">
        <v>0</v>
      </c>
      <c r="M302" s="3285">
        <f t="shared" si="17"/>
        <v>1283984.8661714371</v>
      </c>
      <c r="N302" s="3285"/>
      <c r="O302" s="3290"/>
      <c r="R302" s="3272"/>
    </row>
    <row r="303" spans="1:18" s="1972" customFormat="1" ht="16.5" customHeight="1">
      <c r="A303" s="2121">
        <v>289</v>
      </c>
      <c r="B303" s="2121">
        <v>5</v>
      </c>
      <c r="C303" s="3283"/>
      <c r="D303" s="3289" t="s">
        <v>1634</v>
      </c>
      <c r="E303" s="3289" t="s">
        <v>40</v>
      </c>
      <c r="F303" s="3285">
        <v>961257.193444164</v>
      </c>
      <c r="G303" s="3285"/>
      <c r="H303" s="3285">
        <v>322727.67272727302</v>
      </c>
      <c r="I303" s="3285">
        <v>0</v>
      </c>
      <c r="J303" s="3285">
        <v>0</v>
      </c>
      <c r="K303" s="3285">
        <f t="shared" si="16"/>
        <v>1283984.8661714371</v>
      </c>
      <c r="L303" s="3285">
        <v>0</v>
      </c>
      <c r="M303" s="3285">
        <f t="shared" si="17"/>
        <v>1283984.8661714371</v>
      </c>
      <c r="N303" s="3285"/>
      <c r="O303" s="3290"/>
      <c r="R303" s="3272">
        <f>G298-'LƯƠNG TT'!G71</f>
        <v>21474792.991539065</v>
      </c>
    </row>
    <row r="304" spans="1:18" s="1972" customFormat="1" ht="16.5" customHeight="1">
      <c r="A304" s="2121">
        <v>290</v>
      </c>
      <c r="B304" s="2121">
        <v>6</v>
      </c>
      <c r="C304" s="3283"/>
      <c r="D304" s="3289" t="s">
        <v>1635</v>
      </c>
      <c r="E304" s="3289" t="s">
        <v>40</v>
      </c>
      <c r="F304" s="3285">
        <v>961257.193444164</v>
      </c>
      <c r="G304" s="3285"/>
      <c r="H304" s="3285">
        <v>322727.67272727302</v>
      </c>
      <c r="I304" s="3285">
        <v>0</v>
      </c>
      <c r="J304" s="3285">
        <v>0</v>
      </c>
      <c r="K304" s="3285">
        <f t="shared" si="16"/>
        <v>1283984.8661714371</v>
      </c>
      <c r="L304" s="3285">
        <v>0</v>
      </c>
      <c r="M304" s="3285">
        <f t="shared" si="17"/>
        <v>1283984.8661714371</v>
      </c>
      <c r="N304" s="3285"/>
      <c r="O304" s="3290"/>
      <c r="R304" s="3272"/>
    </row>
    <row r="305" spans="1:18" s="1972" customFormat="1" ht="16.5" customHeight="1">
      <c r="A305" s="2121">
        <v>291</v>
      </c>
      <c r="B305" s="2121">
        <v>7</v>
      </c>
      <c r="C305" s="3283"/>
      <c r="D305" s="3289" t="s">
        <v>1636</v>
      </c>
      <c r="E305" s="3289" t="s">
        <v>40</v>
      </c>
      <c r="F305" s="3285">
        <v>961257.193444164</v>
      </c>
      <c r="G305" s="3285"/>
      <c r="H305" s="3285">
        <v>322727.67272727302</v>
      </c>
      <c r="I305" s="3285">
        <v>0</v>
      </c>
      <c r="J305" s="3285">
        <v>0</v>
      </c>
      <c r="K305" s="3285">
        <f t="shared" si="16"/>
        <v>1283984.8661714371</v>
      </c>
      <c r="L305" s="3285">
        <v>0</v>
      </c>
      <c r="M305" s="3285">
        <f t="shared" si="17"/>
        <v>1283984.8661714371</v>
      </c>
      <c r="N305" s="3285"/>
      <c r="O305" s="3290"/>
      <c r="R305" s="3272">
        <f>F298-'LƯƠNG TT'!F71</f>
        <v>46419167.007771388</v>
      </c>
    </row>
    <row r="306" spans="1:18" s="1972" customFormat="1" ht="16.5" customHeight="1">
      <c r="A306" s="2121">
        <v>292</v>
      </c>
      <c r="B306" s="2121">
        <v>8</v>
      </c>
      <c r="C306" s="3283"/>
      <c r="D306" s="3289" t="s">
        <v>1637</v>
      </c>
      <c r="E306" s="3289" t="s">
        <v>40</v>
      </c>
      <c r="F306" s="3285">
        <v>961257.193444164</v>
      </c>
      <c r="G306" s="3285"/>
      <c r="H306" s="3285">
        <v>322727.67272727302</v>
      </c>
      <c r="I306" s="3285">
        <v>0</v>
      </c>
      <c r="J306" s="3285">
        <v>0</v>
      </c>
      <c r="K306" s="3285">
        <f t="shared" si="16"/>
        <v>1283984.8661714371</v>
      </c>
      <c r="L306" s="3285">
        <v>0</v>
      </c>
      <c r="M306" s="3285">
        <f t="shared" si="17"/>
        <v>1283984.8661714371</v>
      </c>
      <c r="N306" s="3285"/>
      <c r="O306" s="3290"/>
      <c r="R306" s="3272"/>
    </row>
    <row r="307" spans="1:18" s="1972" customFormat="1" ht="16.5" customHeight="1">
      <c r="A307" s="2121">
        <v>293</v>
      </c>
      <c r="B307" s="2121">
        <v>9</v>
      </c>
      <c r="C307" s="3283"/>
      <c r="D307" s="3289" t="s">
        <v>1638</v>
      </c>
      <c r="E307" s="3289" t="s">
        <v>40</v>
      </c>
      <c r="F307" s="3285">
        <v>961257.193444164</v>
      </c>
      <c r="G307" s="3285"/>
      <c r="H307" s="3285">
        <v>322727.67272727302</v>
      </c>
      <c r="I307" s="3285">
        <v>0</v>
      </c>
      <c r="J307" s="3285">
        <v>0</v>
      </c>
      <c r="K307" s="3285">
        <f t="shared" si="16"/>
        <v>1283984.8661714371</v>
      </c>
      <c r="L307" s="3285">
        <v>0</v>
      </c>
      <c r="M307" s="3285">
        <f t="shared" si="17"/>
        <v>1283984.8661714371</v>
      </c>
      <c r="N307" s="3285"/>
      <c r="O307" s="3290"/>
      <c r="R307" s="3272">
        <f>H298-'LƯƠNG TT'!H71</f>
        <v>4280000.3999999762</v>
      </c>
    </row>
    <row r="308" spans="1:18" s="1972" customFormat="1" ht="16.5" customHeight="1">
      <c r="A308" s="2121">
        <v>294</v>
      </c>
      <c r="B308" s="2121">
        <v>10</v>
      </c>
      <c r="C308" s="3283"/>
      <c r="D308" s="3289" t="s">
        <v>1639</v>
      </c>
      <c r="E308" s="3289" t="s">
        <v>40</v>
      </c>
      <c r="F308" s="3285">
        <v>961257.193444164</v>
      </c>
      <c r="G308" s="3285"/>
      <c r="H308" s="3285">
        <v>322727.67272727302</v>
      </c>
      <c r="I308" s="3285">
        <v>0</v>
      </c>
      <c r="J308" s="3285">
        <v>0</v>
      </c>
      <c r="K308" s="3285">
        <f t="shared" si="16"/>
        <v>1283984.8661714371</v>
      </c>
      <c r="L308" s="3285">
        <v>0</v>
      </c>
      <c r="M308" s="3285">
        <f t="shared" si="17"/>
        <v>1283984.8661714371</v>
      </c>
      <c r="N308" s="3285"/>
      <c r="O308" s="3290"/>
      <c r="R308" s="3272"/>
    </row>
    <row r="309" spans="1:18" s="1972" customFormat="1" ht="16.5" customHeight="1">
      <c r="A309" s="2121">
        <v>295</v>
      </c>
      <c r="B309" s="2121">
        <v>11</v>
      </c>
      <c r="C309" s="3283"/>
      <c r="D309" s="3289" t="s">
        <v>1640</v>
      </c>
      <c r="E309" s="3289" t="s">
        <v>40</v>
      </c>
      <c r="F309" s="3285">
        <v>961257.193444164</v>
      </c>
      <c r="G309" s="3285"/>
      <c r="H309" s="3285">
        <v>322727.67272727302</v>
      </c>
      <c r="I309" s="3285">
        <v>0</v>
      </c>
      <c r="J309" s="3285">
        <v>0</v>
      </c>
      <c r="K309" s="3285">
        <f t="shared" si="16"/>
        <v>1283984.8661714371</v>
      </c>
      <c r="L309" s="3285">
        <v>0</v>
      </c>
      <c r="M309" s="3285">
        <f t="shared" si="17"/>
        <v>1283984.8661714371</v>
      </c>
      <c r="N309" s="3285"/>
      <c r="O309" s="3290"/>
    </row>
    <row r="310" spans="1:18" s="1972" customFormat="1" ht="16.5" customHeight="1">
      <c r="A310" s="2121">
        <v>296</v>
      </c>
      <c r="B310" s="2121">
        <v>12</v>
      </c>
      <c r="C310" s="3283"/>
      <c r="D310" s="3289" t="s">
        <v>1641</v>
      </c>
      <c r="E310" s="3289" t="s">
        <v>40</v>
      </c>
      <c r="F310" s="3285">
        <v>945841.35061885999</v>
      </c>
      <c r="G310" s="3285"/>
      <c r="H310" s="3285">
        <v>262500</v>
      </c>
      <c r="I310" s="3285">
        <v>0</v>
      </c>
      <c r="J310" s="3285">
        <v>0</v>
      </c>
      <c r="K310" s="3285">
        <f t="shared" si="16"/>
        <v>1208341.35061886</v>
      </c>
      <c r="L310" s="3285">
        <v>0</v>
      </c>
      <c r="M310" s="3285">
        <f t="shared" si="17"/>
        <v>1208341.35061886</v>
      </c>
      <c r="N310" s="3285">
        <v>0</v>
      </c>
      <c r="O310" s="3290"/>
      <c r="R310" s="3272"/>
    </row>
    <row r="311" spans="1:18" s="1972" customFormat="1" ht="16.5" customHeight="1">
      <c r="A311" s="2121">
        <v>297</v>
      </c>
      <c r="B311" s="2121">
        <v>13</v>
      </c>
      <c r="C311" s="3283"/>
      <c r="D311" s="3289" t="s">
        <v>1642</v>
      </c>
      <c r="E311" s="3289" t="s">
        <v>40</v>
      </c>
      <c r="F311" s="3285">
        <v>945841.35061885999</v>
      </c>
      <c r="G311" s="3285"/>
      <c r="H311" s="3285">
        <v>262500</v>
      </c>
      <c r="I311" s="3285">
        <v>0</v>
      </c>
      <c r="J311" s="3285">
        <v>0</v>
      </c>
      <c r="K311" s="3285">
        <f t="shared" si="16"/>
        <v>1208341.35061886</v>
      </c>
      <c r="L311" s="3285">
        <v>0</v>
      </c>
      <c r="M311" s="3285">
        <f t="shared" si="17"/>
        <v>1208341.35061886</v>
      </c>
      <c r="N311" s="3285">
        <v>0</v>
      </c>
      <c r="O311" s="3290"/>
      <c r="R311" s="3272"/>
    </row>
    <row r="312" spans="1:18" s="1972" customFormat="1" ht="16.5" customHeight="1">
      <c r="A312" s="2121">
        <v>298</v>
      </c>
      <c r="B312" s="2121">
        <v>14</v>
      </c>
      <c r="C312" s="3283"/>
      <c r="D312" s="3289" t="s">
        <v>1643</v>
      </c>
      <c r="E312" s="3289" t="s">
        <v>40</v>
      </c>
      <c r="F312" s="3285">
        <v>945841.35061885999</v>
      </c>
      <c r="G312" s="3285"/>
      <c r="H312" s="3285">
        <v>262500</v>
      </c>
      <c r="I312" s="3285">
        <v>0</v>
      </c>
      <c r="J312" s="3285">
        <v>0</v>
      </c>
      <c r="K312" s="3285">
        <f t="shared" si="16"/>
        <v>1208341.35061886</v>
      </c>
      <c r="L312" s="3285">
        <v>0</v>
      </c>
      <c r="M312" s="3285">
        <f t="shared" si="17"/>
        <v>1208341.35061886</v>
      </c>
      <c r="N312" s="3285">
        <v>0</v>
      </c>
      <c r="O312" s="3290"/>
      <c r="R312" s="3272"/>
    </row>
    <row r="313" spans="1:18" s="1972" customFormat="1" ht="16.5" customHeight="1">
      <c r="A313" s="2121">
        <v>299</v>
      </c>
      <c r="B313" s="2121">
        <v>15</v>
      </c>
      <c r="C313" s="3283"/>
      <c r="D313" s="3289" t="s">
        <v>1644</v>
      </c>
      <c r="E313" s="3289" t="s">
        <v>40</v>
      </c>
      <c r="F313" s="3285">
        <v>945841.35061885999</v>
      </c>
      <c r="G313" s="3285"/>
      <c r="H313" s="3285">
        <v>262500</v>
      </c>
      <c r="I313" s="3285">
        <v>0</v>
      </c>
      <c r="J313" s="3285">
        <v>0</v>
      </c>
      <c r="K313" s="3285">
        <f t="shared" si="16"/>
        <v>1208341.35061886</v>
      </c>
      <c r="L313" s="3285">
        <v>0</v>
      </c>
      <c r="M313" s="3285">
        <f t="shared" si="17"/>
        <v>1208341.35061886</v>
      </c>
      <c r="N313" s="3285">
        <v>0</v>
      </c>
      <c r="O313" s="3290"/>
      <c r="R313" s="3272"/>
    </row>
    <row r="314" spans="1:18" s="1972" customFormat="1" ht="16.5" customHeight="1">
      <c r="A314" s="2121">
        <v>300</v>
      </c>
      <c r="B314" s="2121">
        <v>16</v>
      </c>
      <c r="C314" s="3283"/>
      <c r="D314" s="3289" t="s">
        <v>1645</v>
      </c>
      <c r="E314" s="3289" t="s">
        <v>40</v>
      </c>
      <c r="F314" s="3285">
        <v>945841.35061885999</v>
      </c>
      <c r="G314" s="3285"/>
      <c r="H314" s="3285">
        <v>262500</v>
      </c>
      <c r="I314" s="3285">
        <v>0</v>
      </c>
      <c r="J314" s="3285">
        <v>0</v>
      </c>
      <c r="K314" s="3285">
        <f t="shared" si="16"/>
        <v>1208341.35061886</v>
      </c>
      <c r="L314" s="3285">
        <v>0</v>
      </c>
      <c r="M314" s="3285">
        <f t="shared" si="17"/>
        <v>1208341.35061886</v>
      </c>
      <c r="N314" s="3285"/>
      <c r="O314" s="3290"/>
      <c r="R314" s="3272"/>
    </row>
    <row r="315" spans="1:18" s="1972" customFormat="1" ht="16.5" customHeight="1">
      <c r="A315" s="2121">
        <v>301</v>
      </c>
      <c r="B315" s="2121">
        <v>17</v>
      </c>
      <c r="C315" s="3283"/>
      <c r="D315" s="3289" t="s">
        <v>1646</v>
      </c>
      <c r="E315" s="3289" t="s">
        <v>40</v>
      </c>
      <c r="F315" s="3285">
        <v>945841.35061885999</v>
      </c>
      <c r="G315" s="3285"/>
      <c r="H315" s="3285">
        <v>262500</v>
      </c>
      <c r="I315" s="3285">
        <v>0</v>
      </c>
      <c r="J315" s="3285">
        <v>0</v>
      </c>
      <c r="K315" s="3285">
        <f t="shared" si="16"/>
        <v>1208341.35061886</v>
      </c>
      <c r="L315" s="3285">
        <v>0</v>
      </c>
      <c r="M315" s="3285">
        <f t="shared" si="17"/>
        <v>1208341.35061886</v>
      </c>
      <c r="N315" s="3285"/>
      <c r="O315" s="3290"/>
      <c r="R315" s="3272"/>
    </row>
    <row r="316" spans="1:18" s="1972" customFormat="1" ht="16.5" customHeight="1">
      <c r="A316" s="2121">
        <v>302</v>
      </c>
      <c r="B316" s="2121">
        <v>18</v>
      </c>
      <c r="C316" s="3283"/>
      <c r="D316" s="3289" t="s">
        <v>1647</v>
      </c>
      <c r="E316" s="3289" t="s">
        <v>40</v>
      </c>
      <c r="F316" s="3285">
        <v>945841.35061885999</v>
      </c>
      <c r="G316" s="3285"/>
      <c r="H316" s="3285">
        <v>262500</v>
      </c>
      <c r="I316" s="3285">
        <v>0</v>
      </c>
      <c r="J316" s="3285">
        <v>0</v>
      </c>
      <c r="K316" s="3285">
        <f t="shared" si="16"/>
        <v>1208341.35061886</v>
      </c>
      <c r="L316" s="3285">
        <v>0</v>
      </c>
      <c r="M316" s="3285">
        <f t="shared" si="17"/>
        <v>1208341.35061886</v>
      </c>
      <c r="N316" s="3285"/>
      <c r="O316" s="3290"/>
      <c r="R316" s="3272"/>
    </row>
    <row r="317" spans="1:18" s="1972" customFormat="1" ht="16.5" customHeight="1">
      <c r="A317" s="2121">
        <v>303</v>
      </c>
      <c r="B317" s="2121">
        <v>19</v>
      </c>
      <c r="C317" s="3283"/>
      <c r="D317" s="3289" t="s">
        <v>1648</v>
      </c>
      <c r="E317" s="3289" t="s">
        <v>40</v>
      </c>
      <c r="F317" s="3285">
        <v>945841.35061885999</v>
      </c>
      <c r="G317" s="3285"/>
      <c r="H317" s="3285">
        <v>262500</v>
      </c>
      <c r="I317" s="3285">
        <v>0</v>
      </c>
      <c r="J317" s="3285">
        <v>0</v>
      </c>
      <c r="K317" s="3285">
        <f t="shared" si="16"/>
        <v>1208341.35061886</v>
      </c>
      <c r="L317" s="3285">
        <v>0</v>
      </c>
      <c r="M317" s="3285">
        <f t="shared" si="17"/>
        <v>1208341.35061886</v>
      </c>
      <c r="N317" s="3285"/>
      <c r="O317" s="3290"/>
      <c r="R317" s="3272"/>
    </row>
    <row r="318" spans="1:18" s="1972" customFormat="1" ht="16.5" customHeight="1">
      <c r="A318" s="2121">
        <v>304</v>
      </c>
      <c r="B318" s="2121">
        <v>20</v>
      </c>
      <c r="C318" s="3283"/>
      <c r="D318" s="3289" t="s">
        <v>1649</v>
      </c>
      <c r="E318" s="3289" t="s">
        <v>40</v>
      </c>
      <c r="F318" s="3285">
        <v>521944.26355048141</v>
      </c>
      <c r="G318" s="3285">
        <v>219329</v>
      </c>
      <c r="H318" s="3285">
        <v>340000</v>
      </c>
      <c r="I318" s="3285">
        <v>0</v>
      </c>
      <c r="J318" s="3285">
        <v>0</v>
      </c>
      <c r="K318" s="3285">
        <f t="shared" si="16"/>
        <v>1081273.2635504813</v>
      </c>
      <c r="L318" s="3285">
        <v>0</v>
      </c>
      <c r="M318" s="3285">
        <f t="shared" si="17"/>
        <v>1081273.2635504813</v>
      </c>
      <c r="N318" s="3285"/>
      <c r="O318" s="3290"/>
    </row>
    <row r="319" spans="1:18" s="1972" customFormat="1" ht="16.5" customHeight="1">
      <c r="A319" s="2121">
        <v>305</v>
      </c>
      <c r="B319" s="2121">
        <v>21</v>
      </c>
      <c r="C319" s="3283"/>
      <c r="D319" s="3289" t="s">
        <v>1650</v>
      </c>
      <c r="E319" s="3289" t="s">
        <v>40</v>
      </c>
      <c r="F319" s="3285">
        <v>821944.26355048094</v>
      </c>
      <c r="G319" s="3285"/>
      <c r="H319" s="3285">
        <v>440000</v>
      </c>
      <c r="I319" s="3285">
        <v>0</v>
      </c>
      <c r="J319" s="3285">
        <v>0</v>
      </c>
      <c r="K319" s="3285">
        <f t="shared" si="16"/>
        <v>1261944.2635504808</v>
      </c>
      <c r="L319" s="3285">
        <v>0</v>
      </c>
      <c r="M319" s="3285">
        <f t="shared" si="17"/>
        <v>1261944.2635504808</v>
      </c>
      <c r="N319" s="3285"/>
      <c r="O319" s="3290"/>
    </row>
    <row r="320" spans="1:18" s="1972" customFormat="1" ht="16.5" customHeight="1">
      <c r="A320" s="2121">
        <v>306</v>
      </c>
      <c r="B320" s="2121">
        <v>22</v>
      </c>
      <c r="C320" s="3283"/>
      <c r="D320" s="3289" t="s">
        <v>1651</v>
      </c>
      <c r="E320" s="3289" t="s">
        <v>40</v>
      </c>
      <c r="F320" s="3285">
        <v>821944.26355048094</v>
      </c>
      <c r="G320" s="3285"/>
      <c r="H320" s="3285">
        <v>440000</v>
      </c>
      <c r="I320" s="3285">
        <v>0</v>
      </c>
      <c r="J320" s="3285">
        <v>0</v>
      </c>
      <c r="K320" s="3285">
        <f t="shared" si="16"/>
        <v>1261944.2635504808</v>
      </c>
      <c r="L320" s="3285">
        <v>0</v>
      </c>
      <c r="M320" s="3285">
        <f t="shared" si="17"/>
        <v>1261944.2635504808</v>
      </c>
      <c r="N320" s="3285"/>
      <c r="O320" s="3290"/>
    </row>
    <row r="321" spans="1:15" s="1972" customFormat="1" ht="16.5" customHeight="1">
      <c r="A321" s="2121">
        <v>307</v>
      </c>
      <c r="B321" s="2121">
        <v>23</v>
      </c>
      <c r="C321" s="3283"/>
      <c r="D321" s="3289" t="s">
        <v>1652</v>
      </c>
      <c r="E321" s="3289" t="s">
        <v>40</v>
      </c>
      <c r="F321" s="3285">
        <v>821944.26355048094</v>
      </c>
      <c r="G321" s="3285"/>
      <c r="H321" s="3285">
        <v>440000</v>
      </c>
      <c r="I321" s="3285">
        <v>0</v>
      </c>
      <c r="J321" s="3285">
        <v>0</v>
      </c>
      <c r="K321" s="3285">
        <f t="shared" si="16"/>
        <v>1261944.2635504808</v>
      </c>
      <c r="L321" s="3285">
        <v>0</v>
      </c>
      <c r="M321" s="3285">
        <f t="shared" si="17"/>
        <v>1261944.2635504808</v>
      </c>
      <c r="N321" s="3285"/>
      <c r="O321" s="3290"/>
    </row>
    <row r="322" spans="1:15" s="1972" customFormat="1" ht="16.5" customHeight="1">
      <c r="A322" s="2121">
        <v>308</v>
      </c>
      <c r="B322" s="2121">
        <v>24</v>
      </c>
      <c r="C322" s="3283"/>
      <c r="D322" s="3289" t="s">
        <v>1653</v>
      </c>
      <c r="E322" s="3289" t="s">
        <v>40</v>
      </c>
      <c r="F322" s="3285">
        <v>821944.26355048094</v>
      </c>
      <c r="G322" s="3285"/>
      <c r="H322" s="3285">
        <v>440000</v>
      </c>
      <c r="I322" s="3285">
        <v>0</v>
      </c>
      <c r="J322" s="3285">
        <v>0</v>
      </c>
      <c r="K322" s="3285">
        <f t="shared" si="16"/>
        <v>1261944.2635504808</v>
      </c>
      <c r="L322" s="3285">
        <v>0</v>
      </c>
      <c r="M322" s="3285">
        <f t="shared" si="17"/>
        <v>1261944.2635504808</v>
      </c>
      <c r="N322" s="3285"/>
      <c r="O322" s="3290"/>
    </row>
    <row r="323" spans="1:15" s="1972" customFormat="1" ht="16.5" customHeight="1">
      <c r="A323" s="2121">
        <v>309</v>
      </c>
      <c r="B323" s="2121">
        <v>25</v>
      </c>
      <c r="C323" s="3283"/>
      <c r="D323" s="3289" t="s">
        <v>1654</v>
      </c>
      <c r="E323" s="3289" t="s">
        <v>40</v>
      </c>
      <c r="F323" s="3285">
        <v>790486.91510946106</v>
      </c>
      <c r="G323" s="3285"/>
      <c r="H323" s="3285">
        <v>475000</v>
      </c>
      <c r="I323" s="3285">
        <v>0</v>
      </c>
      <c r="J323" s="3285">
        <v>0</v>
      </c>
      <c r="K323" s="3285">
        <f t="shared" si="16"/>
        <v>1265486.9151094612</v>
      </c>
      <c r="L323" s="3285">
        <v>0</v>
      </c>
      <c r="M323" s="3285">
        <f t="shared" si="17"/>
        <v>1265486.9151094612</v>
      </c>
      <c r="N323" s="3285"/>
      <c r="O323" s="3290"/>
    </row>
    <row r="324" spans="1:15" s="1972" customFormat="1" ht="16.5" customHeight="1">
      <c r="A324" s="2121">
        <v>310</v>
      </c>
      <c r="B324" s="2121">
        <v>26</v>
      </c>
      <c r="C324" s="3283"/>
      <c r="D324" s="3289" t="s">
        <v>1655</v>
      </c>
      <c r="E324" s="3289" t="s">
        <v>40</v>
      </c>
      <c r="F324" s="3285">
        <v>790486.91510946106</v>
      </c>
      <c r="G324" s="3285"/>
      <c r="H324" s="3285">
        <v>475000</v>
      </c>
      <c r="I324" s="3285">
        <v>0</v>
      </c>
      <c r="J324" s="3285">
        <v>0</v>
      </c>
      <c r="K324" s="3285">
        <f t="shared" si="16"/>
        <v>1265486.9151094612</v>
      </c>
      <c r="L324" s="3285">
        <v>0</v>
      </c>
      <c r="M324" s="3285">
        <f t="shared" si="17"/>
        <v>1265486.9151094612</v>
      </c>
      <c r="N324" s="3285"/>
      <c r="O324" s="3290"/>
    </row>
    <row r="325" spans="1:15" s="1972" customFormat="1" ht="16.5" customHeight="1">
      <c r="A325" s="2121">
        <v>311</v>
      </c>
      <c r="B325" s="2121">
        <v>27</v>
      </c>
      <c r="C325" s="3283"/>
      <c r="D325" s="3289" t="s">
        <v>1656</v>
      </c>
      <c r="E325" s="3289" t="s">
        <v>40</v>
      </c>
      <c r="F325" s="3285">
        <v>790486.91510946106</v>
      </c>
      <c r="G325" s="3285"/>
      <c r="H325" s="3285">
        <v>475000</v>
      </c>
      <c r="I325" s="3285">
        <v>0</v>
      </c>
      <c r="J325" s="3285">
        <v>0</v>
      </c>
      <c r="K325" s="3285">
        <f t="shared" si="16"/>
        <v>1265486.9151094612</v>
      </c>
      <c r="L325" s="3285">
        <v>0</v>
      </c>
      <c r="M325" s="3285">
        <f t="shared" si="17"/>
        <v>1265486.9151094612</v>
      </c>
      <c r="N325" s="3285"/>
      <c r="O325" s="3290"/>
    </row>
    <row r="326" spans="1:15" s="1972" customFormat="1" ht="16.5" customHeight="1">
      <c r="A326" s="2121">
        <v>312</v>
      </c>
      <c r="B326" s="2121">
        <v>28</v>
      </c>
      <c r="C326" s="3283"/>
      <c r="D326" s="3289" t="s">
        <v>1629</v>
      </c>
      <c r="E326" s="3289" t="s">
        <v>40</v>
      </c>
      <c r="F326" s="3285">
        <v>790486.91510946106</v>
      </c>
      <c r="G326" s="3285"/>
      <c r="H326" s="3285">
        <v>475000</v>
      </c>
      <c r="I326" s="3285">
        <v>0</v>
      </c>
      <c r="J326" s="3285">
        <v>0</v>
      </c>
      <c r="K326" s="3285">
        <f t="shared" si="16"/>
        <v>1265486.9151094612</v>
      </c>
      <c r="L326" s="3285">
        <v>0</v>
      </c>
      <c r="M326" s="3285">
        <f t="shared" si="17"/>
        <v>1265486.9151094612</v>
      </c>
      <c r="N326" s="3285"/>
      <c r="O326" s="3290"/>
    </row>
    <row r="327" spans="1:15" s="1972" customFormat="1" ht="16.5" customHeight="1">
      <c r="A327" s="2121">
        <v>313</v>
      </c>
      <c r="B327" s="2121">
        <v>29</v>
      </c>
      <c r="C327" s="3283"/>
      <c r="D327" s="3289" t="s">
        <v>1657</v>
      </c>
      <c r="E327" s="3289" t="s">
        <v>40</v>
      </c>
      <c r="F327" s="3285">
        <v>790486.91510946106</v>
      </c>
      <c r="G327" s="3285"/>
      <c r="H327" s="3285">
        <v>475000</v>
      </c>
      <c r="I327" s="3285">
        <v>0</v>
      </c>
      <c r="J327" s="3285">
        <v>0</v>
      </c>
      <c r="K327" s="3285">
        <f t="shared" si="16"/>
        <v>1265486.9151094612</v>
      </c>
      <c r="L327" s="3285">
        <v>0</v>
      </c>
      <c r="M327" s="3285">
        <f t="shared" si="17"/>
        <v>1265486.9151094612</v>
      </c>
      <c r="N327" s="3285"/>
      <c r="O327" s="3290"/>
    </row>
    <row r="328" spans="1:15" s="1972" customFormat="1" ht="16.5" customHeight="1">
      <c r="A328" s="2121">
        <v>314</v>
      </c>
      <c r="B328" s="2121">
        <v>30</v>
      </c>
      <c r="C328" s="3283"/>
      <c r="D328" s="3289" t="s">
        <v>1658</v>
      </c>
      <c r="E328" s="3289" t="s">
        <v>40</v>
      </c>
      <c r="F328" s="3285">
        <v>790486.91510946106</v>
      </c>
      <c r="G328" s="3285"/>
      <c r="H328" s="3285">
        <v>475000</v>
      </c>
      <c r="I328" s="3285">
        <v>0</v>
      </c>
      <c r="J328" s="3285">
        <v>0</v>
      </c>
      <c r="K328" s="3285">
        <f t="shared" si="16"/>
        <v>1265486.9151094612</v>
      </c>
      <c r="L328" s="3285">
        <v>0</v>
      </c>
      <c r="M328" s="3285">
        <f t="shared" si="17"/>
        <v>1265486.9151094612</v>
      </c>
      <c r="N328" s="3285"/>
      <c r="O328" s="3290"/>
    </row>
    <row r="329" spans="1:15" s="1972" customFormat="1" ht="16.5" customHeight="1">
      <c r="A329" s="2121">
        <v>315</v>
      </c>
      <c r="B329" s="2121">
        <v>31</v>
      </c>
      <c r="C329" s="3283"/>
      <c r="D329" s="3289" t="s">
        <v>1659</v>
      </c>
      <c r="E329" s="3289" t="s">
        <v>40</v>
      </c>
      <c r="F329" s="3285">
        <v>790486.91510946106</v>
      </c>
      <c r="G329" s="3285"/>
      <c r="H329" s="3285">
        <v>475000</v>
      </c>
      <c r="I329" s="3285">
        <v>0</v>
      </c>
      <c r="J329" s="3285">
        <v>0</v>
      </c>
      <c r="K329" s="3285">
        <f t="shared" si="16"/>
        <v>1265486.9151094612</v>
      </c>
      <c r="L329" s="3285">
        <v>0</v>
      </c>
      <c r="M329" s="3285">
        <f t="shared" si="17"/>
        <v>1265486.9151094612</v>
      </c>
      <c r="N329" s="3285"/>
      <c r="O329" s="3290"/>
    </row>
    <row r="330" spans="1:15" s="1972" customFormat="1" ht="16.5" customHeight="1">
      <c r="A330" s="2121">
        <v>316</v>
      </c>
      <c r="B330" s="2121">
        <v>32</v>
      </c>
      <c r="C330" s="3283"/>
      <c r="D330" s="3289" t="s">
        <v>1660</v>
      </c>
      <c r="E330" s="3289" t="s">
        <v>40</v>
      </c>
      <c r="F330" s="3285">
        <v>790486.91510946106</v>
      </c>
      <c r="G330" s="3285"/>
      <c r="H330" s="3285">
        <v>475000</v>
      </c>
      <c r="I330" s="3285">
        <v>0</v>
      </c>
      <c r="J330" s="3285">
        <v>0</v>
      </c>
      <c r="K330" s="3285">
        <f t="shared" si="16"/>
        <v>1265486.9151094612</v>
      </c>
      <c r="L330" s="3285">
        <v>0</v>
      </c>
      <c r="M330" s="3285">
        <f t="shared" si="17"/>
        <v>1265486.9151094612</v>
      </c>
      <c r="N330" s="3285"/>
      <c r="O330" s="3290"/>
    </row>
    <row r="331" spans="1:15" s="1972" customFormat="1" ht="16.5" customHeight="1">
      <c r="A331" s="2121">
        <v>317</v>
      </c>
      <c r="B331" s="2121">
        <v>33</v>
      </c>
      <c r="C331" s="3283"/>
      <c r="D331" s="3289" t="s">
        <v>1661</v>
      </c>
      <c r="E331" s="3289" t="s">
        <v>40</v>
      </c>
      <c r="F331" s="3285">
        <v>711974.02225103998</v>
      </c>
      <c r="G331" s="3285"/>
      <c r="H331" s="3285">
        <v>333333.33333333331</v>
      </c>
      <c r="I331" s="3285">
        <v>0</v>
      </c>
      <c r="J331" s="3285">
        <v>0</v>
      </c>
      <c r="K331" s="3285">
        <f t="shared" ref="K331:K362" si="18">H331+G331+F331</f>
        <v>1045307.3555843732</v>
      </c>
      <c r="L331" s="3285">
        <v>0</v>
      </c>
      <c r="M331" s="3285">
        <f t="shared" si="17"/>
        <v>1045307.3555843732</v>
      </c>
      <c r="N331" s="3285"/>
      <c r="O331" s="3290"/>
    </row>
    <row r="332" spans="1:15" s="1972" customFormat="1" ht="16.5" customHeight="1">
      <c r="A332" s="2121">
        <v>318</v>
      </c>
      <c r="B332" s="2121">
        <v>34</v>
      </c>
      <c r="C332" s="3283"/>
      <c r="D332" s="3289" t="s">
        <v>1662</v>
      </c>
      <c r="E332" s="3289" t="s">
        <v>40</v>
      </c>
      <c r="F332" s="3285">
        <v>389833.52225103998</v>
      </c>
      <c r="G332" s="3285"/>
      <c r="H332" s="3285">
        <f>633333.333333333-310004</f>
        <v>323329.33333333302</v>
      </c>
      <c r="I332" s="3285">
        <v>0</v>
      </c>
      <c r="J332" s="3285">
        <v>0</v>
      </c>
      <c r="K332" s="3285">
        <f t="shared" si="18"/>
        <v>713162.855584373</v>
      </c>
      <c r="L332" s="3285">
        <v>0</v>
      </c>
      <c r="M332" s="3285">
        <f t="shared" si="17"/>
        <v>713162.855584373</v>
      </c>
      <c r="N332" s="3285"/>
      <c r="O332" s="3290"/>
    </row>
    <row r="333" spans="1:15" s="1972" customFormat="1" ht="16.5" customHeight="1">
      <c r="A333" s="2121">
        <v>319</v>
      </c>
      <c r="B333" s="2121">
        <v>35</v>
      </c>
      <c r="C333" s="3283"/>
      <c r="D333" s="3289" t="s">
        <v>1613</v>
      </c>
      <c r="E333" s="3289" t="s">
        <v>40</v>
      </c>
      <c r="F333" s="3285">
        <v>389833.52225103998</v>
      </c>
      <c r="G333" s="3285"/>
      <c r="H333" s="3285">
        <v>633333.33333333302</v>
      </c>
      <c r="I333" s="3285">
        <v>0</v>
      </c>
      <c r="J333" s="3285">
        <v>0</v>
      </c>
      <c r="K333" s="3285">
        <f t="shared" si="18"/>
        <v>1023166.855584373</v>
      </c>
      <c r="L333" s="3285">
        <v>0</v>
      </c>
      <c r="M333" s="3285">
        <f t="shared" si="17"/>
        <v>1023166.855584373</v>
      </c>
      <c r="N333" s="3285"/>
      <c r="O333" s="3290"/>
    </row>
    <row r="334" spans="1:15" s="1972" customFormat="1" ht="16.5" customHeight="1">
      <c r="A334" s="2121">
        <v>320</v>
      </c>
      <c r="B334" s="2121">
        <v>36</v>
      </c>
      <c r="C334" s="3283"/>
      <c r="D334" s="3289" t="s">
        <v>1663</v>
      </c>
      <c r="E334" s="3289" t="s">
        <v>40</v>
      </c>
      <c r="F334" s="3285">
        <v>389833.52225103998</v>
      </c>
      <c r="G334" s="3285"/>
      <c r="H334" s="3285">
        <v>633333.33333333302</v>
      </c>
      <c r="I334" s="3285">
        <v>0</v>
      </c>
      <c r="J334" s="3285">
        <v>0</v>
      </c>
      <c r="K334" s="3285">
        <f t="shared" si="18"/>
        <v>1023166.855584373</v>
      </c>
      <c r="L334" s="3285">
        <v>0</v>
      </c>
      <c r="M334" s="3285">
        <f t="shared" si="17"/>
        <v>1023166.855584373</v>
      </c>
      <c r="N334" s="3285"/>
      <c r="O334" s="3290"/>
    </row>
    <row r="335" spans="1:15" s="1972" customFormat="1" ht="16.5" customHeight="1">
      <c r="A335" s="2121">
        <v>321</v>
      </c>
      <c r="B335" s="2121">
        <v>37</v>
      </c>
      <c r="C335" s="3283"/>
      <c r="D335" s="3289" t="s">
        <v>1664</v>
      </c>
      <c r="E335" s="3289" t="s">
        <v>40</v>
      </c>
      <c r="F335" s="3285">
        <v>389833.52225103998</v>
      </c>
      <c r="G335" s="3285"/>
      <c r="H335" s="3285">
        <v>633333.33333333302</v>
      </c>
      <c r="I335" s="3285">
        <v>0</v>
      </c>
      <c r="J335" s="3285">
        <v>0</v>
      </c>
      <c r="K335" s="3285">
        <f t="shared" si="18"/>
        <v>1023166.855584373</v>
      </c>
      <c r="L335" s="3285">
        <v>0</v>
      </c>
      <c r="M335" s="3285">
        <f t="shared" si="17"/>
        <v>1023166.855584373</v>
      </c>
      <c r="N335" s="3285"/>
      <c r="O335" s="3290"/>
    </row>
    <row r="336" spans="1:15" s="1972" customFormat="1" ht="16.5" customHeight="1">
      <c r="A336" s="2121">
        <v>322</v>
      </c>
      <c r="B336" s="2121">
        <v>38</v>
      </c>
      <c r="C336" s="3283"/>
      <c r="D336" s="3289" t="s">
        <v>974</v>
      </c>
      <c r="E336" s="3289" t="s">
        <v>40</v>
      </c>
      <c r="F336" s="3285">
        <v>389833.52225103998</v>
      </c>
      <c r="G336" s="3285"/>
      <c r="H336" s="3285">
        <v>633333.33333333302</v>
      </c>
      <c r="I336" s="3285">
        <v>0</v>
      </c>
      <c r="J336" s="3285">
        <v>0</v>
      </c>
      <c r="K336" s="3285">
        <f t="shared" si="18"/>
        <v>1023166.855584373</v>
      </c>
      <c r="L336" s="3285">
        <v>0</v>
      </c>
      <c r="M336" s="3285">
        <f t="shared" si="17"/>
        <v>1023166.855584373</v>
      </c>
      <c r="N336" s="3285"/>
      <c r="O336" s="3290"/>
    </row>
    <row r="337" spans="1:15" s="1972" customFormat="1" ht="16.5" customHeight="1">
      <c r="A337" s="2121">
        <v>323</v>
      </c>
      <c r="B337" s="2121">
        <v>39</v>
      </c>
      <c r="C337" s="3283"/>
      <c r="D337" s="3289" t="s">
        <v>926</v>
      </c>
      <c r="E337" s="3289" t="s">
        <v>40</v>
      </c>
      <c r="F337" s="3285">
        <v>389833.52225103998</v>
      </c>
      <c r="G337" s="3285"/>
      <c r="H337" s="3285">
        <v>633333.33333333302</v>
      </c>
      <c r="I337" s="3285">
        <v>0</v>
      </c>
      <c r="J337" s="3285">
        <v>0</v>
      </c>
      <c r="K337" s="3285">
        <f t="shared" si="18"/>
        <v>1023166.855584373</v>
      </c>
      <c r="L337" s="3285">
        <v>0</v>
      </c>
      <c r="M337" s="3285">
        <f t="shared" si="17"/>
        <v>1023166.855584373</v>
      </c>
      <c r="N337" s="3285"/>
      <c r="O337" s="3290"/>
    </row>
    <row r="338" spans="1:15" s="1972" customFormat="1" ht="16.5" customHeight="1">
      <c r="A338" s="2121">
        <v>324</v>
      </c>
      <c r="B338" s="2121">
        <v>40</v>
      </c>
      <c r="C338" s="3283"/>
      <c r="D338" s="3289" t="s">
        <v>989</v>
      </c>
      <c r="E338" s="3289" t="s">
        <v>40</v>
      </c>
      <c r="F338" s="3285">
        <v>389833.52225103998</v>
      </c>
      <c r="G338" s="3285"/>
      <c r="H338" s="3285">
        <v>633333.33333333302</v>
      </c>
      <c r="I338" s="3285">
        <v>0</v>
      </c>
      <c r="J338" s="3285">
        <v>0</v>
      </c>
      <c r="K338" s="3285">
        <f t="shared" si="18"/>
        <v>1023166.855584373</v>
      </c>
      <c r="L338" s="3285">
        <v>0</v>
      </c>
      <c r="M338" s="3285">
        <f t="shared" si="17"/>
        <v>1023166.855584373</v>
      </c>
      <c r="N338" s="3285"/>
      <c r="O338" s="3290"/>
    </row>
    <row r="339" spans="1:15" s="1972" customFormat="1" ht="16.5" customHeight="1">
      <c r="A339" s="2121">
        <v>325</v>
      </c>
      <c r="B339" s="2121">
        <v>41</v>
      </c>
      <c r="C339" s="3283"/>
      <c r="D339" s="3289" t="s">
        <v>1467</v>
      </c>
      <c r="E339" s="3289" t="s">
        <v>40</v>
      </c>
      <c r="F339" s="3285">
        <v>389833.52225103998</v>
      </c>
      <c r="G339" s="3285"/>
      <c r="H339" s="3285">
        <v>633333.33333333302</v>
      </c>
      <c r="I339" s="3285">
        <v>0</v>
      </c>
      <c r="J339" s="3285">
        <v>0</v>
      </c>
      <c r="K339" s="3285">
        <f t="shared" si="18"/>
        <v>1023166.855584373</v>
      </c>
      <c r="L339" s="3285">
        <v>0</v>
      </c>
      <c r="M339" s="3285">
        <f t="shared" si="17"/>
        <v>1023166.855584373</v>
      </c>
      <c r="N339" s="3285"/>
      <c r="O339" s="3290"/>
    </row>
    <row r="340" spans="1:15" s="1972" customFormat="1" ht="16.5" customHeight="1">
      <c r="A340" s="2121">
        <v>326</v>
      </c>
      <c r="B340" s="2121">
        <v>42</v>
      </c>
      <c r="C340" s="3283"/>
      <c r="D340" s="3289" t="s">
        <v>1468</v>
      </c>
      <c r="E340" s="3289" t="s">
        <v>40</v>
      </c>
      <c r="F340" s="3285">
        <v>757409.63326765609</v>
      </c>
      <c r="G340" s="3285"/>
      <c r="H340" s="3285">
        <v>375000</v>
      </c>
      <c r="I340" s="3285">
        <v>0</v>
      </c>
      <c r="J340" s="3285">
        <v>0</v>
      </c>
      <c r="K340" s="3285">
        <f t="shared" si="18"/>
        <v>1132409.633267656</v>
      </c>
      <c r="L340" s="3285">
        <v>0</v>
      </c>
      <c r="M340" s="3285">
        <f t="shared" si="17"/>
        <v>1132409.633267656</v>
      </c>
      <c r="N340" s="3285"/>
      <c r="O340" s="3290"/>
    </row>
    <row r="341" spans="1:15" s="1972" customFormat="1" ht="16.5" customHeight="1">
      <c r="A341" s="2121">
        <v>327</v>
      </c>
      <c r="B341" s="2121">
        <v>43</v>
      </c>
      <c r="C341" s="3283"/>
      <c r="D341" s="3289" t="s">
        <v>1469</v>
      </c>
      <c r="E341" s="3289" t="s">
        <v>40</v>
      </c>
      <c r="F341" s="3285">
        <v>757409.63326765609</v>
      </c>
      <c r="G341" s="3285"/>
      <c r="H341" s="3285">
        <v>375000</v>
      </c>
      <c r="I341" s="3285">
        <v>0</v>
      </c>
      <c r="J341" s="3285">
        <v>0</v>
      </c>
      <c r="K341" s="3285">
        <f t="shared" si="18"/>
        <v>1132409.633267656</v>
      </c>
      <c r="L341" s="3285">
        <v>0</v>
      </c>
      <c r="M341" s="3285">
        <f t="shared" si="17"/>
        <v>1132409.633267656</v>
      </c>
      <c r="N341" s="3285"/>
      <c r="O341" s="3290"/>
    </row>
    <row r="342" spans="1:15" s="1972" customFormat="1" ht="16.5" customHeight="1">
      <c r="A342" s="2121">
        <v>328</v>
      </c>
      <c r="B342" s="2121">
        <v>44</v>
      </c>
      <c r="C342" s="3283"/>
      <c r="D342" s="3289" t="s">
        <v>1470</v>
      </c>
      <c r="E342" s="3289" t="s">
        <v>40</v>
      </c>
      <c r="F342" s="3285">
        <v>757409.63326765609</v>
      </c>
      <c r="G342" s="3285"/>
      <c r="H342" s="3285">
        <v>375000</v>
      </c>
      <c r="I342" s="3285">
        <v>0</v>
      </c>
      <c r="J342" s="3285">
        <v>0</v>
      </c>
      <c r="K342" s="3285">
        <f t="shared" si="18"/>
        <v>1132409.633267656</v>
      </c>
      <c r="L342" s="3285">
        <v>0</v>
      </c>
      <c r="M342" s="3285">
        <f t="shared" si="17"/>
        <v>1132409.633267656</v>
      </c>
      <c r="N342" s="3285"/>
      <c r="O342" s="3290"/>
    </row>
    <row r="343" spans="1:15" s="1972" customFormat="1" ht="16.5" customHeight="1">
      <c r="A343" s="2121">
        <v>329</v>
      </c>
      <c r="B343" s="2121">
        <v>45</v>
      </c>
      <c r="C343" s="3283"/>
      <c r="D343" s="3289" t="s">
        <v>1471</v>
      </c>
      <c r="E343" s="3289" t="s">
        <v>40</v>
      </c>
      <c r="F343" s="3285">
        <v>757409.63326765609</v>
      </c>
      <c r="G343" s="3285"/>
      <c r="H343" s="3285">
        <v>375000</v>
      </c>
      <c r="I343" s="3285">
        <v>0</v>
      </c>
      <c r="J343" s="3285">
        <v>0</v>
      </c>
      <c r="K343" s="3285">
        <f t="shared" si="18"/>
        <v>1132409.633267656</v>
      </c>
      <c r="L343" s="3285">
        <v>0</v>
      </c>
      <c r="M343" s="3285">
        <f t="shared" si="17"/>
        <v>1132409.633267656</v>
      </c>
      <c r="N343" s="3285"/>
      <c r="O343" s="3290"/>
    </row>
    <row r="344" spans="1:15" s="1972" customFormat="1" ht="16.5" customHeight="1">
      <c r="A344" s="2121">
        <v>330</v>
      </c>
      <c r="B344" s="2121">
        <v>46</v>
      </c>
      <c r="C344" s="3283"/>
      <c r="D344" s="3289" t="s">
        <v>1472</v>
      </c>
      <c r="E344" s="3289" t="s">
        <v>40</v>
      </c>
      <c r="F344" s="3285">
        <v>757409.63326765609</v>
      </c>
      <c r="G344" s="3285"/>
      <c r="H344" s="3285">
        <v>375000</v>
      </c>
      <c r="I344" s="3285">
        <v>0</v>
      </c>
      <c r="J344" s="3285">
        <v>0</v>
      </c>
      <c r="K344" s="3285">
        <f t="shared" si="18"/>
        <v>1132409.633267656</v>
      </c>
      <c r="L344" s="3285">
        <v>0</v>
      </c>
      <c r="M344" s="3285">
        <f t="shared" si="17"/>
        <v>1132409.633267656</v>
      </c>
      <c r="N344" s="3285"/>
      <c r="O344" s="3290"/>
    </row>
    <row r="345" spans="1:15" s="1972" customFormat="1" ht="16.5" customHeight="1">
      <c r="A345" s="2121">
        <v>331</v>
      </c>
      <c r="B345" s="2121">
        <v>47</v>
      </c>
      <c r="C345" s="3283"/>
      <c r="D345" s="3289" t="s">
        <v>1473</v>
      </c>
      <c r="E345" s="3289" t="s">
        <v>40</v>
      </c>
      <c r="F345" s="3285">
        <v>757409.63326765609</v>
      </c>
      <c r="G345" s="3285"/>
      <c r="H345" s="3285">
        <v>375000</v>
      </c>
      <c r="I345" s="3285">
        <v>0</v>
      </c>
      <c r="J345" s="3285">
        <v>0</v>
      </c>
      <c r="K345" s="3285">
        <f t="shared" si="18"/>
        <v>1132409.633267656</v>
      </c>
      <c r="L345" s="3285">
        <v>0</v>
      </c>
      <c r="M345" s="3285">
        <f t="shared" si="17"/>
        <v>1132409.633267656</v>
      </c>
      <c r="N345" s="3285"/>
      <c r="O345" s="3290"/>
    </row>
    <row r="346" spans="1:15" s="1972" customFormat="1" ht="16.5" customHeight="1">
      <c r="A346" s="2121">
        <v>332</v>
      </c>
      <c r="B346" s="2121">
        <v>48</v>
      </c>
      <c r="C346" s="3283"/>
      <c r="D346" s="3289" t="s">
        <v>1474</v>
      </c>
      <c r="E346" s="3289" t="s">
        <v>40</v>
      </c>
      <c r="F346" s="3285">
        <v>757409.63326765609</v>
      </c>
      <c r="G346" s="3285"/>
      <c r="H346" s="3285">
        <v>375000</v>
      </c>
      <c r="I346" s="3285">
        <v>0</v>
      </c>
      <c r="J346" s="3285">
        <v>0</v>
      </c>
      <c r="K346" s="3285">
        <f t="shared" si="18"/>
        <v>1132409.633267656</v>
      </c>
      <c r="L346" s="3285">
        <v>0</v>
      </c>
      <c r="M346" s="3285">
        <f t="shared" si="17"/>
        <v>1132409.633267656</v>
      </c>
      <c r="N346" s="3285"/>
      <c r="O346" s="3290"/>
    </row>
    <row r="347" spans="1:15" s="1972" customFormat="1" ht="16.5" customHeight="1">
      <c r="A347" s="2121">
        <v>333</v>
      </c>
      <c r="B347" s="2121">
        <v>49</v>
      </c>
      <c r="C347" s="3283"/>
      <c r="D347" s="3289" t="s">
        <v>1475</v>
      </c>
      <c r="E347" s="3289" t="s">
        <v>40</v>
      </c>
      <c r="F347" s="3285">
        <v>757409.63326765609</v>
      </c>
      <c r="G347" s="3285"/>
      <c r="H347" s="3285">
        <v>375000</v>
      </c>
      <c r="I347" s="3285">
        <v>0</v>
      </c>
      <c r="J347" s="3285">
        <v>0</v>
      </c>
      <c r="K347" s="3285">
        <f t="shared" si="18"/>
        <v>1132409.633267656</v>
      </c>
      <c r="L347" s="3285">
        <v>0</v>
      </c>
      <c r="M347" s="3285">
        <f t="shared" si="17"/>
        <v>1132409.633267656</v>
      </c>
      <c r="N347" s="3285"/>
      <c r="O347" s="3290"/>
    </row>
    <row r="348" spans="1:15" s="1972" customFormat="1" ht="16.5" customHeight="1">
      <c r="A348" s="2121">
        <v>334</v>
      </c>
      <c r="B348" s="2121">
        <v>50</v>
      </c>
      <c r="C348" s="3283"/>
      <c r="D348" s="3289" t="s">
        <v>1476</v>
      </c>
      <c r="E348" s="3289" t="s">
        <v>40</v>
      </c>
      <c r="F348" s="3285">
        <v>834523.07553658599</v>
      </c>
      <c r="G348" s="3285"/>
      <c r="H348" s="3285">
        <v>428571.42857142858</v>
      </c>
      <c r="I348" s="3285">
        <v>0</v>
      </c>
      <c r="J348" s="3285">
        <v>0</v>
      </c>
      <c r="K348" s="3285">
        <f t="shared" si="18"/>
        <v>1263094.5041080145</v>
      </c>
      <c r="L348" s="3285">
        <v>0</v>
      </c>
      <c r="M348" s="3285">
        <f t="shared" si="17"/>
        <v>1263094.5041080145</v>
      </c>
      <c r="N348" s="3285"/>
      <c r="O348" s="3290"/>
    </row>
    <row r="349" spans="1:15" s="1972" customFormat="1" ht="16.5" customHeight="1">
      <c r="A349" s="2121">
        <v>335</v>
      </c>
      <c r="B349" s="2121">
        <v>51</v>
      </c>
      <c r="C349" s="3283"/>
      <c r="D349" s="3289" t="s">
        <v>1529</v>
      </c>
      <c r="E349" s="3289" t="s">
        <v>40</v>
      </c>
      <c r="F349" s="3285">
        <v>834523.07553658599</v>
      </c>
      <c r="G349" s="3285"/>
      <c r="H349" s="3285">
        <v>428571.42857142858</v>
      </c>
      <c r="I349" s="3285">
        <v>0</v>
      </c>
      <c r="J349" s="3285">
        <v>0</v>
      </c>
      <c r="K349" s="3285">
        <f t="shared" si="18"/>
        <v>1263094.5041080145</v>
      </c>
      <c r="L349" s="3285">
        <v>0</v>
      </c>
      <c r="M349" s="3285">
        <f t="shared" si="17"/>
        <v>1263094.5041080145</v>
      </c>
      <c r="N349" s="3285"/>
      <c r="O349" s="3290"/>
    </row>
    <row r="350" spans="1:15" s="1972" customFormat="1" ht="16.5" customHeight="1">
      <c r="A350" s="2121">
        <v>336</v>
      </c>
      <c r="B350" s="2121">
        <v>52</v>
      </c>
      <c r="C350" s="3283"/>
      <c r="D350" s="3289" t="s">
        <v>1530</v>
      </c>
      <c r="E350" s="3289" t="s">
        <v>40</v>
      </c>
      <c r="F350" s="3285">
        <v>834523.07553658599</v>
      </c>
      <c r="G350" s="3285"/>
      <c r="H350" s="3285">
        <v>428571.42857142858</v>
      </c>
      <c r="I350" s="3285">
        <v>0</v>
      </c>
      <c r="J350" s="3285">
        <v>0</v>
      </c>
      <c r="K350" s="3285">
        <f t="shared" si="18"/>
        <v>1263094.5041080145</v>
      </c>
      <c r="L350" s="3285">
        <v>0</v>
      </c>
      <c r="M350" s="3285">
        <f t="shared" si="17"/>
        <v>1263094.5041080145</v>
      </c>
      <c r="N350" s="3285"/>
      <c r="O350" s="3290"/>
    </row>
    <row r="351" spans="1:15" s="1972" customFormat="1" ht="16.5" customHeight="1">
      <c r="A351" s="2121">
        <v>337</v>
      </c>
      <c r="B351" s="2121">
        <v>53</v>
      </c>
      <c r="C351" s="3283"/>
      <c r="D351" s="3289" t="s">
        <v>1531</v>
      </c>
      <c r="E351" s="3289" t="s">
        <v>40</v>
      </c>
      <c r="F351" s="3285">
        <v>834523.07553658599</v>
      </c>
      <c r="G351" s="3285"/>
      <c r="H351" s="3285">
        <v>428571.42857142858</v>
      </c>
      <c r="I351" s="3285">
        <v>0</v>
      </c>
      <c r="J351" s="3285">
        <v>0</v>
      </c>
      <c r="K351" s="3285">
        <f t="shared" si="18"/>
        <v>1263094.5041080145</v>
      </c>
      <c r="L351" s="3285">
        <v>0</v>
      </c>
      <c r="M351" s="3285">
        <f t="shared" si="17"/>
        <v>1263094.5041080145</v>
      </c>
      <c r="N351" s="3285"/>
      <c r="O351" s="3290"/>
    </row>
    <row r="352" spans="1:15" s="1972" customFormat="1" ht="16.5" customHeight="1">
      <c r="A352" s="2121">
        <v>338</v>
      </c>
      <c r="B352" s="2121">
        <v>54</v>
      </c>
      <c r="C352" s="3283"/>
      <c r="D352" s="3289" t="s">
        <v>1532</v>
      </c>
      <c r="E352" s="3289" t="s">
        <v>40</v>
      </c>
      <c r="F352" s="3285">
        <v>834522.57553658599</v>
      </c>
      <c r="G352" s="3285"/>
      <c r="H352" s="3285">
        <v>428571.42857142858</v>
      </c>
      <c r="I352" s="3285">
        <v>0</v>
      </c>
      <c r="J352" s="3285">
        <v>0</v>
      </c>
      <c r="K352" s="3285">
        <f t="shared" si="18"/>
        <v>1263094.0041080145</v>
      </c>
      <c r="L352" s="3285">
        <v>0</v>
      </c>
      <c r="M352" s="3285">
        <f t="shared" si="17"/>
        <v>1263094.0041080145</v>
      </c>
      <c r="N352" s="3285"/>
      <c r="O352" s="3290"/>
    </row>
    <row r="353" spans="1:15" s="1972" customFormat="1" ht="16.5" customHeight="1">
      <c r="A353" s="2121">
        <v>339</v>
      </c>
      <c r="B353" s="2121">
        <v>55</v>
      </c>
      <c r="C353" s="3283"/>
      <c r="D353" s="3289" t="s">
        <v>1533</v>
      </c>
      <c r="E353" s="3289" t="s">
        <v>40</v>
      </c>
      <c r="F353" s="3285">
        <v>731942.57553658646</v>
      </c>
      <c r="G353" s="3285"/>
      <c r="H353" s="3285">
        <v>428571.42857142858</v>
      </c>
      <c r="I353" s="3285">
        <v>0</v>
      </c>
      <c r="J353" s="3285">
        <v>0</v>
      </c>
      <c r="K353" s="3285">
        <f t="shared" si="18"/>
        <v>1160514.004108015</v>
      </c>
      <c r="L353" s="3285">
        <v>0</v>
      </c>
      <c r="M353" s="3285">
        <f t="shared" si="17"/>
        <v>1160514.004108015</v>
      </c>
      <c r="N353" s="3285"/>
      <c r="O353" s="3290"/>
    </row>
    <row r="354" spans="1:15" s="1972" customFormat="1" ht="16.5" customHeight="1">
      <c r="A354" s="2121">
        <v>340</v>
      </c>
      <c r="B354" s="2121">
        <v>56</v>
      </c>
      <c r="C354" s="3283"/>
      <c r="D354" s="3289" t="s">
        <v>1534</v>
      </c>
      <c r="E354" s="3289" t="s">
        <v>40</v>
      </c>
      <c r="F354" s="3285">
        <v>731942.57553658646</v>
      </c>
      <c r="G354" s="3285"/>
      <c r="H354" s="3285">
        <v>428571.42857142858</v>
      </c>
      <c r="I354" s="3285">
        <v>0</v>
      </c>
      <c r="J354" s="3285">
        <v>0</v>
      </c>
      <c r="K354" s="3285">
        <f t="shared" si="18"/>
        <v>1160514.004108015</v>
      </c>
      <c r="L354" s="3285">
        <v>0</v>
      </c>
      <c r="M354" s="3285">
        <f t="shared" si="17"/>
        <v>1160514.004108015</v>
      </c>
      <c r="N354" s="3285"/>
      <c r="O354" s="3290"/>
    </row>
    <row r="355" spans="1:15" s="1972" customFormat="1" ht="16.5" customHeight="1">
      <c r="A355" s="2121">
        <v>341</v>
      </c>
      <c r="B355" s="2121">
        <v>57</v>
      </c>
      <c r="C355" s="3291"/>
      <c r="D355" s="3289" t="s">
        <v>1535</v>
      </c>
      <c r="E355" s="3289" t="s">
        <v>40</v>
      </c>
      <c r="F355" s="3285">
        <v>703090.68528747454</v>
      </c>
      <c r="G355" s="3285"/>
      <c r="H355" s="3285">
        <v>480000</v>
      </c>
      <c r="I355" s="3285">
        <v>0</v>
      </c>
      <c r="J355" s="3285">
        <v>0</v>
      </c>
      <c r="K355" s="3285">
        <f t="shared" si="18"/>
        <v>1183090.6852874747</v>
      </c>
      <c r="L355" s="3285">
        <v>0</v>
      </c>
      <c r="M355" s="3285">
        <f t="shared" si="17"/>
        <v>1183090.6852874747</v>
      </c>
      <c r="N355" s="3285"/>
      <c r="O355" s="3290"/>
    </row>
    <row r="356" spans="1:15" s="1972" customFormat="1" ht="16.5" customHeight="1">
      <c r="A356" s="2121">
        <v>342</v>
      </c>
      <c r="B356" s="2121">
        <v>58</v>
      </c>
      <c r="C356" s="3291"/>
      <c r="D356" s="3289" t="s">
        <v>1536</v>
      </c>
      <c r="E356" s="3289" t="s">
        <v>40</v>
      </c>
      <c r="F356" s="3285">
        <v>703090.68528747454</v>
      </c>
      <c r="G356" s="3285"/>
      <c r="H356" s="3285">
        <v>480000</v>
      </c>
      <c r="I356" s="3285">
        <v>0</v>
      </c>
      <c r="J356" s="3285">
        <v>0</v>
      </c>
      <c r="K356" s="3285">
        <f t="shared" si="18"/>
        <v>1183090.6852874747</v>
      </c>
      <c r="L356" s="3285">
        <v>0</v>
      </c>
      <c r="M356" s="3285">
        <f t="shared" si="17"/>
        <v>1183090.6852874747</v>
      </c>
      <c r="N356" s="3285"/>
      <c r="O356" s="3290"/>
    </row>
    <row r="357" spans="1:15" s="1972" customFormat="1" ht="16.5" customHeight="1">
      <c r="A357" s="2121">
        <v>343</v>
      </c>
      <c r="B357" s="2121">
        <v>59</v>
      </c>
      <c r="C357" s="3291"/>
      <c r="D357" s="3289" t="s">
        <v>1537</v>
      </c>
      <c r="E357" s="3289" t="s">
        <v>40</v>
      </c>
      <c r="F357" s="3285">
        <v>703090.68528747454</v>
      </c>
      <c r="G357" s="3285"/>
      <c r="H357" s="3285">
        <v>480000</v>
      </c>
      <c r="I357" s="3285">
        <v>0</v>
      </c>
      <c r="J357" s="3285">
        <v>0</v>
      </c>
      <c r="K357" s="3285">
        <f t="shared" si="18"/>
        <v>1183090.6852874747</v>
      </c>
      <c r="L357" s="3285">
        <v>0</v>
      </c>
      <c r="M357" s="3285">
        <f t="shared" si="17"/>
        <v>1183090.6852874747</v>
      </c>
      <c r="N357" s="3285"/>
      <c r="O357" s="3290"/>
    </row>
    <row r="358" spans="1:15" s="1972" customFormat="1" ht="16.5" customHeight="1">
      <c r="A358" s="2121">
        <v>344</v>
      </c>
      <c r="B358" s="2121">
        <v>60</v>
      </c>
      <c r="C358" s="3291"/>
      <c r="D358" s="3289" t="s">
        <v>1538</v>
      </c>
      <c r="E358" s="3289" t="s">
        <v>40</v>
      </c>
      <c r="F358" s="3285">
        <v>703090.68528747454</v>
      </c>
      <c r="G358" s="3285"/>
      <c r="H358" s="3285">
        <v>480000</v>
      </c>
      <c r="I358" s="3285">
        <v>0</v>
      </c>
      <c r="J358" s="3285">
        <v>0</v>
      </c>
      <c r="K358" s="3285">
        <f t="shared" si="18"/>
        <v>1183090.6852874747</v>
      </c>
      <c r="L358" s="3285">
        <v>0</v>
      </c>
      <c r="M358" s="3285">
        <f t="shared" si="17"/>
        <v>1183090.6852874747</v>
      </c>
      <c r="N358" s="3285"/>
      <c r="O358" s="3290"/>
    </row>
    <row r="359" spans="1:15" s="1972" customFormat="1" ht="16.5" customHeight="1">
      <c r="A359" s="2121">
        <v>345</v>
      </c>
      <c r="B359" s="2121">
        <v>61</v>
      </c>
      <c r="C359" s="3291"/>
      <c r="D359" s="3289" t="s">
        <v>1413</v>
      </c>
      <c r="E359" s="3289" t="s">
        <v>40</v>
      </c>
      <c r="F359" s="3285"/>
      <c r="G359" s="3285">
        <f>803090.685287475</f>
        <v>803090.685287475</v>
      </c>
      <c r="H359" s="3285">
        <v>480000</v>
      </c>
      <c r="I359" s="3285">
        <v>0</v>
      </c>
      <c r="J359" s="3285">
        <v>0</v>
      </c>
      <c r="K359" s="3285">
        <f t="shared" si="18"/>
        <v>1283090.6852874751</v>
      </c>
      <c r="L359" s="3285">
        <v>0</v>
      </c>
      <c r="M359" s="3285">
        <f t="shared" si="17"/>
        <v>1283090.6852874751</v>
      </c>
      <c r="N359" s="3285"/>
      <c r="O359" s="3290"/>
    </row>
    <row r="360" spans="1:15" s="1972" customFormat="1" ht="16.5" customHeight="1">
      <c r="A360" s="2121">
        <v>346</v>
      </c>
      <c r="B360" s="2121">
        <v>62</v>
      </c>
      <c r="C360" s="3291"/>
      <c r="D360" s="3289" t="s">
        <v>1414</v>
      </c>
      <c r="E360" s="3289" t="s">
        <v>40</v>
      </c>
      <c r="F360" s="3285"/>
      <c r="G360" s="3285">
        <v>978503.549779188</v>
      </c>
      <c r="H360" s="3285">
        <v>300000</v>
      </c>
      <c r="I360" s="3285">
        <v>0</v>
      </c>
      <c r="J360" s="3285">
        <v>0</v>
      </c>
      <c r="K360" s="3285">
        <f t="shared" si="18"/>
        <v>1278503.5497791879</v>
      </c>
      <c r="L360" s="3285">
        <v>0</v>
      </c>
      <c r="M360" s="3285">
        <f t="shared" si="17"/>
        <v>1278503.5497791879</v>
      </c>
      <c r="N360" s="3285"/>
      <c r="O360" s="3290"/>
    </row>
    <row r="361" spans="1:15" s="1972" customFormat="1" ht="16.5" customHeight="1">
      <c r="A361" s="2121">
        <v>347</v>
      </c>
      <c r="B361" s="2121">
        <v>63</v>
      </c>
      <c r="C361" s="3291"/>
      <c r="D361" s="3289" t="s">
        <v>1415</v>
      </c>
      <c r="E361" s="3289" t="s">
        <v>40</v>
      </c>
      <c r="F361" s="3285"/>
      <c r="G361" s="3285">
        <v>978503.549779188</v>
      </c>
      <c r="H361" s="3285">
        <v>300000</v>
      </c>
      <c r="I361" s="3285">
        <v>0</v>
      </c>
      <c r="J361" s="3285">
        <v>0</v>
      </c>
      <c r="K361" s="3285">
        <f t="shared" si="18"/>
        <v>1278503.5497791879</v>
      </c>
      <c r="L361" s="3285">
        <v>0</v>
      </c>
      <c r="M361" s="3285">
        <f t="shared" si="17"/>
        <v>1278503.5497791879</v>
      </c>
      <c r="N361" s="3285"/>
      <c r="O361" s="3290"/>
    </row>
    <row r="362" spans="1:15" s="1972" customFormat="1" ht="16.5" customHeight="1">
      <c r="A362" s="2121">
        <v>348</v>
      </c>
      <c r="B362" s="2121">
        <v>64</v>
      </c>
      <c r="C362" s="3291"/>
      <c r="D362" s="3289" t="s">
        <v>1416</v>
      </c>
      <c r="E362" s="3289" t="s">
        <v>40</v>
      </c>
      <c r="F362" s="3285"/>
      <c r="G362" s="3285">
        <v>978503.549779188</v>
      </c>
      <c r="H362" s="3285">
        <v>300000</v>
      </c>
      <c r="I362" s="3285">
        <v>0</v>
      </c>
      <c r="J362" s="3285">
        <v>0</v>
      </c>
      <c r="K362" s="3285">
        <f t="shared" si="18"/>
        <v>1278503.5497791879</v>
      </c>
      <c r="L362" s="3285">
        <v>0</v>
      </c>
      <c r="M362" s="3285">
        <f t="shared" si="17"/>
        <v>1278503.5497791879</v>
      </c>
      <c r="N362" s="3285"/>
      <c r="O362" s="3290"/>
    </row>
    <row r="363" spans="1:15" s="1972" customFormat="1" ht="16.5" customHeight="1">
      <c r="A363" s="2121">
        <v>349</v>
      </c>
      <c r="B363" s="2121">
        <v>65</v>
      </c>
      <c r="C363" s="3291"/>
      <c r="D363" s="3289" t="s">
        <v>1426</v>
      </c>
      <c r="E363" s="3289" t="s">
        <v>40</v>
      </c>
      <c r="F363" s="3285"/>
      <c r="G363" s="3285">
        <v>978503.549779188</v>
      </c>
      <c r="H363" s="3285">
        <v>300000</v>
      </c>
      <c r="I363" s="3285">
        <v>0</v>
      </c>
      <c r="J363" s="3285">
        <v>0</v>
      </c>
      <c r="K363" s="3285">
        <f t="shared" ref="K363:K386" si="19">H363+G363+F363</f>
        <v>1278503.5497791879</v>
      </c>
      <c r="L363" s="3285">
        <v>0</v>
      </c>
      <c r="M363" s="3285">
        <f t="shared" si="17"/>
        <v>1278503.5497791879</v>
      </c>
      <c r="N363" s="3285"/>
      <c r="O363" s="3290"/>
    </row>
    <row r="364" spans="1:15" s="1972" customFormat="1" ht="16.5" customHeight="1">
      <c r="A364" s="2121">
        <v>350</v>
      </c>
      <c r="B364" s="2121">
        <v>66</v>
      </c>
      <c r="C364" s="3291"/>
      <c r="D364" s="3289" t="s">
        <v>1427</v>
      </c>
      <c r="E364" s="3289" t="s">
        <v>40</v>
      </c>
      <c r="F364" s="3285"/>
      <c r="G364" s="3285">
        <v>978503.549779188</v>
      </c>
      <c r="H364" s="3285">
        <v>300000</v>
      </c>
      <c r="I364" s="3285">
        <v>0</v>
      </c>
      <c r="J364" s="3285">
        <v>0</v>
      </c>
      <c r="K364" s="3285">
        <f t="shared" si="19"/>
        <v>1278503.5497791879</v>
      </c>
      <c r="L364" s="3285">
        <v>0</v>
      </c>
      <c r="M364" s="3285">
        <f t="shared" ref="M364:M386" si="20">K364</f>
        <v>1278503.5497791879</v>
      </c>
      <c r="N364" s="3285"/>
      <c r="O364" s="3290"/>
    </row>
    <row r="365" spans="1:15" s="1972" customFormat="1" ht="16.5" customHeight="1">
      <c r="A365" s="2121">
        <v>351</v>
      </c>
      <c r="B365" s="2121">
        <v>67</v>
      </c>
      <c r="C365" s="3291"/>
      <c r="D365" s="3289" t="s">
        <v>1428</v>
      </c>
      <c r="E365" s="3289" t="s">
        <v>40</v>
      </c>
      <c r="F365" s="3285"/>
      <c r="G365" s="3285">
        <v>978503.549779188</v>
      </c>
      <c r="H365" s="3285">
        <v>300000</v>
      </c>
      <c r="I365" s="3285">
        <v>0</v>
      </c>
      <c r="J365" s="3285">
        <v>0</v>
      </c>
      <c r="K365" s="3285">
        <f t="shared" si="19"/>
        <v>1278503.5497791879</v>
      </c>
      <c r="L365" s="3285">
        <v>0</v>
      </c>
      <c r="M365" s="3285">
        <f t="shared" si="20"/>
        <v>1278503.5497791879</v>
      </c>
      <c r="N365" s="3285"/>
      <c r="O365" s="3290"/>
    </row>
    <row r="366" spans="1:15" s="1972" customFormat="1" ht="16.5" customHeight="1">
      <c r="A366" s="2121">
        <v>352</v>
      </c>
      <c r="B366" s="2121">
        <v>68</v>
      </c>
      <c r="C366" s="3291"/>
      <c r="D366" s="3289" t="s">
        <v>1429</v>
      </c>
      <c r="E366" s="3289" t="s">
        <v>40</v>
      </c>
      <c r="F366" s="3285"/>
      <c r="G366" s="3285">
        <v>978503.549779188</v>
      </c>
      <c r="H366" s="3285">
        <v>300000</v>
      </c>
      <c r="I366" s="3285">
        <v>0</v>
      </c>
      <c r="J366" s="3285">
        <v>0</v>
      </c>
      <c r="K366" s="3285">
        <f t="shared" si="19"/>
        <v>1278503.5497791879</v>
      </c>
      <c r="L366" s="3285">
        <v>0</v>
      </c>
      <c r="M366" s="3285">
        <f t="shared" si="20"/>
        <v>1278503.5497791879</v>
      </c>
      <c r="N366" s="3285"/>
      <c r="O366" s="3290"/>
    </row>
    <row r="367" spans="1:15" s="1972" customFormat="1" ht="16.5" customHeight="1">
      <c r="A367" s="2121">
        <v>353</v>
      </c>
      <c r="B367" s="2121">
        <v>69</v>
      </c>
      <c r="C367" s="3291"/>
      <c r="D367" s="3289" t="s">
        <v>1430</v>
      </c>
      <c r="E367" s="3289" t="s">
        <v>40</v>
      </c>
      <c r="F367" s="3285"/>
      <c r="G367" s="3285">
        <v>978503.549779188</v>
      </c>
      <c r="H367" s="3285">
        <v>300000</v>
      </c>
      <c r="I367" s="3285">
        <v>0</v>
      </c>
      <c r="J367" s="3285">
        <v>0</v>
      </c>
      <c r="K367" s="3285">
        <f t="shared" si="19"/>
        <v>1278503.5497791879</v>
      </c>
      <c r="L367" s="3285">
        <v>0</v>
      </c>
      <c r="M367" s="3285">
        <f t="shared" si="20"/>
        <v>1278503.5497791879</v>
      </c>
      <c r="N367" s="3285"/>
      <c r="O367" s="3290"/>
    </row>
    <row r="368" spans="1:15" s="1972" customFormat="1" ht="16.5" customHeight="1">
      <c r="A368" s="2121">
        <v>354</v>
      </c>
      <c r="B368" s="2121">
        <v>70</v>
      </c>
      <c r="C368" s="3291"/>
      <c r="D368" s="3289" t="s">
        <v>1431</v>
      </c>
      <c r="E368" s="3289" t="s">
        <v>40</v>
      </c>
      <c r="F368" s="3285"/>
      <c r="G368" s="3285">
        <v>978503.549779188</v>
      </c>
      <c r="H368" s="3285">
        <v>300000</v>
      </c>
      <c r="I368" s="3285">
        <v>0</v>
      </c>
      <c r="J368" s="3285">
        <v>0</v>
      </c>
      <c r="K368" s="3285">
        <f t="shared" si="19"/>
        <v>1278503.5497791879</v>
      </c>
      <c r="L368" s="3285">
        <v>0</v>
      </c>
      <c r="M368" s="3285">
        <f t="shared" si="20"/>
        <v>1278503.5497791879</v>
      </c>
      <c r="N368" s="3285"/>
      <c r="O368" s="3290"/>
    </row>
    <row r="369" spans="1:15" s="1972" customFormat="1" ht="16.5" customHeight="1">
      <c r="A369" s="2121">
        <v>355</v>
      </c>
      <c r="B369" s="2121">
        <v>71</v>
      </c>
      <c r="C369" s="3291"/>
      <c r="D369" s="3289" t="s">
        <v>1432</v>
      </c>
      <c r="E369" s="3289" t="s">
        <v>40</v>
      </c>
      <c r="F369" s="3285"/>
      <c r="G369" s="3285">
        <v>835709.17365168117</v>
      </c>
      <c r="H369" s="3285">
        <v>414285.71428571426</v>
      </c>
      <c r="I369" s="3285">
        <v>0</v>
      </c>
      <c r="J369" s="3285">
        <v>0</v>
      </c>
      <c r="K369" s="3285">
        <f t="shared" si="19"/>
        <v>1249994.8879373954</v>
      </c>
      <c r="L369" s="3285">
        <v>0</v>
      </c>
      <c r="M369" s="3285">
        <f t="shared" si="20"/>
        <v>1249994.8879373954</v>
      </c>
      <c r="N369" s="3285"/>
      <c r="O369" s="3290"/>
    </row>
    <row r="370" spans="1:15" s="1972" customFormat="1" ht="16.5" customHeight="1">
      <c r="A370" s="2121">
        <v>356</v>
      </c>
      <c r="B370" s="2121">
        <v>72</v>
      </c>
      <c r="C370" s="3291"/>
      <c r="D370" s="3289" t="s">
        <v>1539</v>
      </c>
      <c r="E370" s="3289" t="s">
        <v>40</v>
      </c>
      <c r="F370" s="3285"/>
      <c r="G370" s="3285">
        <v>835709.17365168117</v>
      </c>
      <c r="H370" s="3285">
        <v>414285.71428571426</v>
      </c>
      <c r="I370" s="3285">
        <v>0</v>
      </c>
      <c r="J370" s="3285">
        <v>0</v>
      </c>
      <c r="K370" s="3285">
        <f t="shared" si="19"/>
        <v>1249994.8879373954</v>
      </c>
      <c r="L370" s="3285">
        <v>0</v>
      </c>
      <c r="M370" s="3285">
        <f t="shared" si="20"/>
        <v>1249994.8879373954</v>
      </c>
      <c r="N370" s="3285"/>
      <c r="O370" s="3290"/>
    </row>
    <row r="371" spans="1:15" s="1972" customFormat="1" ht="16.5" customHeight="1">
      <c r="A371" s="2121">
        <v>357</v>
      </c>
      <c r="B371" s="2121">
        <v>73</v>
      </c>
      <c r="C371" s="3291"/>
      <c r="D371" s="3289" t="s">
        <v>1460</v>
      </c>
      <c r="E371" s="3289" t="s">
        <v>40</v>
      </c>
      <c r="F371" s="3285"/>
      <c r="G371" s="3285">
        <v>835709.17365168117</v>
      </c>
      <c r="H371" s="3285">
        <v>414285.71428571426</v>
      </c>
      <c r="I371" s="3285">
        <v>0</v>
      </c>
      <c r="J371" s="3285">
        <v>0</v>
      </c>
      <c r="K371" s="3285">
        <f t="shared" si="19"/>
        <v>1249994.8879373954</v>
      </c>
      <c r="L371" s="3285">
        <v>0</v>
      </c>
      <c r="M371" s="3285">
        <f t="shared" si="20"/>
        <v>1249994.8879373954</v>
      </c>
      <c r="N371" s="3285"/>
      <c r="O371" s="3290"/>
    </row>
    <row r="372" spans="1:15" s="1972" customFormat="1" ht="16.5" customHeight="1">
      <c r="A372" s="2121">
        <v>358</v>
      </c>
      <c r="B372" s="2121">
        <v>74</v>
      </c>
      <c r="C372" s="3291"/>
      <c r="D372" s="3289" t="s">
        <v>1461</v>
      </c>
      <c r="E372" s="3289" t="s">
        <v>40</v>
      </c>
      <c r="F372" s="3285"/>
      <c r="G372" s="3285">
        <v>835709.17365168117</v>
      </c>
      <c r="H372" s="3285">
        <v>414285.71428571426</v>
      </c>
      <c r="I372" s="3285">
        <v>0</v>
      </c>
      <c r="J372" s="3285">
        <v>0</v>
      </c>
      <c r="K372" s="3285">
        <f t="shared" si="19"/>
        <v>1249994.8879373954</v>
      </c>
      <c r="L372" s="3285">
        <v>0</v>
      </c>
      <c r="M372" s="3285">
        <f t="shared" si="20"/>
        <v>1249994.8879373954</v>
      </c>
      <c r="N372" s="3285"/>
      <c r="O372" s="3290"/>
    </row>
    <row r="373" spans="1:15" s="1972" customFormat="1" ht="16.5" customHeight="1">
      <c r="A373" s="2121">
        <v>359</v>
      </c>
      <c r="B373" s="2121">
        <v>75</v>
      </c>
      <c r="C373" s="3291"/>
      <c r="D373" s="3289" t="s">
        <v>1462</v>
      </c>
      <c r="E373" s="3289" t="s">
        <v>40</v>
      </c>
      <c r="F373" s="3285"/>
      <c r="G373" s="3285">
        <v>835709.17365168117</v>
      </c>
      <c r="H373" s="3285">
        <v>414285.71428571426</v>
      </c>
      <c r="I373" s="3285">
        <v>0</v>
      </c>
      <c r="J373" s="3285">
        <v>0</v>
      </c>
      <c r="K373" s="3285">
        <f t="shared" si="19"/>
        <v>1249994.8879373954</v>
      </c>
      <c r="L373" s="3285">
        <v>0</v>
      </c>
      <c r="M373" s="3285">
        <f t="shared" si="20"/>
        <v>1249994.8879373954</v>
      </c>
      <c r="N373" s="3285"/>
      <c r="O373" s="3290"/>
    </row>
    <row r="374" spans="1:15" s="1972" customFormat="1" ht="16.5" customHeight="1">
      <c r="A374" s="2121">
        <v>360</v>
      </c>
      <c r="B374" s="2121">
        <v>76</v>
      </c>
      <c r="C374" s="3291"/>
      <c r="D374" s="3289" t="s">
        <v>1665</v>
      </c>
      <c r="E374" s="3289" t="s">
        <v>40</v>
      </c>
      <c r="F374" s="3285"/>
      <c r="G374" s="3285">
        <v>835709.17365168117</v>
      </c>
      <c r="H374" s="3285">
        <v>414285.71428571426</v>
      </c>
      <c r="I374" s="3285">
        <v>0</v>
      </c>
      <c r="J374" s="3285">
        <v>0</v>
      </c>
      <c r="K374" s="3285">
        <f t="shared" si="19"/>
        <v>1249994.8879373954</v>
      </c>
      <c r="L374" s="3285">
        <v>0</v>
      </c>
      <c r="M374" s="3285">
        <f t="shared" si="20"/>
        <v>1249994.8879373954</v>
      </c>
      <c r="N374" s="3285"/>
      <c r="O374" s="3290"/>
    </row>
    <row r="375" spans="1:15" s="1972" customFormat="1" ht="16.5" customHeight="1">
      <c r="A375" s="2121">
        <v>361</v>
      </c>
      <c r="B375" s="2121">
        <v>77</v>
      </c>
      <c r="C375" s="3291"/>
      <c r="D375" s="3289" t="s">
        <v>1666</v>
      </c>
      <c r="E375" s="3289" t="s">
        <v>40</v>
      </c>
      <c r="F375" s="3285"/>
      <c r="G375" s="3285">
        <v>835709.17365168117</v>
      </c>
      <c r="H375" s="3285">
        <v>414285.71428571426</v>
      </c>
      <c r="I375" s="3285">
        <v>0</v>
      </c>
      <c r="J375" s="3285">
        <v>0</v>
      </c>
      <c r="K375" s="3285">
        <f t="shared" si="19"/>
        <v>1249994.8879373954</v>
      </c>
      <c r="L375" s="3285">
        <v>0</v>
      </c>
      <c r="M375" s="3285">
        <f t="shared" si="20"/>
        <v>1249994.8879373954</v>
      </c>
      <c r="N375" s="3285"/>
      <c r="O375" s="3290"/>
    </row>
    <row r="376" spans="1:15" s="1972" customFormat="1" ht="16.5" customHeight="1">
      <c r="A376" s="2121">
        <v>362</v>
      </c>
      <c r="B376" s="2121">
        <v>78</v>
      </c>
      <c r="C376" s="3291"/>
      <c r="D376" s="3289" t="s">
        <v>1576</v>
      </c>
      <c r="E376" s="3289" t="s">
        <v>40</v>
      </c>
      <c r="F376" s="3285"/>
      <c r="G376" s="3285">
        <v>877358.26227102464</v>
      </c>
      <c r="H376" s="3285">
        <v>333333.33333333331</v>
      </c>
      <c r="I376" s="3285">
        <v>0</v>
      </c>
      <c r="J376" s="3285">
        <v>0</v>
      </c>
      <c r="K376" s="3285">
        <f t="shared" si="19"/>
        <v>1210691.595604358</v>
      </c>
      <c r="L376" s="3285">
        <v>0</v>
      </c>
      <c r="M376" s="3285">
        <f t="shared" si="20"/>
        <v>1210691.595604358</v>
      </c>
      <c r="N376" s="3285"/>
      <c r="O376" s="3290"/>
    </row>
    <row r="377" spans="1:15" s="1972" customFormat="1" ht="16.5" customHeight="1">
      <c r="A377" s="2121">
        <v>363</v>
      </c>
      <c r="B377" s="2121">
        <v>79</v>
      </c>
      <c r="C377" s="3291"/>
      <c r="D377" s="3289" t="s">
        <v>1667</v>
      </c>
      <c r="E377" s="3289" t="s">
        <v>40</v>
      </c>
      <c r="F377" s="3285"/>
      <c r="G377" s="3285">
        <v>877358.26227102464</v>
      </c>
      <c r="H377" s="3285">
        <v>333333.33333333331</v>
      </c>
      <c r="I377" s="3285">
        <v>0</v>
      </c>
      <c r="J377" s="3285">
        <v>0</v>
      </c>
      <c r="K377" s="3285">
        <f t="shared" si="19"/>
        <v>1210691.595604358</v>
      </c>
      <c r="L377" s="3285">
        <v>0</v>
      </c>
      <c r="M377" s="3285">
        <f t="shared" si="20"/>
        <v>1210691.595604358</v>
      </c>
      <c r="N377" s="3285"/>
      <c r="O377" s="3290"/>
    </row>
    <row r="378" spans="1:15" s="1972" customFormat="1" ht="16.5" customHeight="1">
      <c r="A378" s="2121">
        <v>364</v>
      </c>
      <c r="B378" s="2121">
        <v>80</v>
      </c>
      <c r="C378" s="3291"/>
      <c r="D378" s="3289" t="s">
        <v>1668</v>
      </c>
      <c r="E378" s="3289" t="s">
        <v>40</v>
      </c>
      <c r="F378" s="3285"/>
      <c r="G378" s="3285">
        <v>877358.26227102464</v>
      </c>
      <c r="H378" s="3285">
        <v>333333.33333333331</v>
      </c>
      <c r="I378" s="3285">
        <v>0</v>
      </c>
      <c r="J378" s="3285">
        <v>0</v>
      </c>
      <c r="K378" s="3285">
        <f t="shared" si="19"/>
        <v>1210691.595604358</v>
      </c>
      <c r="L378" s="3285">
        <v>0</v>
      </c>
      <c r="M378" s="3285">
        <f t="shared" si="20"/>
        <v>1210691.595604358</v>
      </c>
      <c r="N378" s="3285"/>
      <c r="O378" s="3290"/>
    </row>
    <row r="379" spans="1:15" s="1972" customFormat="1" ht="16.5" customHeight="1">
      <c r="A379" s="2121">
        <v>365</v>
      </c>
      <c r="B379" s="2121">
        <v>81</v>
      </c>
      <c r="C379" s="3291"/>
      <c r="D379" s="3289" t="s">
        <v>1669</v>
      </c>
      <c r="E379" s="3289" t="s">
        <v>40</v>
      </c>
      <c r="F379" s="3285"/>
      <c r="G379" s="3285">
        <v>877358.26227102464</v>
      </c>
      <c r="H379" s="3285">
        <v>333333.33333333331</v>
      </c>
      <c r="I379" s="3285">
        <v>0</v>
      </c>
      <c r="J379" s="3285">
        <v>0</v>
      </c>
      <c r="K379" s="3285">
        <f t="shared" si="19"/>
        <v>1210691.595604358</v>
      </c>
      <c r="L379" s="3285">
        <v>0</v>
      </c>
      <c r="M379" s="3285">
        <f t="shared" si="20"/>
        <v>1210691.595604358</v>
      </c>
      <c r="N379" s="3285"/>
      <c r="O379" s="3290"/>
    </row>
    <row r="380" spans="1:15" s="1972" customFormat="1" ht="16.5" customHeight="1">
      <c r="A380" s="2121">
        <v>366</v>
      </c>
      <c r="B380" s="2121">
        <v>82</v>
      </c>
      <c r="C380" s="3291"/>
      <c r="D380" s="3289" t="s">
        <v>1670</v>
      </c>
      <c r="E380" s="3289" t="s">
        <v>40</v>
      </c>
      <c r="F380" s="3285"/>
      <c r="G380" s="3285">
        <v>877358.26227102464</v>
      </c>
      <c r="H380" s="3285">
        <v>333333.33333333331</v>
      </c>
      <c r="I380" s="3285">
        <v>0</v>
      </c>
      <c r="J380" s="3285">
        <v>0</v>
      </c>
      <c r="K380" s="3285">
        <f t="shared" si="19"/>
        <v>1210691.595604358</v>
      </c>
      <c r="L380" s="3285">
        <v>0</v>
      </c>
      <c r="M380" s="3285">
        <f t="shared" si="20"/>
        <v>1210691.595604358</v>
      </c>
      <c r="N380" s="3285"/>
      <c r="O380" s="3290"/>
    </row>
    <row r="381" spans="1:15" s="1972" customFormat="1" ht="16.5" customHeight="1">
      <c r="A381" s="2121">
        <v>367</v>
      </c>
      <c r="B381" s="2121">
        <v>83</v>
      </c>
      <c r="C381" s="3291"/>
      <c r="D381" s="3289" t="s">
        <v>1632</v>
      </c>
      <c r="E381" s="3289" t="s">
        <v>40</v>
      </c>
      <c r="F381" s="3285"/>
      <c r="G381" s="3285">
        <v>877358.26227102464</v>
      </c>
      <c r="H381" s="3285">
        <v>333333.33333333331</v>
      </c>
      <c r="I381" s="3285">
        <v>0</v>
      </c>
      <c r="J381" s="3285">
        <v>0</v>
      </c>
      <c r="K381" s="3285">
        <f t="shared" si="19"/>
        <v>1210691.595604358</v>
      </c>
      <c r="L381" s="3285">
        <v>0</v>
      </c>
      <c r="M381" s="3285">
        <f t="shared" si="20"/>
        <v>1210691.595604358</v>
      </c>
      <c r="N381" s="3285"/>
      <c r="O381" s="3290"/>
    </row>
    <row r="382" spans="1:15" s="1972" customFormat="1" ht="16.5" customHeight="1">
      <c r="A382" s="2121">
        <v>368</v>
      </c>
      <c r="B382" s="2121">
        <v>84</v>
      </c>
      <c r="C382" s="3291"/>
      <c r="D382" s="3289" t="s">
        <v>1430</v>
      </c>
      <c r="E382" s="3289" t="s">
        <v>40</v>
      </c>
      <c r="F382" s="3285"/>
      <c r="G382" s="3285">
        <v>877358.26227102464</v>
      </c>
      <c r="H382" s="3285">
        <v>333333.33333333331</v>
      </c>
      <c r="I382" s="3285">
        <v>0</v>
      </c>
      <c r="J382" s="3285">
        <v>0</v>
      </c>
      <c r="K382" s="3285">
        <f t="shared" si="19"/>
        <v>1210691.595604358</v>
      </c>
      <c r="L382" s="3285">
        <v>0</v>
      </c>
      <c r="M382" s="3285">
        <f t="shared" si="20"/>
        <v>1210691.595604358</v>
      </c>
      <c r="N382" s="3285"/>
      <c r="O382" s="3290"/>
    </row>
    <row r="383" spans="1:15" s="1972" customFormat="1" ht="16.5" customHeight="1">
      <c r="A383" s="2121">
        <v>369</v>
      </c>
      <c r="B383" s="2121">
        <v>85</v>
      </c>
      <c r="C383" s="3291"/>
      <c r="D383" s="3289" t="s">
        <v>1671</v>
      </c>
      <c r="E383" s="3289" t="s">
        <v>40</v>
      </c>
      <c r="F383" s="3285"/>
      <c r="G383" s="3285">
        <v>877358.26227102464</v>
      </c>
      <c r="H383" s="3285">
        <v>333333.33333333331</v>
      </c>
      <c r="I383" s="3285">
        <v>0</v>
      </c>
      <c r="J383" s="3285">
        <v>0</v>
      </c>
      <c r="K383" s="3285">
        <f t="shared" si="19"/>
        <v>1210691.595604358</v>
      </c>
      <c r="L383" s="3285">
        <v>0</v>
      </c>
      <c r="M383" s="3285">
        <f t="shared" si="20"/>
        <v>1210691.595604358</v>
      </c>
      <c r="N383" s="3285"/>
      <c r="O383" s="3290"/>
    </row>
    <row r="384" spans="1:15" s="1972" customFormat="1" ht="16.5" customHeight="1">
      <c r="A384" s="2121">
        <v>370</v>
      </c>
      <c r="B384" s="2121">
        <v>86</v>
      </c>
      <c r="C384" s="3291"/>
      <c r="D384" s="3289" t="s">
        <v>1672</v>
      </c>
      <c r="E384" s="3289" t="s">
        <v>40</v>
      </c>
      <c r="F384" s="3285"/>
      <c r="G384" s="3285">
        <v>877358.26227102464</v>
      </c>
      <c r="H384" s="3285">
        <v>333333.33333333331</v>
      </c>
      <c r="I384" s="3285">
        <v>0</v>
      </c>
      <c r="J384" s="3285">
        <v>0</v>
      </c>
      <c r="K384" s="3285">
        <f t="shared" si="19"/>
        <v>1210691.595604358</v>
      </c>
      <c r="L384" s="3285">
        <v>0</v>
      </c>
      <c r="M384" s="3285">
        <f t="shared" si="20"/>
        <v>1210691.595604358</v>
      </c>
      <c r="N384" s="3285"/>
      <c r="O384" s="3290"/>
    </row>
    <row r="385" spans="1:18" s="1972" customFormat="1" ht="16.5" customHeight="1">
      <c r="A385" s="2121">
        <v>371</v>
      </c>
      <c r="B385" s="2121">
        <v>87</v>
      </c>
      <c r="C385" s="3291"/>
      <c r="D385" s="3289" t="s">
        <v>1577</v>
      </c>
      <c r="E385" s="3289" t="s">
        <v>40</v>
      </c>
      <c r="F385" s="3285"/>
      <c r="G385" s="3285">
        <v>743136.89111895743</v>
      </c>
      <c r="H385" s="3285">
        <v>520000</v>
      </c>
      <c r="I385" s="3285">
        <v>0</v>
      </c>
      <c r="J385" s="3285">
        <v>0</v>
      </c>
      <c r="K385" s="3285">
        <f t="shared" si="19"/>
        <v>1263136.8911189574</v>
      </c>
      <c r="L385" s="3285">
        <v>0</v>
      </c>
      <c r="M385" s="3285">
        <f t="shared" si="20"/>
        <v>1263136.8911189574</v>
      </c>
      <c r="N385" s="3285"/>
      <c r="O385" s="3290"/>
    </row>
    <row r="386" spans="1:18" s="1972" customFormat="1" ht="16.5" customHeight="1">
      <c r="A386" s="2121">
        <v>372</v>
      </c>
      <c r="B386" s="2121">
        <v>88</v>
      </c>
      <c r="C386" s="3291"/>
      <c r="D386" s="3289" t="s">
        <v>1673</v>
      </c>
      <c r="E386" s="3289" t="s">
        <v>40</v>
      </c>
      <c r="F386" s="3285"/>
      <c r="G386" s="3285">
        <v>743136.89111895743</v>
      </c>
      <c r="H386" s="3285">
        <v>520000</v>
      </c>
      <c r="I386" s="3285">
        <v>0</v>
      </c>
      <c r="J386" s="3285">
        <v>0</v>
      </c>
      <c r="K386" s="3285">
        <f t="shared" si="19"/>
        <v>1263136.8911189574</v>
      </c>
      <c r="L386" s="3285">
        <v>0</v>
      </c>
      <c r="M386" s="3285">
        <f t="shared" si="20"/>
        <v>1263136.8911189574</v>
      </c>
      <c r="N386" s="3285"/>
      <c r="O386" s="3290"/>
    </row>
    <row r="387" spans="1:18" s="2192" customFormat="1" ht="18.75" customHeight="1">
      <c r="A387" s="4409" t="s">
        <v>1187</v>
      </c>
      <c r="B387" s="4410"/>
      <c r="C387" s="4410"/>
      <c r="D387" s="4410"/>
      <c r="E387" s="4411"/>
      <c r="F387" s="3282"/>
      <c r="G387" s="3282"/>
      <c r="H387" s="3282"/>
      <c r="I387" s="3282"/>
      <c r="J387" s="3282"/>
      <c r="K387" s="3282">
        <f>SUM(K388:K415)</f>
        <v>36000000</v>
      </c>
      <c r="L387" s="3282">
        <f t="shared" ref="L387:M387" si="21">SUM(L388:L415)</f>
        <v>0</v>
      </c>
      <c r="M387" s="3282">
        <f t="shared" si="21"/>
        <v>36000000</v>
      </c>
      <c r="N387" s="3282"/>
      <c r="O387" s="3383"/>
      <c r="P387" s="2191"/>
      <c r="Q387" s="2194"/>
      <c r="R387" s="3253"/>
    </row>
    <row r="388" spans="1:18" ht="15.75">
      <c r="A388" s="2121">
        <v>1</v>
      </c>
      <c r="B388" s="2121">
        <v>1</v>
      </c>
      <c r="C388" s="3283"/>
      <c r="D388" s="3289" t="s">
        <v>275</v>
      </c>
      <c r="E388" s="3289" t="s">
        <v>851</v>
      </c>
      <c r="F388" s="3285"/>
      <c r="G388" s="3285"/>
      <c r="H388" s="3285"/>
      <c r="I388" s="3285"/>
      <c r="J388" s="3285"/>
      <c r="K388" s="3285">
        <f>1100000</f>
        <v>1100000</v>
      </c>
      <c r="L388" s="3285">
        <v>0</v>
      </c>
      <c r="M388" s="3285">
        <f t="shared" ref="M388:M389" si="22">1100000</f>
        <v>1100000</v>
      </c>
      <c r="N388" s="3285"/>
      <c r="O388" s="3383"/>
      <c r="P388" s="2208"/>
      <c r="R388" s="2209"/>
    </row>
    <row r="389" spans="1:18" s="2212" customFormat="1" ht="15.75">
      <c r="A389" s="2121">
        <v>2</v>
      </c>
      <c r="B389" s="2121">
        <v>2</v>
      </c>
      <c r="C389" s="3283"/>
      <c r="D389" s="3289" t="s">
        <v>713</v>
      </c>
      <c r="E389" s="3289" t="s">
        <v>851</v>
      </c>
      <c r="F389" s="3285"/>
      <c r="G389" s="3285"/>
      <c r="H389" s="3285"/>
      <c r="I389" s="3285"/>
      <c r="J389" s="3285"/>
      <c r="K389" s="3285">
        <v>1100000</v>
      </c>
      <c r="L389" s="3285">
        <v>0</v>
      </c>
      <c r="M389" s="3285">
        <f t="shared" si="22"/>
        <v>1100000</v>
      </c>
      <c r="N389" s="3285"/>
      <c r="O389" s="3383"/>
      <c r="P389" s="2209"/>
      <c r="Q389" s="2211"/>
    </row>
    <row r="390" spans="1:18" s="2212" customFormat="1" ht="15.75">
      <c r="A390" s="2121">
        <v>3</v>
      </c>
      <c r="B390" s="2121">
        <v>3</v>
      </c>
      <c r="C390" s="3283"/>
      <c r="D390" s="3289" t="s">
        <v>274</v>
      </c>
      <c r="E390" s="3289" t="s">
        <v>851</v>
      </c>
      <c r="F390" s="3285"/>
      <c r="G390" s="3285"/>
      <c r="H390" s="3285"/>
      <c r="I390" s="3285"/>
      <c r="J390" s="3285"/>
      <c r="K390" s="3285">
        <v>1300000</v>
      </c>
      <c r="L390" s="3285">
        <v>0</v>
      </c>
      <c r="M390" s="3285">
        <v>1300000</v>
      </c>
      <c r="N390" s="3285"/>
      <c r="O390" s="3383"/>
      <c r="P390" s="2217"/>
      <c r="Q390" s="2211"/>
    </row>
    <row r="391" spans="1:18" s="2212" customFormat="1" ht="15.75">
      <c r="A391" s="2121">
        <v>4</v>
      </c>
      <c r="B391" s="2121">
        <v>4</v>
      </c>
      <c r="C391" s="3283"/>
      <c r="D391" s="3289" t="s">
        <v>276</v>
      </c>
      <c r="E391" s="3289" t="s">
        <v>851</v>
      </c>
      <c r="F391" s="3285"/>
      <c r="G391" s="3285"/>
      <c r="H391" s="3285"/>
      <c r="I391" s="3285"/>
      <c r="J391" s="3285"/>
      <c r="K391" s="3285">
        <v>1300000</v>
      </c>
      <c r="L391" s="3285">
        <v>0</v>
      </c>
      <c r="M391" s="3285">
        <v>1300000</v>
      </c>
      <c r="N391" s="3285"/>
      <c r="O391" s="3383"/>
      <c r="P391" s="2170"/>
    </row>
    <row r="392" spans="1:18" ht="15.75">
      <c r="A392" s="2121">
        <v>5</v>
      </c>
      <c r="B392" s="2121">
        <v>5</v>
      </c>
      <c r="C392" s="3285"/>
      <c r="D392" s="3292" t="s">
        <v>1377</v>
      </c>
      <c r="E392" s="3289" t="s">
        <v>851</v>
      </c>
      <c r="F392" s="3285"/>
      <c r="G392" s="3285"/>
      <c r="H392" s="3285"/>
      <c r="I392" s="3285">
        <f>[15]BV!S395</f>
        <v>0</v>
      </c>
      <c r="J392" s="3285"/>
      <c r="K392" s="3285">
        <v>1300000</v>
      </c>
      <c r="L392" s="3285">
        <v>0</v>
      </c>
      <c r="M392" s="3285">
        <v>1300000</v>
      </c>
      <c r="N392" s="3285"/>
      <c r="O392" s="3383"/>
      <c r="P392" s="2209"/>
    </row>
    <row r="393" spans="1:18" ht="15.75">
      <c r="A393" s="2121">
        <v>6</v>
      </c>
      <c r="B393" s="2121">
        <v>6</v>
      </c>
      <c r="C393" s="3283"/>
      <c r="D393" s="3289" t="s">
        <v>1378</v>
      </c>
      <c r="E393" s="3289" t="s">
        <v>851</v>
      </c>
      <c r="F393" s="3285"/>
      <c r="G393" s="3285"/>
      <c r="H393" s="3285"/>
      <c r="I393" s="3285"/>
      <c r="J393" s="3285"/>
      <c r="K393" s="3285">
        <v>1300000</v>
      </c>
      <c r="L393" s="3285">
        <v>0</v>
      </c>
      <c r="M393" s="3285">
        <v>1300000</v>
      </c>
      <c r="N393" s="3285"/>
      <c r="O393" s="3383"/>
      <c r="P393" s="2209"/>
    </row>
    <row r="394" spans="1:18" ht="15.75">
      <c r="A394" s="2121">
        <v>7</v>
      </c>
      <c r="B394" s="2121">
        <v>7</v>
      </c>
      <c r="C394" s="3283"/>
      <c r="D394" s="3289" t="s">
        <v>1377</v>
      </c>
      <c r="E394" s="3289" t="s">
        <v>851</v>
      </c>
      <c r="F394" s="3285"/>
      <c r="G394" s="3285"/>
      <c r="H394" s="3285"/>
      <c r="I394" s="3285"/>
      <c r="J394" s="3285"/>
      <c r="K394" s="3285">
        <v>1300000</v>
      </c>
      <c r="L394" s="3285">
        <v>0</v>
      </c>
      <c r="M394" s="3285">
        <v>1300000</v>
      </c>
      <c r="N394" s="3285"/>
      <c r="O394" s="3383"/>
      <c r="P394" s="2209"/>
    </row>
    <row r="395" spans="1:18" ht="15.75">
      <c r="A395" s="2121">
        <v>8</v>
      </c>
      <c r="B395" s="2121">
        <v>8</v>
      </c>
      <c r="C395" s="3283"/>
      <c r="D395" s="3289" t="s">
        <v>946</v>
      </c>
      <c r="E395" s="3289" t="s">
        <v>851</v>
      </c>
      <c r="F395" s="3285"/>
      <c r="G395" s="3285"/>
      <c r="H395" s="3285"/>
      <c r="I395" s="3285"/>
      <c r="J395" s="3285"/>
      <c r="K395" s="3285">
        <v>1300000</v>
      </c>
      <c r="L395" s="3285"/>
      <c r="M395" s="3285">
        <f>K395</f>
        <v>1300000</v>
      </c>
      <c r="N395" s="3285"/>
      <c r="O395" s="3383"/>
    </row>
    <row r="396" spans="1:18" s="2192" customFormat="1" ht="16.5" customHeight="1">
      <c r="A396" s="2121">
        <v>9</v>
      </c>
      <c r="B396" s="2121">
        <v>9</v>
      </c>
      <c r="C396" s="3283"/>
      <c r="D396" s="3284" t="s">
        <v>1429</v>
      </c>
      <c r="E396" s="3289" t="s">
        <v>851</v>
      </c>
      <c r="F396" s="3285"/>
      <c r="G396" s="3285"/>
      <c r="H396" s="3285"/>
      <c r="I396" s="3285">
        <v>0</v>
      </c>
      <c r="J396" s="3285">
        <v>0</v>
      </c>
      <c r="K396" s="3285">
        <v>1300000</v>
      </c>
      <c r="L396" s="3285">
        <v>0</v>
      </c>
      <c r="M396" s="3285">
        <f t="shared" ref="M396:M414" si="23">K396</f>
        <v>1300000</v>
      </c>
      <c r="N396" s="3285"/>
      <c r="O396" s="3286"/>
      <c r="P396" s="2191"/>
    </row>
    <row r="397" spans="1:18" s="2192" customFormat="1" ht="16.5" customHeight="1">
      <c r="A397" s="2121">
        <v>10</v>
      </c>
      <c r="B397" s="2121">
        <v>10</v>
      </c>
      <c r="C397" s="3283"/>
      <c r="D397" s="3284" t="s">
        <v>1430</v>
      </c>
      <c r="E397" s="3289" t="s">
        <v>851</v>
      </c>
      <c r="F397" s="3285"/>
      <c r="G397" s="3285"/>
      <c r="H397" s="3285"/>
      <c r="I397" s="3285">
        <v>0</v>
      </c>
      <c r="J397" s="3285">
        <v>0</v>
      </c>
      <c r="K397" s="3285">
        <v>1300000</v>
      </c>
      <c r="L397" s="3285">
        <v>0</v>
      </c>
      <c r="M397" s="3285">
        <f t="shared" si="23"/>
        <v>1300000</v>
      </c>
      <c r="N397" s="3285"/>
      <c r="O397" s="3286"/>
      <c r="P397" s="2191"/>
    </row>
    <row r="398" spans="1:18" s="2192" customFormat="1" ht="16.5" customHeight="1">
      <c r="A398" s="2121">
        <v>11</v>
      </c>
      <c r="B398" s="2121">
        <v>11</v>
      </c>
      <c r="C398" s="3283"/>
      <c r="D398" s="3284" t="s">
        <v>1431</v>
      </c>
      <c r="E398" s="3289" t="s">
        <v>851</v>
      </c>
      <c r="F398" s="3285"/>
      <c r="G398" s="3285"/>
      <c r="H398" s="3285"/>
      <c r="I398" s="3285">
        <v>0</v>
      </c>
      <c r="J398" s="3285">
        <v>0</v>
      </c>
      <c r="K398" s="3285">
        <v>1300000</v>
      </c>
      <c r="L398" s="3285">
        <v>0</v>
      </c>
      <c r="M398" s="3285">
        <f t="shared" si="23"/>
        <v>1300000</v>
      </c>
      <c r="N398" s="3285"/>
      <c r="O398" s="3286"/>
      <c r="P398" s="2191"/>
    </row>
    <row r="399" spans="1:18" s="2192" customFormat="1" ht="16.5" customHeight="1">
      <c r="A399" s="2121">
        <v>12</v>
      </c>
      <c r="B399" s="2121">
        <v>12</v>
      </c>
      <c r="C399" s="3384"/>
      <c r="D399" s="3289" t="s">
        <v>1689</v>
      </c>
      <c r="E399" s="3289" t="s">
        <v>851</v>
      </c>
      <c r="F399" s="3285"/>
      <c r="G399" s="3285"/>
      <c r="H399" s="3285"/>
      <c r="I399" s="3285">
        <v>1275117.2126488094</v>
      </c>
      <c r="J399" s="3285">
        <v>0</v>
      </c>
      <c r="K399" s="3285">
        <v>1300000</v>
      </c>
      <c r="L399" s="3285">
        <v>0</v>
      </c>
      <c r="M399" s="3285">
        <f t="shared" si="23"/>
        <v>1300000</v>
      </c>
      <c r="N399" s="2190"/>
      <c r="O399" s="3286"/>
      <c r="P399" s="2194"/>
    </row>
    <row r="400" spans="1:18" s="2192" customFormat="1" ht="16.5" customHeight="1">
      <c r="A400" s="2121">
        <v>13</v>
      </c>
      <c r="B400" s="2121">
        <v>13</v>
      </c>
      <c r="C400" s="3384"/>
      <c r="D400" s="3289" t="s">
        <v>1690</v>
      </c>
      <c r="E400" s="3289" t="s">
        <v>851</v>
      </c>
      <c r="F400" s="3285"/>
      <c r="G400" s="3285"/>
      <c r="H400" s="3285"/>
      <c r="I400" s="3285">
        <v>1275117.2126488094</v>
      </c>
      <c r="J400" s="3285">
        <v>0</v>
      </c>
      <c r="K400" s="3285">
        <v>1300000</v>
      </c>
      <c r="L400" s="3285">
        <v>0</v>
      </c>
      <c r="M400" s="3285">
        <f t="shared" si="23"/>
        <v>1300000</v>
      </c>
      <c r="N400" s="2190"/>
      <c r="O400" s="3286"/>
      <c r="P400" s="2194"/>
    </row>
    <row r="401" spans="1:18" s="2192" customFormat="1" ht="16.5" customHeight="1">
      <c r="A401" s="2121">
        <v>14</v>
      </c>
      <c r="B401" s="2121">
        <v>14</v>
      </c>
      <c r="C401" s="3384"/>
      <c r="D401" s="3289" t="s">
        <v>1691</v>
      </c>
      <c r="E401" s="3289" t="s">
        <v>851</v>
      </c>
      <c r="F401" s="3285"/>
      <c r="G401" s="3285"/>
      <c r="H401" s="3285"/>
      <c r="I401" s="3285">
        <v>1245258.4125056954</v>
      </c>
      <c r="J401" s="3285">
        <v>0</v>
      </c>
      <c r="K401" s="3285">
        <v>1300000</v>
      </c>
      <c r="L401" s="3285">
        <v>0</v>
      </c>
      <c r="M401" s="3285">
        <f t="shared" si="23"/>
        <v>1300000</v>
      </c>
      <c r="N401" s="2190"/>
      <c r="O401" s="3286"/>
      <c r="P401" s="2194"/>
    </row>
    <row r="402" spans="1:18" s="2192" customFormat="1" ht="16.5" customHeight="1">
      <c r="A402" s="2121">
        <v>15</v>
      </c>
      <c r="B402" s="2121">
        <v>15</v>
      </c>
      <c r="C402" s="3384"/>
      <c r="D402" s="3289" t="s">
        <v>1692</v>
      </c>
      <c r="E402" s="3289" t="s">
        <v>851</v>
      </c>
      <c r="F402" s="3285"/>
      <c r="G402" s="3285"/>
      <c r="H402" s="3285"/>
      <c r="I402" s="3285">
        <v>1245258.4125056954</v>
      </c>
      <c r="J402" s="3285">
        <v>0</v>
      </c>
      <c r="K402" s="3285">
        <v>1300000</v>
      </c>
      <c r="L402" s="3285">
        <v>0</v>
      </c>
      <c r="M402" s="3285">
        <f t="shared" si="23"/>
        <v>1300000</v>
      </c>
      <c r="N402" s="2190"/>
      <c r="O402" s="3286"/>
      <c r="P402" s="2194"/>
    </row>
    <row r="403" spans="1:18" s="2192" customFormat="1" ht="16.5" customHeight="1">
      <c r="A403" s="2121">
        <v>16</v>
      </c>
      <c r="B403" s="2121">
        <v>16</v>
      </c>
      <c r="C403" s="3384"/>
      <c r="D403" s="3289" t="s">
        <v>1693</v>
      </c>
      <c r="E403" s="3289" t="s">
        <v>851</v>
      </c>
      <c r="F403" s="3285"/>
      <c r="G403" s="3285"/>
      <c r="H403" s="3285"/>
      <c r="I403" s="3285">
        <v>1245258.4125056954</v>
      </c>
      <c r="J403" s="3285">
        <v>0</v>
      </c>
      <c r="K403" s="3285">
        <v>1300000</v>
      </c>
      <c r="L403" s="3285">
        <v>0</v>
      </c>
      <c r="M403" s="3285">
        <f t="shared" si="23"/>
        <v>1300000</v>
      </c>
      <c r="N403" s="2190"/>
      <c r="O403" s="3286"/>
      <c r="P403" s="2194"/>
    </row>
    <row r="404" spans="1:18" s="2192" customFormat="1" ht="16.5" customHeight="1">
      <c r="A404" s="2121">
        <v>17</v>
      </c>
      <c r="B404" s="2121">
        <v>17</v>
      </c>
      <c r="C404" s="3384"/>
      <c r="D404" s="3289" t="s">
        <v>1694</v>
      </c>
      <c r="E404" s="3289" t="s">
        <v>851</v>
      </c>
      <c r="F404" s="3285"/>
      <c r="G404" s="3285"/>
      <c r="H404" s="3285"/>
      <c r="I404" s="3285">
        <v>1245258.4125056954</v>
      </c>
      <c r="J404" s="3285">
        <v>0</v>
      </c>
      <c r="K404" s="3285">
        <v>1300000</v>
      </c>
      <c r="L404" s="3285">
        <v>0</v>
      </c>
      <c r="M404" s="3285">
        <f t="shared" si="23"/>
        <v>1300000</v>
      </c>
      <c r="N404" s="2190"/>
      <c r="O404" s="3286"/>
      <c r="P404" s="2194"/>
    </row>
    <row r="405" spans="1:18" s="2192" customFormat="1" ht="16.5" customHeight="1">
      <c r="A405" s="2121">
        <v>18</v>
      </c>
      <c r="B405" s="2121">
        <v>18</v>
      </c>
      <c r="C405" s="3384"/>
      <c r="D405" s="3289" t="s">
        <v>1695</v>
      </c>
      <c r="E405" s="3289" t="s">
        <v>851</v>
      </c>
      <c r="F405" s="3285"/>
      <c r="G405" s="3285"/>
      <c r="H405" s="3285"/>
      <c r="I405" s="3285">
        <v>1245258.4125056954</v>
      </c>
      <c r="J405" s="3285">
        <v>0</v>
      </c>
      <c r="K405" s="3285">
        <v>1300000</v>
      </c>
      <c r="L405" s="3285">
        <v>0</v>
      </c>
      <c r="M405" s="3285">
        <f t="shared" si="23"/>
        <v>1300000</v>
      </c>
      <c r="N405" s="2190"/>
      <c r="O405" s="3286"/>
      <c r="P405" s="2194"/>
    </row>
    <row r="406" spans="1:18" s="2192" customFormat="1" ht="20.25" customHeight="1">
      <c r="A406" s="2121">
        <v>19</v>
      </c>
      <c r="B406" s="2121">
        <v>19</v>
      </c>
      <c r="C406" s="3384"/>
      <c r="D406" s="3289" t="s">
        <v>1696</v>
      </c>
      <c r="E406" s="3289" t="s">
        <v>851</v>
      </c>
      <c r="F406" s="3285"/>
      <c r="G406" s="3285"/>
      <c r="H406" s="3285"/>
      <c r="I406" s="3285">
        <v>1245258.4125056954</v>
      </c>
      <c r="J406" s="3285">
        <v>0</v>
      </c>
      <c r="K406" s="3285">
        <v>1300000</v>
      </c>
      <c r="L406" s="3285">
        <v>0</v>
      </c>
      <c r="M406" s="3285">
        <f t="shared" si="23"/>
        <v>1300000</v>
      </c>
      <c r="N406" s="2190"/>
      <c r="O406" s="3286"/>
      <c r="P406" s="2194"/>
    </row>
    <row r="407" spans="1:18" s="2192" customFormat="1" ht="16.5" customHeight="1">
      <c r="A407" s="2121">
        <v>20</v>
      </c>
      <c r="B407" s="2121">
        <v>20</v>
      </c>
      <c r="C407" s="3283"/>
      <c r="D407" s="3284" t="s">
        <v>1411</v>
      </c>
      <c r="E407" s="3289" t="s">
        <v>851</v>
      </c>
      <c r="F407" s="3285"/>
      <c r="G407" s="3285"/>
      <c r="H407" s="3285"/>
      <c r="I407" s="3285">
        <v>0</v>
      </c>
      <c r="J407" s="3285">
        <v>0</v>
      </c>
      <c r="K407" s="3285">
        <v>1300000</v>
      </c>
      <c r="L407" s="3285">
        <v>0</v>
      </c>
      <c r="M407" s="3285">
        <f t="shared" si="23"/>
        <v>1300000</v>
      </c>
      <c r="N407" s="3285"/>
      <c r="O407" s="3286"/>
      <c r="P407" s="2191"/>
    </row>
    <row r="408" spans="1:18" s="2192" customFormat="1" ht="16.5" customHeight="1">
      <c r="A408" s="2121">
        <v>21</v>
      </c>
      <c r="B408" s="2121">
        <v>21</v>
      </c>
      <c r="C408" s="3283"/>
      <c r="D408" s="3284" t="s">
        <v>1412</v>
      </c>
      <c r="E408" s="3289" t="s">
        <v>851</v>
      </c>
      <c r="F408" s="3285"/>
      <c r="G408" s="3285"/>
      <c r="H408" s="3285"/>
      <c r="I408" s="3285">
        <v>0</v>
      </c>
      <c r="J408" s="3285">
        <v>0</v>
      </c>
      <c r="K408" s="3285">
        <v>1300000</v>
      </c>
      <c r="L408" s="3285">
        <v>0</v>
      </c>
      <c r="M408" s="3285">
        <f t="shared" si="23"/>
        <v>1300000</v>
      </c>
      <c r="N408" s="3285"/>
      <c r="O408" s="3286"/>
      <c r="P408" s="2191"/>
    </row>
    <row r="409" spans="1:18" s="2192" customFormat="1" ht="16.5" customHeight="1">
      <c r="A409" s="2121">
        <v>22</v>
      </c>
      <c r="B409" s="2121">
        <v>22</v>
      </c>
      <c r="C409" s="3283"/>
      <c r="D409" s="3284" t="s">
        <v>1413</v>
      </c>
      <c r="E409" s="3289" t="s">
        <v>851</v>
      </c>
      <c r="F409" s="3285"/>
      <c r="G409" s="3285"/>
      <c r="H409" s="3285"/>
      <c r="I409" s="3285">
        <v>0</v>
      </c>
      <c r="J409" s="3285">
        <v>0</v>
      </c>
      <c r="K409" s="3285">
        <v>1300000</v>
      </c>
      <c r="L409" s="3285">
        <v>0</v>
      </c>
      <c r="M409" s="3285">
        <f t="shared" si="23"/>
        <v>1300000</v>
      </c>
      <c r="N409" s="3285"/>
      <c r="O409" s="3286"/>
      <c r="P409" s="2191"/>
    </row>
    <row r="410" spans="1:18" s="2192" customFormat="1" ht="16.5" customHeight="1">
      <c r="A410" s="2121">
        <v>23</v>
      </c>
      <c r="B410" s="2121">
        <v>23</v>
      </c>
      <c r="C410" s="3283"/>
      <c r="D410" s="3284" t="s">
        <v>1414</v>
      </c>
      <c r="E410" s="3289" t="s">
        <v>851</v>
      </c>
      <c r="F410" s="3285"/>
      <c r="G410" s="3285"/>
      <c r="H410" s="3285"/>
      <c r="I410" s="3285">
        <v>0</v>
      </c>
      <c r="J410" s="3285">
        <v>0</v>
      </c>
      <c r="K410" s="3285">
        <v>1300000</v>
      </c>
      <c r="L410" s="3285">
        <v>0</v>
      </c>
      <c r="M410" s="3285">
        <f t="shared" si="23"/>
        <v>1300000</v>
      </c>
      <c r="N410" s="3285"/>
      <c r="O410" s="3286"/>
      <c r="P410" s="2191"/>
    </row>
    <row r="411" spans="1:18" s="2192" customFormat="1" ht="16.5" customHeight="1">
      <c r="A411" s="2121">
        <v>24</v>
      </c>
      <c r="B411" s="2121">
        <v>24</v>
      </c>
      <c r="C411" s="3283">
        <v>0</v>
      </c>
      <c r="D411" s="3284" t="s">
        <v>1415</v>
      </c>
      <c r="E411" s="3289" t="s">
        <v>851</v>
      </c>
      <c r="F411" s="3285"/>
      <c r="G411" s="3285"/>
      <c r="H411" s="3285"/>
      <c r="I411" s="3285">
        <v>0</v>
      </c>
      <c r="J411" s="3285">
        <v>0</v>
      </c>
      <c r="K411" s="3285">
        <v>1300000</v>
      </c>
      <c r="L411" s="3285">
        <v>0</v>
      </c>
      <c r="M411" s="3285">
        <f t="shared" si="23"/>
        <v>1300000</v>
      </c>
      <c r="N411" s="3285">
        <v>0</v>
      </c>
      <c r="O411" s="3286"/>
      <c r="P411" s="2191"/>
    </row>
    <row r="412" spans="1:18" s="2192" customFormat="1" ht="16.5" customHeight="1">
      <c r="A412" s="2121">
        <v>25</v>
      </c>
      <c r="B412" s="2121">
        <v>25</v>
      </c>
      <c r="C412" s="3291"/>
      <c r="D412" s="3284" t="s">
        <v>1749</v>
      </c>
      <c r="E412" s="3289" t="s">
        <v>851</v>
      </c>
      <c r="F412" s="3285"/>
      <c r="G412" s="3285"/>
      <c r="H412" s="3285"/>
      <c r="I412" s="3285"/>
      <c r="J412" s="3285"/>
      <c r="K412" s="3285">
        <v>1300000</v>
      </c>
      <c r="L412" s="3285"/>
      <c r="M412" s="3285">
        <f t="shared" si="23"/>
        <v>1300000</v>
      </c>
      <c r="N412" s="3285"/>
      <c r="O412" s="3642"/>
      <c r="P412" s="2191"/>
    </row>
    <row r="413" spans="1:18" s="2192" customFormat="1" ht="16.5" customHeight="1">
      <c r="A413" s="2121">
        <v>26</v>
      </c>
      <c r="B413" s="2121">
        <v>26</v>
      </c>
      <c r="C413" s="3291"/>
      <c r="D413" s="3284" t="s">
        <v>1750</v>
      </c>
      <c r="E413" s="3289" t="s">
        <v>851</v>
      </c>
      <c r="F413" s="3285"/>
      <c r="G413" s="3285"/>
      <c r="H413" s="3285"/>
      <c r="I413" s="3285"/>
      <c r="J413" s="3285"/>
      <c r="K413" s="3285">
        <v>1300000</v>
      </c>
      <c r="L413" s="3285"/>
      <c r="M413" s="3285">
        <f t="shared" si="23"/>
        <v>1300000</v>
      </c>
      <c r="N413" s="3285"/>
      <c r="O413" s="3642"/>
      <c r="P413" s="2191"/>
    </row>
    <row r="414" spans="1:18" s="2192" customFormat="1" ht="16.5" customHeight="1">
      <c r="A414" s="2121">
        <v>27</v>
      </c>
      <c r="B414" s="2121">
        <v>27</v>
      </c>
      <c r="C414" s="3291"/>
      <c r="D414" s="3284" t="s">
        <v>1751</v>
      </c>
      <c r="E414" s="3289" t="s">
        <v>851</v>
      </c>
      <c r="F414" s="3285"/>
      <c r="G414" s="3285"/>
      <c r="H414" s="3285"/>
      <c r="I414" s="3285"/>
      <c r="J414" s="3285"/>
      <c r="K414" s="3285">
        <v>1300000</v>
      </c>
      <c r="L414" s="3285"/>
      <c r="M414" s="3285">
        <f t="shared" si="23"/>
        <v>1300000</v>
      </c>
      <c r="N414" s="3285"/>
      <c r="O414" s="3642"/>
      <c r="P414" s="2191"/>
    </row>
    <row r="415" spans="1:18" s="2192" customFormat="1" ht="16.5" customHeight="1">
      <c r="A415" s="2121">
        <v>28</v>
      </c>
      <c r="B415" s="2121">
        <v>28</v>
      </c>
      <c r="C415" s="3291"/>
      <c r="D415" s="3284" t="s">
        <v>1752</v>
      </c>
      <c r="E415" s="3289" t="s">
        <v>851</v>
      </c>
      <c r="F415" s="3285"/>
      <c r="G415" s="3285"/>
      <c r="H415" s="3285"/>
      <c r="I415" s="3285"/>
      <c r="J415" s="3285"/>
      <c r="K415" s="3285">
        <v>1300000</v>
      </c>
      <c r="L415" s="3285"/>
      <c r="M415" s="3285">
        <v>1300000</v>
      </c>
      <c r="N415" s="3285"/>
      <c r="O415" s="3642"/>
      <c r="P415" s="2191"/>
    </row>
    <row r="416" spans="1:18" ht="25.5" customHeight="1">
      <c r="A416" s="4399" t="s">
        <v>1188</v>
      </c>
      <c r="B416" s="4400"/>
      <c r="C416" s="4400"/>
      <c r="D416" s="4400"/>
      <c r="E416" s="4401"/>
      <c r="F416" s="3282">
        <f>F12+F192+F298</f>
        <v>141410416.74660701</v>
      </c>
      <c r="G416" s="3282">
        <f>G12+G192+G298</f>
        <v>162617416.07123435</v>
      </c>
      <c r="H416" s="3282">
        <f>H12+H192+H298</f>
        <v>125535744.31190462</v>
      </c>
      <c r="I416" s="3282"/>
      <c r="J416" s="3282"/>
      <c r="K416" s="3282">
        <f>K12+K192+K298</f>
        <v>429563577.12974668</v>
      </c>
      <c r="L416" s="3282">
        <f>L12+L192+L298</f>
        <v>0</v>
      </c>
      <c r="M416" s="3282">
        <f>M12+M192+M298</f>
        <v>429563577.12974668</v>
      </c>
      <c r="N416" s="3282" t="e">
        <f>N12+N192+N298+#REF!</f>
        <v>#REF!</v>
      </c>
      <c r="O416" s="3383"/>
      <c r="R416" s="2209">
        <f>K387-'LƯƠNG TT'!K89</f>
        <v>-400000</v>
      </c>
    </row>
    <row r="417" spans="1:19" ht="19.5" customHeight="1">
      <c r="A417" s="4399" t="s">
        <v>1189</v>
      </c>
      <c r="B417" s="4400"/>
      <c r="C417" s="4400"/>
      <c r="D417" s="4400"/>
      <c r="E417" s="4401"/>
      <c r="F417" s="3282"/>
      <c r="G417" s="3282"/>
      <c r="H417" s="3282"/>
      <c r="I417" s="3282"/>
      <c r="J417" s="3282"/>
      <c r="K417" s="3282">
        <f>K387</f>
        <v>36000000</v>
      </c>
      <c r="L417" s="3282">
        <f>L387</f>
        <v>0</v>
      </c>
      <c r="M417" s="3282">
        <f>M387</f>
        <v>36000000</v>
      </c>
      <c r="N417" s="3282"/>
      <c r="O417" s="3383"/>
      <c r="P417" s="2217"/>
    </row>
    <row r="418" spans="1:19" ht="22.5" customHeight="1">
      <c r="A418" s="4402" t="s">
        <v>1191</v>
      </c>
      <c r="B418" s="4403"/>
      <c r="C418" s="4403"/>
      <c r="D418" s="4403"/>
      <c r="E418" s="4404"/>
      <c r="F418" s="3282">
        <f>SUM(F416:F417)</f>
        <v>141410416.74660701</v>
      </c>
      <c r="G418" s="3282">
        <f t="shared" ref="G418:L418" si="24">SUM(G416:G417)</f>
        <v>162617416.07123435</v>
      </c>
      <c r="H418" s="3282">
        <f t="shared" si="24"/>
        <v>125535744.31190462</v>
      </c>
      <c r="I418" s="3282"/>
      <c r="J418" s="3282"/>
      <c r="K418" s="3282">
        <f t="shared" si="24"/>
        <v>465563577.12974668</v>
      </c>
      <c r="L418" s="3282">
        <f t="shared" si="24"/>
        <v>0</v>
      </c>
      <c r="M418" s="3282">
        <f>SUM(M416:M417)</f>
        <v>465563577.12974668</v>
      </c>
      <c r="N418" s="3282" t="e">
        <f>SUM(N416:N417)</f>
        <v>#REF!</v>
      </c>
      <c r="O418" s="3383"/>
    </row>
    <row r="419" spans="1:19" ht="24" customHeight="1">
      <c r="A419" s="4406" t="s">
        <v>1753</v>
      </c>
      <c r="B419" s="4407"/>
      <c r="C419" s="4407"/>
      <c r="D419" s="4407"/>
      <c r="E419" s="4407"/>
      <c r="F419" s="4407"/>
      <c r="G419" s="4407"/>
      <c r="H419" s="4407"/>
      <c r="I419" s="4407"/>
      <c r="J419" s="4407"/>
      <c r="K419" s="4407"/>
      <c r="L419" s="4407"/>
      <c r="M419" s="4407"/>
      <c r="N419" s="4407"/>
      <c r="O419" s="4408"/>
    </row>
    <row r="420" spans="1:19">
      <c r="B420" s="2168"/>
      <c r="C420" s="2207"/>
      <c r="D420" s="2176"/>
      <c r="E420" s="2176"/>
      <c r="F420" s="2177"/>
      <c r="G420" s="2176"/>
      <c r="H420" s="2176"/>
      <c r="I420" s="2176"/>
      <c r="J420" s="2176"/>
      <c r="K420" s="4058" t="s">
        <v>1723</v>
      </c>
      <c r="L420" s="4058"/>
      <c r="M420" s="4058"/>
      <c r="N420" s="4058"/>
      <c r="O420" s="4058"/>
      <c r="P420" s="2209"/>
      <c r="Q420" s="2209"/>
    </row>
    <row r="421" spans="1:19">
      <c r="A421" s="4405" t="s">
        <v>45</v>
      </c>
      <c r="B421" s="4405"/>
      <c r="C421" s="4405"/>
      <c r="D421" s="4405"/>
      <c r="E421" s="4405"/>
      <c r="F421" s="4036" t="s">
        <v>44</v>
      </c>
      <c r="G421" s="4036"/>
      <c r="H421" s="4036"/>
      <c r="I421" s="3275"/>
      <c r="J421" s="3275"/>
      <c r="K421" s="4036" t="s">
        <v>615</v>
      </c>
      <c r="L421" s="4036"/>
      <c r="M421" s="4036"/>
      <c r="N421" s="4036"/>
      <c r="O421" s="4036"/>
    </row>
    <row r="422" spans="1:19">
      <c r="B422" s="3275"/>
      <c r="C422" s="2213"/>
      <c r="D422" s="3275"/>
      <c r="E422" s="3275"/>
      <c r="F422" s="2214"/>
      <c r="G422" s="2215"/>
      <c r="H422" s="2215"/>
      <c r="I422" s="2215"/>
      <c r="J422" s="2215"/>
      <c r="K422" s="2216"/>
      <c r="L422" s="3275"/>
      <c r="M422" s="3275"/>
      <c r="N422" s="3275"/>
    </row>
    <row r="423" spans="1:19">
      <c r="B423" s="3275"/>
      <c r="C423" s="2213"/>
      <c r="D423" s="3275"/>
      <c r="E423" s="3275"/>
      <c r="F423" s="2214"/>
      <c r="G423" s="2215"/>
      <c r="H423" s="2215"/>
      <c r="I423" s="2215"/>
      <c r="J423" s="2215"/>
      <c r="K423" s="2216"/>
      <c r="L423" s="3275"/>
      <c r="M423" s="3275"/>
      <c r="N423" s="3275"/>
    </row>
    <row r="424" spans="1:19">
      <c r="B424" s="2168"/>
      <c r="C424" s="2207"/>
      <c r="D424" s="2176"/>
      <c r="E424" s="2176"/>
      <c r="F424" s="2218"/>
      <c r="G424" s="2218"/>
      <c r="H424" s="2218"/>
      <c r="I424" s="2218"/>
      <c r="J424" s="2218"/>
      <c r="K424" s="2218"/>
      <c r="L424" s="2218"/>
      <c r="M424" s="2218"/>
      <c r="N424" s="2218"/>
    </row>
    <row r="425" spans="1:19">
      <c r="B425" s="2168"/>
      <c r="C425" s="2207"/>
      <c r="D425" s="2176"/>
      <c r="E425" s="2176"/>
      <c r="F425" s="2218"/>
      <c r="G425" s="2218"/>
      <c r="H425" s="2218"/>
      <c r="I425" s="2218"/>
      <c r="J425" s="2218"/>
      <c r="K425" s="2218"/>
      <c r="L425" s="2218"/>
      <c r="M425" s="2218"/>
      <c r="N425" s="2218"/>
    </row>
    <row r="426" spans="1:19">
      <c r="B426" s="2168"/>
      <c r="C426" s="2207"/>
      <c r="D426" s="2176"/>
      <c r="E426" s="2176"/>
      <c r="F426" s="2218"/>
      <c r="G426" s="2218"/>
      <c r="H426" s="2218"/>
      <c r="I426" s="2218"/>
      <c r="J426" s="2218"/>
      <c r="K426" s="2218"/>
      <c r="L426" s="2218"/>
      <c r="M426" s="2218"/>
      <c r="N426" s="2218"/>
    </row>
    <row r="427" spans="1:19" s="2174" customFormat="1">
      <c r="A427" s="2168"/>
      <c r="B427" s="2168"/>
      <c r="C427" s="2207"/>
      <c r="D427" s="2176"/>
      <c r="E427" s="2176"/>
      <c r="F427" s="2220"/>
      <c r="G427" s="2220"/>
      <c r="H427" s="2221"/>
      <c r="I427" s="2221"/>
      <c r="J427" s="2221"/>
      <c r="K427" s="2221"/>
      <c r="L427" s="2220"/>
      <c r="M427" s="2220"/>
      <c r="N427" s="2220"/>
      <c r="P427" s="2170"/>
      <c r="Q427" s="2170"/>
      <c r="R427" s="2170"/>
      <c r="S427" s="2170"/>
    </row>
    <row r="428" spans="1:19" s="2174" customFormat="1">
      <c r="A428" s="2168"/>
      <c r="B428" s="2168"/>
      <c r="C428" s="2207"/>
      <c r="D428" s="2176"/>
      <c r="E428" s="2176"/>
      <c r="F428" s="2220"/>
      <c r="G428" s="2222"/>
      <c r="H428" s="2221"/>
      <c r="I428" s="2221"/>
      <c r="J428" s="2221"/>
      <c r="K428" s="2221"/>
      <c r="L428" s="2220"/>
      <c r="M428" s="2220"/>
      <c r="N428" s="2220"/>
      <c r="P428" s="2170"/>
      <c r="Q428" s="2170"/>
      <c r="R428" s="2170"/>
      <c r="S428" s="2170"/>
    </row>
    <row r="429" spans="1:19" s="2174" customFormat="1">
      <c r="A429" s="2168"/>
      <c r="B429" s="2168"/>
      <c r="C429" s="2207"/>
      <c r="D429" s="2176"/>
      <c r="E429" s="2176"/>
      <c r="F429" s="2177"/>
      <c r="G429" s="2223"/>
      <c r="H429" s="2224"/>
      <c r="I429" s="2224"/>
      <c r="J429" s="2224"/>
      <c r="K429" s="4037"/>
      <c r="L429" s="4037"/>
      <c r="M429" s="2176"/>
      <c r="N429" s="2210"/>
      <c r="P429" s="2170"/>
      <c r="Q429" s="2170"/>
      <c r="R429" s="2170"/>
      <c r="S429" s="2170"/>
    </row>
    <row r="430" spans="1:19">
      <c r="B430" s="2168"/>
      <c r="C430" s="2207"/>
      <c r="D430" s="2176"/>
      <c r="E430" s="2176"/>
      <c r="F430" s="2177"/>
      <c r="G430" s="2225"/>
      <c r="H430" s="2226"/>
      <c r="I430" s="2226"/>
      <c r="J430" s="2226"/>
      <c r="K430" s="2227"/>
      <c r="L430" s="2177"/>
      <c r="M430" s="2176"/>
      <c r="N430" s="2176"/>
    </row>
    <row r="431" spans="1:19">
      <c r="B431" s="2168"/>
      <c r="C431" s="2207"/>
      <c r="D431" s="2176"/>
      <c r="E431" s="2176"/>
      <c r="F431" s="2228"/>
      <c r="G431" s="2229"/>
      <c r="H431" s="2229"/>
      <c r="I431" s="2229"/>
      <c r="J431" s="2229"/>
      <c r="K431" s="2230"/>
      <c r="L431" s="4398"/>
      <c r="M431" s="4398"/>
      <c r="N431" s="2176"/>
    </row>
    <row r="432" spans="1:19">
      <c r="F432" s="2231"/>
      <c r="G432" s="4038"/>
      <c r="H432" s="4038"/>
      <c r="I432" s="3276"/>
      <c r="J432" s="3276"/>
      <c r="K432" s="2208"/>
      <c r="M432" s="2217"/>
    </row>
    <row r="433" spans="1:19">
      <c r="F433" s="2231"/>
      <c r="G433" s="4039"/>
      <c r="H433" s="4035"/>
      <c r="I433" s="3274"/>
      <c r="J433" s="3274"/>
      <c r="K433" s="2232"/>
      <c r="L433" s="2232"/>
    </row>
    <row r="434" spans="1:19" ht="18.75">
      <c r="F434" s="3277"/>
      <c r="G434" s="4040"/>
      <c r="H434" s="4041"/>
      <c r="I434" s="3277"/>
      <c r="J434" s="3277"/>
      <c r="K434" s="2234"/>
      <c r="L434" s="2208"/>
      <c r="M434" s="2235"/>
    </row>
    <row r="435" spans="1:19">
      <c r="G435" s="4034"/>
      <c r="H435" s="4035"/>
      <c r="I435" s="3274"/>
      <c r="J435" s="3274"/>
      <c r="K435" s="2209"/>
      <c r="M435" s="2208"/>
    </row>
    <row r="436" spans="1:19">
      <c r="H436" s="2217"/>
      <c r="I436" s="2217"/>
      <c r="J436" s="2217"/>
      <c r="K436" s="2234"/>
      <c r="M436" s="2236"/>
    </row>
    <row r="437" spans="1:19" s="2174" customFormat="1">
      <c r="A437" s="2168"/>
      <c r="B437" s="3274"/>
      <c r="C437" s="2172"/>
      <c r="D437" s="2170"/>
      <c r="E437" s="2170"/>
      <c r="F437" s="2173"/>
      <c r="G437" s="2170"/>
      <c r="H437" s="2209"/>
      <c r="I437" s="2209"/>
      <c r="J437" s="2209"/>
      <c r="K437" s="2209"/>
      <c r="L437" s="2208"/>
      <c r="M437" s="2208"/>
      <c r="N437" s="2170"/>
      <c r="P437" s="2170"/>
      <c r="Q437" s="2170"/>
      <c r="R437" s="2170"/>
      <c r="S437" s="2170"/>
    </row>
    <row r="438" spans="1:19">
      <c r="H438" s="2234"/>
      <c r="I438" s="2234"/>
      <c r="J438" s="2234"/>
      <c r="K438" s="2217"/>
    </row>
    <row r="439" spans="1:19">
      <c r="F439" s="2231"/>
      <c r="M439" s="2209"/>
    </row>
    <row r="440" spans="1:19">
      <c r="F440" s="2231"/>
      <c r="G440" s="2217"/>
      <c r="M440" s="2209"/>
    </row>
    <row r="441" spans="1:19">
      <c r="F441" s="2231"/>
      <c r="H441" s="2208"/>
      <c r="I441" s="2208"/>
      <c r="J441" s="2208"/>
      <c r="N441" s="2217"/>
    </row>
    <row r="449" spans="6:6">
      <c r="F449" s="2173" t="s">
        <v>1190</v>
      </c>
    </row>
  </sheetData>
  <mergeCells count="36">
    <mergeCell ref="B1:O1"/>
    <mergeCell ref="B2:O2"/>
    <mergeCell ref="B3:O3"/>
    <mergeCell ref="A5:G5"/>
    <mergeCell ref="A6:G6"/>
    <mergeCell ref="B8:O8"/>
    <mergeCell ref="M9:O9"/>
    <mergeCell ref="A10:B11"/>
    <mergeCell ref="C10:C11"/>
    <mergeCell ref="D10:D11"/>
    <mergeCell ref="E10:E11"/>
    <mergeCell ref="F10:I10"/>
    <mergeCell ref="J10:J11"/>
    <mergeCell ref="K10:K11"/>
    <mergeCell ref="L10:L11"/>
    <mergeCell ref="M10:M11"/>
    <mergeCell ref="N10:N11"/>
    <mergeCell ref="O10:O11"/>
    <mergeCell ref="A12:D12"/>
    <mergeCell ref="A192:D192"/>
    <mergeCell ref="A298:E298"/>
    <mergeCell ref="A387:E387"/>
    <mergeCell ref="A416:E416"/>
    <mergeCell ref="A417:E417"/>
    <mergeCell ref="A418:E418"/>
    <mergeCell ref="A421:E421"/>
    <mergeCell ref="F421:H421"/>
    <mergeCell ref="A419:O419"/>
    <mergeCell ref="K420:O420"/>
    <mergeCell ref="K421:O421"/>
    <mergeCell ref="G435:H435"/>
    <mergeCell ref="K429:L429"/>
    <mergeCell ref="L431:M431"/>
    <mergeCell ref="G432:H432"/>
    <mergeCell ref="G433:H433"/>
    <mergeCell ref="G434:H434"/>
  </mergeCells>
  <pageMargins left="0.39370078740157483" right="0.39370078740157483" top="0.39370078740157483" bottom="0.39370078740157483" header="0.39370078740157483" footer="0.39370078740157483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07"/>
  <sheetViews>
    <sheetView workbookViewId="0">
      <selection activeCell="F11" sqref="F11"/>
    </sheetView>
  </sheetViews>
  <sheetFormatPr defaultColWidth="8" defaultRowHeight="15"/>
  <cols>
    <col min="1" max="1" width="4.375" style="547" customWidth="1"/>
    <col min="2" max="2" width="17.125" style="547" customWidth="1"/>
    <col min="3" max="3" width="10.375" style="547" customWidth="1"/>
    <col min="4" max="4" width="11.125" style="547" customWidth="1"/>
    <col min="5" max="6" width="12.75" style="547" customWidth="1"/>
    <col min="7" max="7" width="11.375" style="547" customWidth="1"/>
    <col min="8" max="8" width="14.875" style="547" customWidth="1"/>
    <col min="9" max="10" width="8" style="547"/>
    <col min="11" max="11" width="11.625" style="547" bestFit="1" customWidth="1"/>
    <col min="12" max="16384" width="8" style="547"/>
  </cols>
  <sheetData>
    <row r="1" spans="1:14" ht="15.75">
      <c r="A1" s="4421" t="s">
        <v>165</v>
      </c>
      <c r="B1" s="4421"/>
      <c r="C1" s="4421"/>
      <c r="D1" s="4421"/>
      <c r="E1" s="4421"/>
      <c r="F1" s="4421"/>
      <c r="G1" s="4421"/>
      <c r="H1" s="4421"/>
    </row>
    <row r="2" spans="1:14" ht="15.75">
      <c r="A2" s="4422" t="s">
        <v>171</v>
      </c>
      <c r="B2" s="4422"/>
      <c r="C2" s="4422"/>
      <c r="D2" s="4422"/>
      <c r="E2" s="4422"/>
      <c r="F2" s="4422"/>
      <c r="G2" s="4422"/>
      <c r="H2" s="4422"/>
    </row>
    <row r="3" spans="1:14" ht="15.75">
      <c r="A3" s="2904"/>
      <c r="B3" s="2904"/>
      <c r="C3" s="2904"/>
      <c r="D3" s="2904"/>
      <c r="E3" s="2904"/>
      <c r="F3" s="2904"/>
      <c r="G3" s="2904"/>
      <c r="H3" s="2904"/>
    </row>
    <row r="4" spans="1:14" ht="15.75">
      <c r="A4" s="4425" t="s">
        <v>0</v>
      </c>
      <c r="B4" s="4425"/>
      <c r="C4" s="4425"/>
      <c r="D4" s="4425"/>
      <c r="E4" s="2904"/>
      <c r="F4" s="2904"/>
      <c r="G4" s="2904"/>
      <c r="H4" s="1003"/>
    </row>
    <row r="5" spans="1:14" ht="15.75">
      <c r="A5" s="4422" t="s">
        <v>541</v>
      </c>
      <c r="B5" s="4422"/>
      <c r="C5" s="4422"/>
      <c r="D5" s="4422"/>
      <c r="E5" s="1003"/>
      <c r="F5" s="1003"/>
      <c r="G5" s="1003"/>
      <c r="H5" s="1003"/>
    </row>
    <row r="6" spans="1:14" ht="15.75">
      <c r="A6" s="2905"/>
      <c r="B6" s="2906"/>
      <c r="C6" s="2907"/>
      <c r="D6" s="2907"/>
      <c r="E6" s="1003"/>
      <c r="F6" s="1003"/>
      <c r="G6" s="1003"/>
      <c r="H6" s="1003"/>
    </row>
    <row r="7" spans="1:14" ht="48" customHeight="1">
      <c r="A7" s="4423" t="s">
        <v>1345</v>
      </c>
      <c r="B7" s="4423"/>
      <c r="C7" s="4423"/>
      <c r="D7" s="4423"/>
      <c r="E7" s="4423"/>
      <c r="F7" s="4423"/>
      <c r="G7" s="4423"/>
      <c r="H7" s="4423"/>
    </row>
    <row r="8" spans="1:14" ht="18.75">
      <c r="A8" s="2908"/>
      <c r="B8" s="2909"/>
      <c r="C8" s="2909"/>
      <c r="D8" s="2909"/>
      <c r="E8" s="2909"/>
      <c r="F8" s="2909"/>
      <c r="G8" s="2909"/>
      <c r="H8" s="2909"/>
    </row>
    <row r="9" spans="1:14" ht="31.5">
      <c r="A9" s="2910" t="s">
        <v>1004</v>
      </c>
      <c r="B9" s="2911" t="s">
        <v>318</v>
      </c>
      <c r="C9" s="2911" t="s">
        <v>5</v>
      </c>
      <c r="D9" s="2912" t="s">
        <v>1346</v>
      </c>
      <c r="E9" s="2913" t="s">
        <v>24</v>
      </c>
      <c r="F9" s="2913" t="s">
        <v>362</v>
      </c>
      <c r="G9" s="2911" t="s">
        <v>9</v>
      </c>
      <c r="H9" s="2911" t="s">
        <v>634</v>
      </c>
      <c r="N9" s="547">
        <f>150000/30</f>
        <v>5000</v>
      </c>
    </row>
    <row r="10" spans="1:14" ht="15.75">
      <c r="A10" s="4424" t="s">
        <v>321</v>
      </c>
      <c r="B10" s="4424"/>
      <c r="C10" s="4424"/>
      <c r="D10" s="2914">
        <f>SUM(D11:D46)</f>
        <v>1261</v>
      </c>
      <c r="E10" s="2914">
        <f>SUM(E11:E46)</f>
        <v>11600000</v>
      </c>
      <c r="F10" s="2914">
        <f>SUM(F11:F46)</f>
        <v>464</v>
      </c>
      <c r="G10" s="2911"/>
      <c r="H10" s="2911"/>
    </row>
    <row r="11" spans="1:14" ht="16.5">
      <c r="A11" s="2910">
        <v>1</v>
      </c>
      <c r="B11" s="2915">
        <f>'Chấm công công nhân'!L12</f>
        <v>0</v>
      </c>
      <c r="C11" s="2910" t="s">
        <v>40</v>
      </c>
      <c r="D11" s="2924">
        <f>'Chấm công công nhân'!AV12</f>
        <v>645</v>
      </c>
      <c r="E11" s="2916">
        <f>IF(D11&gt;=25,500000,IF(D11&lt;=24,300000,0))</f>
        <v>500000</v>
      </c>
      <c r="F11" s="2916">
        <f>E11/25000</f>
        <v>20</v>
      </c>
      <c r="G11" s="2911"/>
      <c r="H11" s="2915">
        <f>B11</f>
        <v>0</v>
      </c>
    </row>
    <row r="12" spans="1:14" ht="16.5">
      <c r="A12" s="2910">
        <v>2</v>
      </c>
      <c r="B12" s="2915" t="str">
        <f>'Chấm công công nhân'!L13</f>
        <v>Vắt Đi</v>
      </c>
      <c r="C12" s="2910" t="s">
        <v>40</v>
      </c>
      <c r="D12" s="2924">
        <f>'Chấm công công nhân'!AV13</f>
        <v>14</v>
      </c>
      <c r="E12" s="2916">
        <f t="shared" ref="E12:E46" si="0">IF(D12&gt;=25,500000,IF(D12&lt;=24,300000,0))</f>
        <v>300000</v>
      </c>
      <c r="F12" s="2916">
        <f t="shared" ref="F12:F46" si="1">E12/25000</f>
        <v>12</v>
      </c>
      <c r="G12" s="2911"/>
      <c r="H12" s="2915" t="str">
        <f t="shared" ref="H12:H46" si="2">B12</f>
        <v>Vắt Đi</v>
      </c>
    </row>
    <row r="13" spans="1:14" ht="16.5">
      <c r="A13" s="2910">
        <v>3</v>
      </c>
      <c r="B13" s="2915" t="str">
        <f>'Chấm công công nhân'!L14</f>
        <v>Mẹ Leo</v>
      </c>
      <c r="C13" s="2910" t="s">
        <v>40</v>
      </c>
      <c r="D13" s="2924">
        <f>'Chấm công công nhân'!AV14</f>
        <v>23</v>
      </c>
      <c r="E13" s="2916">
        <f t="shared" si="0"/>
        <v>300000</v>
      </c>
      <c r="F13" s="2916">
        <f t="shared" si="1"/>
        <v>12</v>
      </c>
      <c r="G13" s="2911"/>
      <c r="H13" s="2915" t="str">
        <f t="shared" si="2"/>
        <v>Mẹ Leo</v>
      </c>
      <c r="K13" s="2928">
        <f>E10+E47+E63</f>
        <v>21000000</v>
      </c>
    </row>
    <row r="14" spans="1:14" ht="16.5">
      <c r="A14" s="2910">
        <v>4</v>
      </c>
      <c r="B14" s="2915" t="str">
        <f>'Chấm công công nhân'!L15</f>
        <v xml:space="preserve">Thảo Ken </v>
      </c>
      <c r="C14" s="2910" t="s">
        <v>40</v>
      </c>
      <c r="D14" s="2924">
        <f>'Chấm công công nhân'!AV15</f>
        <v>15</v>
      </c>
      <c r="E14" s="2916">
        <f t="shared" si="0"/>
        <v>300000</v>
      </c>
      <c r="F14" s="2916">
        <f t="shared" si="1"/>
        <v>12</v>
      </c>
      <c r="G14" s="2911"/>
      <c r="H14" s="2915" t="str">
        <f t="shared" si="2"/>
        <v xml:space="preserve">Thảo Ken </v>
      </c>
    </row>
    <row r="15" spans="1:14" ht="16.5">
      <c r="A15" s="2910">
        <v>5</v>
      </c>
      <c r="B15" s="2915" t="str">
        <f>'Chấm công công nhân'!L16</f>
        <v>Thảo Phút</v>
      </c>
      <c r="C15" s="2910" t="s">
        <v>40</v>
      </c>
      <c r="D15" s="2954">
        <f>'Chấm công công nhân'!AV16</f>
        <v>25</v>
      </c>
      <c r="E15" s="2916">
        <f t="shared" si="0"/>
        <v>500000</v>
      </c>
      <c r="F15" s="2916">
        <f t="shared" si="1"/>
        <v>20</v>
      </c>
      <c r="G15" s="2911"/>
      <c r="H15" s="2915" t="str">
        <f t="shared" si="2"/>
        <v>Thảo Phút</v>
      </c>
    </row>
    <row r="16" spans="1:14" ht="16.5">
      <c r="A16" s="2910">
        <v>6</v>
      </c>
      <c r="B16" s="2915" t="str">
        <f>'Chấm công công nhân'!L17</f>
        <v>Thảo Mằn</v>
      </c>
      <c r="C16" s="2910" t="s">
        <v>40</v>
      </c>
      <c r="D16" s="2924">
        <f>'Chấm công công nhân'!AV17</f>
        <v>15</v>
      </c>
      <c r="E16" s="2916">
        <f t="shared" si="0"/>
        <v>300000</v>
      </c>
      <c r="F16" s="2916">
        <f t="shared" si="1"/>
        <v>12</v>
      </c>
      <c r="G16" s="2911"/>
      <c r="H16" s="2915" t="str">
        <f t="shared" si="2"/>
        <v>Thảo Mằn</v>
      </c>
    </row>
    <row r="17" spans="1:8" ht="16.5">
      <c r="A17" s="2910">
        <v>7</v>
      </c>
      <c r="B17" s="2915" t="str">
        <f>'Chấm công công nhân'!L18</f>
        <v>Nàng Chay</v>
      </c>
      <c r="C17" s="2910" t="s">
        <v>40</v>
      </c>
      <c r="D17" s="2924">
        <f>'Chấm công công nhân'!AV18</f>
        <v>16</v>
      </c>
      <c r="E17" s="2916">
        <f t="shared" si="0"/>
        <v>300000</v>
      </c>
      <c r="F17" s="2916">
        <f t="shared" si="1"/>
        <v>12</v>
      </c>
      <c r="G17" s="2911"/>
      <c r="H17" s="2915" t="str">
        <f t="shared" si="2"/>
        <v>Nàng Chay</v>
      </c>
    </row>
    <row r="18" spans="1:8" ht="16.5">
      <c r="A18" s="2910">
        <v>8</v>
      </c>
      <c r="B18" s="2915" t="str">
        <f>'Chấm công công nhân'!L19</f>
        <v>Thảo Sắp</v>
      </c>
      <c r="C18" s="2910" t="s">
        <v>40</v>
      </c>
      <c r="D18" s="2924">
        <f>'Chấm công công nhân'!AV19</f>
        <v>26</v>
      </c>
      <c r="E18" s="2916">
        <f t="shared" si="0"/>
        <v>500000</v>
      </c>
      <c r="F18" s="2916">
        <f t="shared" si="1"/>
        <v>20</v>
      </c>
      <c r="G18" s="2911"/>
      <c r="H18" s="2915" t="str">
        <f t="shared" si="2"/>
        <v>Thảo Sắp</v>
      </c>
    </row>
    <row r="19" spans="1:8" ht="16.5">
      <c r="A19" s="2910">
        <v>9</v>
      </c>
      <c r="B19" s="2915" t="str">
        <f>'Chấm công công nhân'!L20</f>
        <v>Thảo Say</v>
      </c>
      <c r="C19" s="2910" t="s">
        <v>40</v>
      </c>
      <c r="D19" s="2924">
        <f>'Chấm công công nhân'!AV20</f>
        <v>25</v>
      </c>
      <c r="E19" s="2916">
        <f t="shared" si="0"/>
        <v>500000</v>
      </c>
      <c r="F19" s="2916">
        <f t="shared" si="1"/>
        <v>20</v>
      </c>
      <c r="G19" s="2911"/>
      <c r="H19" s="2915" t="str">
        <f t="shared" si="2"/>
        <v>Thảo Say</v>
      </c>
    </row>
    <row r="20" spans="1:8" ht="16.5">
      <c r="A20" s="2910">
        <v>10</v>
      </c>
      <c r="B20" s="2915" t="str">
        <f>'Chấm công công nhân'!L21</f>
        <v>Thảo Cợt</v>
      </c>
      <c r="C20" s="2910" t="s">
        <v>40</v>
      </c>
      <c r="D20" s="2924">
        <f>'Chấm công công nhân'!AV21</f>
        <v>13</v>
      </c>
      <c r="E20" s="2916">
        <f t="shared" si="0"/>
        <v>300000</v>
      </c>
      <c r="F20" s="2916">
        <f t="shared" si="1"/>
        <v>12</v>
      </c>
      <c r="G20" s="2911"/>
      <c r="H20" s="2915" t="str">
        <f t="shared" si="2"/>
        <v>Thảo Cợt</v>
      </c>
    </row>
    <row r="21" spans="1:8" ht="16.5">
      <c r="A21" s="2910">
        <v>11</v>
      </c>
      <c r="B21" s="2915" t="str">
        <f>'Chấm công công nhân'!L22</f>
        <v>Thảo Hôm</v>
      </c>
      <c r="C21" s="2910" t="s">
        <v>40</v>
      </c>
      <c r="D21" s="2924">
        <f>'Chấm công công nhân'!AV22</f>
        <v>21</v>
      </c>
      <c r="E21" s="2916">
        <f t="shared" si="0"/>
        <v>300000</v>
      </c>
      <c r="F21" s="2916">
        <f t="shared" si="1"/>
        <v>12</v>
      </c>
      <c r="G21" s="2911"/>
      <c r="H21" s="2915" t="str">
        <f t="shared" si="2"/>
        <v>Thảo Hôm</v>
      </c>
    </row>
    <row r="22" spans="1:8" ht="16.5">
      <c r="A22" s="2910">
        <v>12</v>
      </c>
      <c r="B22" s="2915" t="str">
        <f>'Chấm công công nhân'!L23</f>
        <v xml:space="preserve">Thảo Khăm  </v>
      </c>
      <c r="C22" s="2910" t="s">
        <v>40</v>
      </c>
      <c r="D22" s="2924">
        <f>'Chấm công công nhân'!AV23</f>
        <v>10</v>
      </c>
      <c r="E22" s="2916">
        <f t="shared" si="0"/>
        <v>300000</v>
      </c>
      <c r="F22" s="2916">
        <f t="shared" si="1"/>
        <v>12</v>
      </c>
      <c r="G22" s="2911"/>
      <c r="H22" s="2915" t="str">
        <f t="shared" si="2"/>
        <v xml:space="preserve">Thảo Khăm  </v>
      </c>
    </row>
    <row r="23" spans="1:8" ht="16.5">
      <c r="A23" s="2910">
        <v>13</v>
      </c>
      <c r="B23" s="2915" t="str">
        <f>'Chấm công công nhân'!L24</f>
        <v>Thảo Hăm</v>
      </c>
      <c r="C23" s="2910" t="s">
        <v>40</v>
      </c>
      <c r="D23" s="2924">
        <f>'Chấm công công nhân'!AV24</f>
        <v>16</v>
      </c>
      <c r="E23" s="2916">
        <f t="shared" si="0"/>
        <v>300000</v>
      </c>
      <c r="F23" s="2916">
        <f t="shared" si="1"/>
        <v>12</v>
      </c>
      <c r="G23" s="2911"/>
      <c r="H23" s="2915" t="str">
        <f t="shared" si="2"/>
        <v>Thảo Hăm</v>
      </c>
    </row>
    <row r="24" spans="1:8" ht="16.5">
      <c r="A24" s="2910">
        <v>14</v>
      </c>
      <c r="B24" s="2915" t="str">
        <f>'Chấm công công nhân'!L25</f>
        <v>Nang Lon</v>
      </c>
      <c r="C24" s="2910" t="s">
        <v>40</v>
      </c>
      <c r="D24" s="2924">
        <f>'Chấm công công nhân'!AV25</f>
        <v>16</v>
      </c>
      <c r="E24" s="2916">
        <f t="shared" si="0"/>
        <v>300000</v>
      </c>
      <c r="F24" s="2916">
        <f t="shared" si="1"/>
        <v>12</v>
      </c>
      <c r="G24" s="2911"/>
      <c r="H24" s="2915" t="str">
        <f t="shared" si="2"/>
        <v>Nang Lon</v>
      </c>
    </row>
    <row r="25" spans="1:8" ht="16.5">
      <c r="A25" s="2910">
        <v>15</v>
      </c>
      <c r="B25" s="2915" t="str">
        <f>'Chấm công công nhân'!L26</f>
        <v>Thảo Pheng</v>
      </c>
      <c r="C25" s="2910" t="s">
        <v>40</v>
      </c>
      <c r="D25" s="2924">
        <f>'Chấm công công nhân'!AV26</f>
        <v>16</v>
      </c>
      <c r="E25" s="2916">
        <f t="shared" si="0"/>
        <v>300000</v>
      </c>
      <c r="F25" s="2916">
        <f t="shared" si="1"/>
        <v>12</v>
      </c>
      <c r="G25" s="2911"/>
      <c r="H25" s="2915" t="str">
        <f t="shared" si="2"/>
        <v>Thảo Pheng</v>
      </c>
    </row>
    <row r="26" spans="1:8" ht="16.5">
      <c r="A26" s="2910">
        <v>16</v>
      </c>
      <c r="B26" s="2915" t="str">
        <f>'Chấm công công nhân'!L27</f>
        <v>Thảo kok</v>
      </c>
      <c r="C26" s="2910" t="s">
        <v>40</v>
      </c>
      <c r="D26" s="2924">
        <f>'Chấm công công nhân'!AV27</f>
        <v>15</v>
      </c>
      <c r="E26" s="2916">
        <f t="shared" si="0"/>
        <v>300000</v>
      </c>
      <c r="F26" s="2916">
        <f t="shared" si="1"/>
        <v>12</v>
      </c>
      <c r="G26" s="2911"/>
      <c r="H26" s="2915" t="str">
        <f t="shared" si="2"/>
        <v>Thảo kok</v>
      </c>
    </row>
    <row r="27" spans="1:8" ht="16.5">
      <c r="A27" s="2910">
        <v>17</v>
      </c>
      <c r="B27" s="2915" t="str">
        <f>'Chấm công công nhân'!L28</f>
        <v>Nàng Sút Chay</v>
      </c>
      <c r="C27" s="2910" t="s">
        <v>40</v>
      </c>
      <c r="D27" s="2954">
        <f>'Chấm công công nhân'!AV28</f>
        <v>14</v>
      </c>
      <c r="E27" s="2916">
        <f t="shared" si="0"/>
        <v>300000</v>
      </c>
      <c r="F27" s="2916">
        <f t="shared" si="1"/>
        <v>12</v>
      </c>
      <c r="G27" s="2911"/>
      <c r="H27" s="2915" t="str">
        <f t="shared" si="2"/>
        <v>Nàng Sút Chay</v>
      </c>
    </row>
    <row r="28" spans="1:8" ht="16.5">
      <c r="A28" s="2910">
        <v>18</v>
      </c>
      <c r="B28" s="2915" t="str">
        <f>'Chấm công công nhân'!L29</f>
        <v>Thảo Khăm Phay</v>
      </c>
      <c r="C28" s="2910" t="s">
        <v>40</v>
      </c>
      <c r="D28" s="2954">
        <f>'Chấm công công nhân'!AV29</f>
        <v>14</v>
      </c>
      <c r="E28" s="2916">
        <f t="shared" si="0"/>
        <v>300000</v>
      </c>
      <c r="F28" s="2916">
        <f t="shared" si="1"/>
        <v>12</v>
      </c>
      <c r="G28" s="2911"/>
      <c r="H28" s="2915" t="str">
        <f t="shared" si="2"/>
        <v>Thảo Khăm Phay</v>
      </c>
    </row>
    <row r="29" spans="1:8" ht="16.5">
      <c r="A29" s="2910">
        <v>19</v>
      </c>
      <c r="B29" s="2915" t="str">
        <f>'Chấm công công nhân'!L30</f>
        <v>Thảo Sớm</v>
      </c>
      <c r="C29" s="2910" t="s">
        <v>40</v>
      </c>
      <c r="D29" s="2924">
        <f>'Chấm công công nhân'!AV30</f>
        <v>15</v>
      </c>
      <c r="E29" s="2916">
        <f t="shared" si="0"/>
        <v>300000</v>
      </c>
      <c r="F29" s="2916">
        <f t="shared" si="1"/>
        <v>12</v>
      </c>
      <c r="G29" s="2911"/>
      <c r="H29" s="2915" t="str">
        <f t="shared" si="2"/>
        <v>Thảo Sớm</v>
      </c>
    </row>
    <row r="30" spans="1:8" ht="16.5">
      <c r="A30" s="2910">
        <v>20</v>
      </c>
      <c r="B30" s="2915" t="str">
        <f>'Chấm công công nhân'!L31</f>
        <v>Pha Xúc</v>
      </c>
      <c r="C30" s="2910" t="s">
        <v>40</v>
      </c>
      <c r="D30" s="2924">
        <f>'Chấm công công nhân'!AV31</f>
        <v>13</v>
      </c>
      <c r="E30" s="2916">
        <f t="shared" si="0"/>
        <v>300000</v>
      </c>
      <c r="F30" s="2916">
        <f t="shared" si="1"/>
        <v>12</v>
      </c>
      <c r="G30" s="2911"/>
      <c r="H30" s="2915" t="str">
        <f t="shared" si="2"/>
        <v>Pha Xúc</v>
      </c>
    </row>
    <row r="31" spans="1:8" ht="16.5">
      <c r="A31" s="2910">
        <v>21</v>
      </c>
      <c r="B31" s="2915" t="str">
        <f>'Chấm công công nhân'!L32</f>
        <v>Nàng Phon</v>
      </c>
      <c r="C31" s="2910" t="s">
        <v>40</v>
      </c>
      <c r="D31" s="2924">
        <f>'Chấm công công nhân'!AV32</f>
        <v>17</v>
      </c>
      <c r="E31" s="2916">
        <f t="shared" si="0"/>
        <v>300000</v>
      </c>
      <c r="F31" s="2916">
        <f t="shared" si="1"/>
        <v>12</v>
      </c>
      <c r="G31" s="2911"/>
      <c r="H31" s="2915" t="str">
        <f t="shared" si="2"/>
        <v>Nàng Phon</v>
      </c>
    </row>
    <row r="32" spans="1:8" ht="16.5">
      <c r="A32" s="2910">
        <v>22</v>
      </c>
      <c r="B32" s="2915" t="str">
        <f>'Chấm công công nhân'!L33</f>
        <v>Thảo Chăn</v>
      </c>
      <c r="C32" s="2910" t="s">
        <v>40</v>
      </c>
      <c r="D32" s="2924">
        <f>'Chấm công công nhân'!AV33</f>
        <v>17</v>
      </c>
      <c r="E32" s="2916">
        <f t="shared" si="0"/>
        <v>300000</v>
      </c>
      <c r="F32" s="2916">
        <f t="shared" si="1"/>
        <v>12</v>
      </c>
      <c r="G32" s="2911"/>
      <c r="H32" s="2915" t="str">
        <f t="shared" si="2"/>
        <v>Thảo Chăn</v>
      </c>
    </row>
    <row r="33" spans="1:8" ht="16.5">
      <c r="A33" s="2910">
        <v>23</v>
      </c>
      <c r="B33" s="2915" t="str">
        <f>'Chấm công công nhân'!L34</f>
        <v>Thong La</v>
      </c>
      <c r="C33" s="2910" t="s">
        <v>40</v>
      </c>
      <c r="D33" s="2924">
        <f>'Chấm công công nhân'!AV34</f>
        <v>17</v>
      </c>
      <c r="E33" s="2916">
        <f t="shared" si="0"/>
        <v>300000</v>
      </c>
      <c r="F33" s="2916">
        <f t="shared" si="1"/>
        <v>12</v>
      </c>
      <c r="G33" s="2911"/>
      <c r="H33" s="2915" t="str">
        <f t="shared" si="2"/>
        <v>Thong La</v>
      </c>
    </row>
    <row r="34" spans="1:8" ht="16.5">
      <c r="A34" s="2910">
        <v>24</v>
      </c>
      <c r="B34" s="2915" t="str">
        <f>'Chấm công công nhân'!L35</f>
        <v>Thảo Cum Pha</v>
      </c>
      <c r="C34" s="2910" t="s">
        <v>40</v>
      </c>
      <c r="D34" s="2954">
        <f>'Chấm công công nhân'!AV35</f>
        <v>10</v>
      </c>
      <c r="E34" s="2916">
        <f t="shared" si="0"/>
        <v>300000</v>
      </c>
      <c r="F34" s="2916">
        <f t="shared" si="1"/>
        <v>12</v>
      </c>
      <c r="G34" s="2911"/>
      <c r="H34" s="2915" t="str">
        <f t="shared" si="2"/>
        <v>Thảo Cum Pha</v>
      </c>
    </row>
    <row r="35" spans="1:8" ht="16.5">
      <c r="A35" s="2910">
        <v>25</v>
      </c>
      <c r="B35" s="2915" t="str">
        <f>'Chấm công công nhân'!L36</f>
        <v>T Ô Vên</v>
      </c>
      <c r="C35" s="2910" t="s">
        <v>40</v>
      </c>
      <c r="D35" s="2924">
        <f>'Chấm công công nhân'!AV36</f>
        <v>17</v>
      </c>
      <c r="E35" s="2916">
        <f t="shared" si="0"/>
        <v>300000</v>
      </c>
      <c r="F35" s="2916">
        <f t="shared" si="1"/>
        <v>12</v>
      </c>
      <c r="G35" s="2911"/>
      <c r="H35" s="2915" t="str">
        <f t="shared" si="2"/>
        <v>T Ô Vên</v>
      </c>
    </row>
    <row r="36" spans="1:8" ht="16.5">
      <c r="A36" s="2910">
        <v>26</v>
      </c>
      <c r="B36" s="2915" t="str">
        <f>'Chấm công công nhân'!L37</f>
        <v>Nàng Lam</v>
      </c>
      <c r="C36" s="2910" t="s">
        <v>40</v>
      </c>
      <c r="D36" s="2924">
        <f>'Chấm công công nhân'!AV37</f>
        <v>22</v>
      </c>
      <c r="E36" s="2916">
        <f t="shared" si="0"/>
        <v>300000</v>
      </c>
      <c r="F36" s="2916">
        <f t="shared" si="1"/>
        <v>12</v>
      </c>
      <c r="G36" s="2911"/>
      <c r="H36" s="2915" t="str">
        <f t="shared" si="2"/>
        <v>Nàng Lam</v>
      </c>
    </row>
    <row r="37" spans="1:8" ht="16.5">
      <c r="A37" s="2910">
        <v>27</v>
      </c>
      <c r="B37" s="2915" t="str">
        <f>'Chấm công công nhân'!L38</f>
        <v>Nàng Hđao</v>
      </c>
      <c r="C37" s="2910" t="s">
        <v>40</v>
      </c>
      <c r="D37" s="2924">
        <f>'Chấm công công nhân'!AV38</f>
        <v>16</v>
      </c>
      <c r="E37" s="2916">
        <f t="shared" si="0"/>
        <v>300000</v>
      </c>
      <c r="F37" s="2916">
        <f t="shared" si="1"/>
        <v>12</v>
      </c>
      <c r="G37" s="2911"/>
      <c r="H37" s="2915" t="str">
        <f t="shared" si="2"/>
        <v>Nàng Hđao</v>
      </c>
    </row>
    <row r="38" spans="1:8" ht="16.5">
      <c r="A38" s="2910">
        <v>28</v>
      </c>
      <c r="B38" s="2915" t="str">
        <f>'Chấm công công nhân'!L39</f>
        <v>Thảo Tong</v>
      </c>
      <c r="C38" s="2910" t="s">
        <v>40</v>
      </c>
      <c r="D38" s="2924">
        <f>'Chấm công công nhân'!AV39</f>
        <v>17</v>
      </c>
      <c r="E38" s="2916">
        <f t="shared" si="0"/>
        <v>300000</v>
      </c>
      <c r="F38" s="2916">
        <f t="shared" si="1"/>
        <v>12</v>
      </c>
      <c r="G38" s="2911"/>
      <c r="H38" s="2915" t="str">
        <f t="shared" si="2"/>
        <v>Thảo Tong</v>
      </c>
    </row>
    <row r="39" spans="1:8" ht="16.5">
      <c r="A39" s="2910">
        <v>29</v>
      </c>
      <c r="B39" s="2915" t="str">
        <f>'Chấm công công nhân'!L40</f>
        <v>Thảo Khốc</v>
      </c>
      <c r="C39" s="2910" t="s">
        <v>40</v>
      </c>
      <c r="D39" s="2924">
        <f>'Chấm công công nhân'!AV40</f>
        <v>22</v>
      </c>
      <c r="E39" s="2916">
        <f t="shared" si="0"/>
        <v>300000</v>
      </c>
      <c r="F39" s="2916">
        <f t="shared" si="1"/>
        <v>12</v>
      </c>
      <c r="G39" s="2911"/>
      <c r="H39" s="2915" t="str">
        <f t="shared" si="2"/>
        <v>Thảo Khốc</v>
      </c>
    </row>
    <row r="40" spans="1:8" ht="16.5">
      <c r="A40" s="2910">
        <v>30</v>
      </c>
      <c r="B40" s="2915" t="str">
        <f>'Chấm công công nhân'!L41</f>
        <v>Thảo Sợt</v>
      </c>
      <c r="C40" s="2910" t="s">
        <v>40</v>
      </c>
      <c r="D40" s="2924">
        <f>'Chấm công công nhân'!AV41</f>
        <v>22</v>
      </c>
      <c r="E40" s="2916">
        <f t="shared" si="0"/>
        <v>300000</v>
      </c>
      <c r="F40" s="2916">
        <f t="shared" si="1"/>
        <v>12</v>
      </c>
      <c r="G40" s="2911"/>
      <c r="H40" s="2915" t="str">
        <f t="shared" si="2"/>
        <v>Thảo Sợt</v>
      </c>
    </row>
    <row r="41" spans="1:8" ht="16.5">
      <c r="A41" s="2910">
        <v>31</v>
      </c>
      <c r="B41" s="2915" t="str">
        <f>'Chấm công công nhân'!L42</f>
        <v>Thảo Văn</v>
      </c>
      <c r="C41" s="2910" t="s">
        <v>40</v>
      </c>
      <c r="D41" s="2924">
        <f>'Chấm công công nhân'!AV42</f>
        <v>15</v>
      </c>
      <c r="E41" s="2916">
        <f t="shared" si="0"/>
        <v>300000</v>
      </c>
      <c r="F41" s="2916">
        <f t="shared" si="1"/>
        <v>12</v>
      </c>
      <c r="G41" s="2911"/>
      <c r="H41" s="2915" t="str">
        <f t="shared" si="2"/>
        <v>Thảo Văn</v>
      </c>
    </row>
    <row r="42" spans="1:8" ht="16.5">
      <c r="A42" s="2910">
        <v>32</v>
      </c>
      <c r="B42" s="2915" t="str">
        <f>'Chấm công công nhân'!L43</f>
        <v>Nàng Túc</v>
      </c>
      <c r="C42" s="2910" t="s">
        <v>40</v>
      </c>
      <c r="D42" s="2924">
        <f>'Chấm công công nhân'!AV43</f>
        <v>17</v>
      </c>
      <c r="E42" s="2916">
        <f t="shared" si="0"/>
        <v>300000</v>
      </c>
      <c r="F42" s="2916">
        <f t="shared" si="1"/>
        <v>12</v>
      </c>
      <c r="G42" s="2911"/>
      <c r="H42" s="2915" t="str">
        <f t="shared" si="2"/>
        <v>Nàng Túc</v>
      </c>
    </row>
    <row r="43" spans="1:8" ht="16.5">
      <c r="A43" s="2910">
        <v>33</v>
      </c>
      <c r="B43" s="2915" t="str">
        <f>'Chấm công công nhân'!L44</f>
        <v>Nàng Chon</v>
      </c>
      <c r="C43" s="2910" t="s">
        <v>40</v>
      </c>
      <c r="D43" s="2924">
        <f>'Chấm công công nhân'!AV44</f>
        <v>22</v>
      </c>
      <c r="E43" s="2916">
        <f t="shared" si="0"/>
        <v>300000</v>
      </c>
      <c r="F43" s="2916">
        <f t="shared" si="1"/>
        <v>12</v>
      </c>
      <c r="G43" s="2911"/>
      <c r="H43" s="2915" t="str">
        <f t="shared" si="2"/>
        <v>Nàng Chon</v>
      </c>
    </row>
    <row r="44" spans="1:8" ht="16.5">
      <c r="A44" s="2910">
        <v>34</v>
      </c>
      <c r="B44" s="2915" t="str">
        <f>'Chấm công công nhân'!L45</f>
        <v>Thảo Hơ Phơ</v>
      </c>
      <c r="C44" s="2910" t="s">
        <v>40</v>
      </c>
      <c r="D44" s="2924">
        <f>'Chấm công công nhân'!AV45</f>
        <v>20</v>
      </c>
      <c r="E44" s="2916">
        <f t="shared" si="0"/>
        <v>300000</v>
      </c>
      <c r="F44" s="2916">
        <f t="shared" si="1"/>
        <v>12</v>
      </c>
      <c r="G44" s="2911"/>
      <c r="H44" s="2915" t="str">
        <f t="shared" si="2"/>
        <v>Thảo Hơ Phơ</v>
      </c>
    </row>
    <row r="45" spans="1:8" ht="16.5">
      <c r="A45" s="2910">
        <v>35</v>
      </c>
      <c r="B45" s="2915" t="str">
        <f>'Chấm công công nhân'!L46</f>
        <v>Thảo Phét</v>
      </c>
      <c r="C45" s="2910" t="s">
        <v>40</v>
      </c>
      <c r="D45" s="2924">
        <f>'Chấm công công nhân'!AV46</f>
        <v>23</v>
      </c>
      <c r="E45" s="2916">
        <f t="shared" si="0"/>
        <v>300000</v>
      </c>
      <c r="F45" s="2916">
        <f t="shared" si="1"/>
        <v>12</v>
      </c>
      <c r="G45" s="2911"/>
      <c r="H45" s="2915" t="str">
        <f t="shared" si="2"/>
        <v>Thảo Phét</v>
      </c>
    </row>
    <row r="46" spans="1:8" ht="16.5">
      <c r="A46" s="2910">
        <v>36</v>
      </c>
      <c r="B46" s="2915" t="str">
        <f>'Chấm công công nhân'!L47</f>
        <v>Hăn</v>
      </c>
      <c r="C46" s="2910" t="s">
        <v>40</v>
      </c>
      <c r="D46" s="2924">
        <f>'Chấm công công nhân'!AV47</f>
        <v>20</v>
      </c>
      <c r="E46" s="2916">
        <f t="shared" si="0"/>
        <v>300000</v>
      </c>
      <c r="F46" s="2916">
        <f t="shared" si="1"/>
        <v>12</v>
      </c>
      <c r="G46" s="2911"/>
      <c r="H46" s="2915" t="str">
        <f t="shared" si="2"/>
        <v>Hăn</v>
      </c>
    </row>
    <row r="47" spans="1:8" ht="15.75">
      <c r="A47" s="4424" t="s">
        <v>322</v>
      </c>
      <c r="B47" s="4424"/>
      <c r="C47" s="4424"/>
      <c r="D47" s="2914">
        <f>SUM(D48:D62)</f>
        <v>507</v>
      </c>
      <c r="E47" s="2914">
        <f>SUM(E48:E62)</f>
        <v>4700000</v>
      </c>
      <c r="F47" s="2914">
        <f>SUM(F48:F62)</f>
        <v>188</v>
      </c>
      <c r="G47" s="2911"/>
      <c r="H47" s="2911"/>
    </row>
    <row r="48" spans="1:8" ht="16.5">
      <c r="A48" s="2910">
        <v>1</v>
      </c>
      <c r="B48" s="2915" t="str">
        <f>'Chấm công công nhân'!L49</f>
        <v>Thảo Đa Văn</v>
      </c>
      <c r="C48" s="2910" t="s">
        <v>40</v>
      </c>
      <c r="D48" s="2924">
        <f>'Chấm công công nhân'!AV49</f>
        <v>6</v>
      </c>
      <c r="E48" s="2916">
        <f t="shared" ref="E48:E62" si="3">IF(D48&gt;=25,500000,IF(D48&lt;=24,300000,0))</f>
        <v>300000</v>
      </c>
      <c r="F48" s="2916">
        <f>E48/25000</f>
        <v>12</v>
      </c>
      <c r="G48" s="2911"/>
      <c r="H48" s="2915" t="str">
        <f t="shared" ref="H48:H62" si="4">B48</f>
        <v>Thảo Đa Văn</v>
      </c>
    </row>
    <row r="49" spans="1:8" ht="16.5">
      <c r="A49" s="2910">
        <v>2</v>
      </c>
      <c r="B49" s="2915">
        <f>'Chấm công công nhân'!L50</f>
        <v>0</v>
      </c>
      <c r="C49" s="2910" t="s">
        <v>40</v>
      </c>
      <c r="D49" s="2924">
        <f>'Chấm công công nhân'!AV50</f>
        <v>273</v>
      </c>
      <c r="E49" s="2916">
        <f t="shared" si="3"/>
        <v>500000</v>
      </c>
      <c r="F49" s="2916">
        <f t="shared" ref="F49:F78" si="5">E49/25000</f>
        <v>20</v>
      </c>
      <c r="G49" s="2911"/>
      <c r="H49" s="2915">
        <f t="shared" si="4"/>
        <v>0</v>
      </c>
    </row>
    <row r="50" spans="1:8" ht="16.5">
      <c r="A50" s="2910">
        <v>3</v>
      </c>
      <c r="B50" s="2915" t="str">
        <f>'Chấm công công nhân'!L51</f>
        <v>Thảo Xa Đết</v>
      </c>
      <c r="C50" s="2910" t="s">
        <v>40</v>
      </c>
      <c r="D50" s="2924">
        <f>'Chấm công công nhân'!AV51</f>
        <v>13</v>
      </c>
      <c r="E50" s="2916">
        <f t="shared" si="3"/>
        <v>300000</v>
      </c>
      <c r="F50" s="2916">
        <f t="shared" si="5"/>
        <v>12</v>
      </c>
      <c r="G50" s="2911"/>
      <c r="H50" s="2915" t="str">
        <f t="shared" si="4"/>
        <v>Thảo Xa Đết</v>
      </c>
    </row>
    <row r="51" spans="1:8" ht="16.5">
      <c r="A51" s="2910">
        <v>4</v>
      </c>
      <c r="B51" s="2915" t="str">
        <f>'Chấm công công nhân'!L52</f>
        <v>Thảo Sột</v>
      </c>
      <c r="C51" s="2910" t="s">
        <v>40</v>
      </c>
      <c r="D51" s="2924">
        <f>'Chấm công công nhân'!AV52</f>
        <v>20</v>
      </c>
      <c r="E51" s="2916">
        <f t="shared" si="3"/>
        <v>300000</v>
      </c>
      <c r="F51" s="2916">
        <f t="shared" si="5"/>
        <v>12</v>
      </c>
      <c r="G51" s="2911"/>
      <c r="H51" s="2915" t="str">
        <f t="shared" si="4"/>
        <v>Thảo Sột</v>
      </c>
    </row>
    <row r="52" spans="1:8" ht="16.5">
      <c r="A52" s="2910">
        <v>5</v>
      </c>
      <c r="B52" s="2915" t="str">
        <f>'Chấm công công nhân'!L53</f>
        <v>Stoong</v>
      </c>
      <c r="C52" s="2910" t="s">
        <v>40</v>
      </c>
      <c r="D52" s="2924">
        <f>'Chấm công công nhân'!AV53</f>
        <v>16</v>
      </c>
      <c r="E52" s="2916">
        <f t="shared" si="3"/>
        <v>300000</v>
      </c>
      <c r="F52" s="2916">
        <f t="shared" si="5"/>
        <v>12</v>
      </c>
      <c r="G52" s="2911"/>
      <c r="H52" s="2915" t="str">
        <f t="shared" si="4"/>
        <v>Stoong</v>
      </c>
    </row>
    <row r="53" spans="1:8" ht="16.5">
      <c r="A53" s="2910">
        <v>6</v>
      </c>
      <c r="B53" s="2915" t="str">
        <f>'Chấm công công nhân'!L54</f>
        <v>Nàng Phắt</v>
      </c>
      <c r="C53" s="2910" t="s">
        <v>40</v>
      </c>
      <c r="D53" s="2924">
        <f>'Chấm công công nhân'!AV54</f>
        <v>16</v>
      </c>
      <c r="E53" s="2916">
        <f t="shared" si="3"/>
        <v>300000</v>
      </c>
      <c r="F53" s="2916">
        <f t="shared" si="5"/>
        <v>12</v>
      </c>
      <c r="G53" s="2911"/>
      <c r="H53" s="2915" t="str">
        <f t="shared" si="4"/>
        <v>Nàng Phắt</v>
      </c>
    </row>
    <row r="54" spans="1:8" ht="16.5">
      <c r="A54" s="2910">
        <v>7</v>
      </c>
      <c r="B54" s="2915" t="str">
        <f>'Chấm công công nhân'!L55</f>
        <v>Nàng May</v>
      </c>
      <c r="C54" s="2910" t="s">
        <v>40</v>
      </c>
      <c r="D54" s="2924">
        <f>'Chấm công công nhân'!AV55</f>
        <v>17</v>
      </c>
      <c r="E54" s="2916">
        <f t="shared" si="3"/>
        <v>300000</v>
      </c>
      <c r="F54" s="2916">
        <f t="shared" si="5"/>
        <v>12</v>
      </c>
      <c r="G54" s="2911"/>
      <c r="H54" s="2915" t="str">
        <f t="shared" si="4"/>
        <v>Nàng May</v>
      </c>
    </row>
    <row r="55" spans="1:8" ht="16.5">
      <c r="A55" s="2910">
        <v>8</v>
      </c>
      <c r="B55" s="2915" t="str">
        <f>'Chấm công công nhân'!L56</f>
        <v>Thảo Bênh</v>
      </c>
      <c r="C55" s="2910" t="s">
        <v>40</v>
      </c>
      <c r="D55" s="2924">
        <f>'Chấm công công nhân'!AV56</f>
        <v>17</v>
      </c>
      <c r="E55" s="2916">
        <f t="shared" si="3"/>
        <v>300000</v>
      </c>
      <c r="F55" s="2916">
        <f t="shared" si="5"/>
        <v>12</v>
      </c>
      <c r="G55" s="2911"/>
      <c r="H55" s="2915" t="str">
        <f t="shared" si="4"/>
        <v>Thảo Bênh</v>
      </c>
    </row>
    <row r="56" spans="1:8" ht="16.5">
      <c r="A56" s="2910">
        <v>9</v>
      </c>
      <c r="B56" s="2915" t="str">
        <f>'Chấm công công nhân'!L57</f>
        <v>Thảo Đinh</v>
      </c>
      <c r="C56" s="2910" t="s">
        <v>40</v>
      </c>
      <c r="D56" s="2924">
        <f>'Chấm công công nhân'!AV57</f>
        <v>24</v>
      </c>
      <c r="E56" s="2916">
        <f t="shared" si="3"/>
        <v>300000</v>
      </c>
      <c r="F56" s="2916">
        <f t="shared" si="5"/>
        <v>12</v>
      </c>
      <c r="G56" s="2911"/>
      <c r="H56" s="2915" t="str">
        <f t="shared" si="4"/>
        <v>Thảo Đinh</v>
      </c>
    </row>
    <row r="57" spans="1:8" ht="16.5">
      <c r="A57" s="2910">
        <v>10</v>
      </c>
      <c r="B57" s="2915" t="str">
        <f>'Chấm công công nhân'!L58</f>
        <v>Thảo Vi</v>
      </c>
      <c r="C57" s="2910" t="s">
        <v>40</v>
      </c>
      <c r="D57" s="2924">
        <f>'Chấm công công nhân'!AV58</f>
        <v>16</v>
      </c>
      <c r="E57" s="2916">
        <f t="shared" si="3"/>
        <v>300000</v>
      </c>
      <c r="F57" s="2916">
        <f t="shared" si="5"/>
        <v>12</v>
      </c>
      <c r="G57" s="2911"/>
      <c r="H57" s="2915" t="str">
        <f t="shared" si="4"/>
        <v>Thảo Vi</v>
      </c>
    </row>
    <row r="58" spans="1:8" ht="16.5">
      <c r="A58" s="2910">
        <v>11</v>
      </c>
      <c r="B58" s="2915" t="str">
        <f>'Chấm công công nhân'!L59</f>
        <v>Thảo Văn</v>
      </c>
      <c r="C58" s="2910" t="s">
        <v>40</v>
      </c>
      <c r="D58" s="2924">
        <f>'Chấm công công nhân'!AV59</f>
        <v>22</v>
      </c>
      <c r="E58" s="2916">
        <f t="shared" si="3"/>
        <v>300000</v>
      </c>
      <c r="F58" s="2916">
        <f t="shared" si="5"/>
        <v>12</v>
      </c>
      <c r="G58" s="2911"/>
      <c r="H58" s="2915" t="str">
        <f t="shared" si="4"/>
        <v>Thảo Văn</v>
      </c>
    </row>
    <row r="59" spans="1:8" ht="16.5">
      <c r="A59" s="2910">
        <v>12</v>
      </c>
      <c r="B59" s="2915" t="str">
        <f>'Chấm công công nhân'!L60</f>
        <v>Nàng Phìn</v>
      </c>
      <c r="C59" s="2910" t="s">
        <v>40</v>
      </c>
      <c r="D59" s="2924">
        <f>'Chấm công công nhân'!AV60</f>
        <v>19</v>
      </c>
      <c r="E59" s="2916">
        <f t="shared" si="3"/>
        <v>300000</v>
      </c>
      <c r="F59" s="2916">
        <f t="shared" si="5"/>
        <v>12</v>
      </c>
      <c r="G59" s="2911"/>
      <c r="H59" s="2915" t="str">
        <f t="shared" si="4"/>
        <v>Nàng Phìn</v>
      </c>
    </row>
    <row r="60" spans="1:8" ht="16.5">
      <c r="A60" s="2910">
        <v>13</v>
      </c>
      <c r="B60" s="2915" t="str">
        <f>'Chấm công công nhân'!L61</f>
        <v>Mẹ Sột</v>
      </c>
      <c r="C60" s="2910" t="s">
        <v>40</v>
      </c>
      <c r="D60" s="2924">
        <f>'Chấm công công nhân'!AV61</f>
        <v>19</v>
      </c>
      <c r="E60" s="2916">
        <f t="shared" si="3"/>
        <v>300000</v>
      </c>
      <c r="F60" s="2916">
        <f t="shared" si="5"/>
        <v>12</v>
      </c>
      <c r="G60" s="2911"/>
      <c r="H60" s="2915" t="str">
        <f t="shared" si="4"/>
        <v>Mẹ Sột</v>
      </c>
    </row>
    <row r="61" spans="1:8" ht="16.5">
      <c r="A61" s="2910">
        <v>14</v>
      </c>
      <c r="B61" s="2915" t="str">
        <f>'Chấm công công nhân'!L62</f>
        <v>Nàng Heo</v>
      </c>
      <c r="C61" s="2910" t="s">
        <v>40</v>
      </c>
      <c r="D61" s="2924">
        <f>'Chấm công công nhân'!AV62</f>
        <v>16</v>
      </c>
      <c r="E61" s="2916">
        <f t="shared" si="3"/>
        <v>300000</v>
      </c>
      <c r="F61" s="2916">
        <f t="shared" si="5"/>
        <v>12</v>
      </c>
      <c r="G61" s="2911"/>
      <c r="H61" s="2915" t="str">
        <f t="shared" si="4"/>
        <v>Nàng Heo</v>
      </c>
    </row>
    <row r="62" spans="1:8" ht="16.5">
      <c r="A62" s="2910">
        <v>15</v>
      </c>
      <c r="B62" s="2915" t="str">
        <f>'Chấm công công nhân'!L63</f>
        <v>Thảo Chăn Ti</v>
      </c>
      <c r="C62" s="2910" t="s">
        <v>40</v>
      </c>
      <c r="D62" s="2924">
        <f>'Chấm công công nhân'!AV63</f>
        <v>13</v>
      </c>
      <c r="E62" s="2916">
        <f t="shared" si="3"/>
        <v>300000</v>
      </c>
      <c r="F62" s="2916">
        <f t="shared" si="5"/>
        <v>12</v>
      </c>
      <c r="G62" s="2911"/>
      <c r="H62" s="2915" t="str">
        <f t="shared" si="4"/>
        <v>Thảo Chăn Ti</v>
      </c>
    </row>
    <row r="63" spans="1:8" ht="15.75">
      <c r="A63" s="4424" t="s">
        <v>371</v>
      </c>
      <c r="B63" s="4424"/>
      <c r="C63" s="4424"/>
      <c r="D63" s="2914">
        <f>SUM(D64:D78)</f>
        <v>406</v>
      </c>
      <c r="E63" s="2914">
        <f>SUM(E64:E78)</f>
        <v>4700000</v>
      </c>
      <c r="F63" s="2914">
        <f>SUM(F64:F78)</f>
        <v>188</v>
      </c>
      <c r="G63" s="2911"/>
      <c r="H63" s="2911"/>
    </row>
    <row r="64" spans="1:8" ht="16.5">
      <c r="A64" s="2910">
        <v>1</v>
      </c>
      <c r="B64" s="2915" t="str">
        <f>'Chấm công công nhân'!L65</f>
        <v>Nàng Phết</v>
      </c>
      <c r="C64" s="2910" t="s">
        <v>40</v>
      </c>
      <c r="D64" s="2925">
        <f>'Chấm công công nhân'!AV65</f>
        <v>13</v>
      </c>
      <c r="E64" s="2916">
        <f t="shared" ref="E64:E78" si="6">IF(D64&gt;=25,500000,IF(D64&lt;=24,300000,0))</f>
        <v>300000</v>
      </c>
      <c r="F64" s="2916">
        <f t="shared" si="5"/>
        <v>12</v>
      </c>
      <c r="G64" s="2911"/>
      <c r="H64" s="2915" t="str">
        <f t="shared" ref="H64:H78" si="7">B64</f>
        <v>Nàng Phết</v>
      </c>
    </row>
    <row r="65" spans="1:11" ht="16.5">
      <c r="A65" s="2910">
        <v>2</v>
      </c>
      <c r="B65" s="2915" t="str">
        <f>'Chấm công công nhân'!L66</f>
        <v>Thảo On</v>
      </c>
      <c r="C65" s="2910" t="s">
        <v>40</v>
      </c>
      <c r="D65" s="2925">
        <f>'Chấm công công nhân'!AV66</f>
        <v>4</v>
      </c>
      <c r="E65" s="2916">
        <f t="shared" si="6"/>
        <v>300000</v>
      </c>
      <c r="F65" s="2916">
        <f t="shared" si="5"/>
        <v>12</v>
      </c>
      <c r="G65" s="2911"/>
      <c r="H65" s="2915" t="str">
        <f t="shared" si="7"/>
        <v>Thảo On</v>
      </c>
    </row>
    <row r="66" spans="1:11" ht="16.5">
      <c r="A66" s="2910">
        <v>3</v>
      </c>
      <c r="B66" s="2915" t="str">
        <f>'Chấm công công nhân'!L67</f>
        <v>Thảo Sum</v>
      </c>
      <c r="C66" s="2910" t="s">
        <v>40</v>
      </c>
      <c r="D66" s="2925">
        <f>'Chấm công công nhân'!AV67</f>
        <v>4</v>
      </c>
      <c r="E66" s="2916">
        <f t="shared" si="6"/>
        <v>300000</v>
      </c>
      <c r="F66" s="2916">
        <f t="shared" si="5"/>
        <v>12</v>
      </c>
      <c r="G66" s="2911"/>
      <c r="H66" s="2915" t="str">
        <f t="shared" si="7"/>
        <v>Thảo Sum</v>
      </c>
    </row>
    <row r="67" spans="1:11" ht="16.5">
      <c r="A67" s="2910">
        <v>4</v>
      </c>
      <c r="B67" s="2915" t="str">
        <f>'Chấm công công nhân'!L68</f>
        <v>Cha La</v>
      </c>
      <c r="C67" s="2910" t="s">
        <v>40</v>
      </c>
      <c r="D67" s="2925">
        <f>'Chấm công công nhân'!AV68</f>
        <v>4</v>
      </c>
      <c r="E67" s="2916">
        <f t="shared" si="6"/>
        <v>300000</v>
      </c>
      <c r="F67" s="2916">
        <f t="shared" si="5"/>
        <v>12</v>
      </c>
      <c r="G67" s="2911"/>
      <c r="H67" s="2915" t="str">
        <f t="shared" si="7"/>
        <v>Cha La</v>
      </c>
    </row>
    <row r="68" spans="1:11" ht="16.5">
      <c r="A68" s="2910">
        <v>5</v>
      </c>
      <c r="B68" s="2915" t="str">
        <f>'Chấm công công nhân'!L69</f>
        <v>Nàng Binh</v>
      </c>
      <c r="C68" s="2910" t="s">
        <v>40</v>
      </c>
      <c r="D68" s="2925">
        <f>'Chấm công công nhân'!AV69</f>
        <v>2</v>
      </c>
      <c r="E68" s="2916">
        <f t="shared" si="6"/>
        <v>300000</v>
      </c>
      <c r="F68" s="2916">
        <f t="shared" si="5"/>
        <v>12</v>
      </c>
      <c r="G68" s="2911"/>
      <c r="H68" s="2915" t="str">
        <f t="shared" si="7"/>
        <v>Nàng Binh</v>
      </c>
    </row>
    <row r="69" spans="1:11" ht="16.5">
      <c r="A69" s="2910">
        <v>6</v>
      </c>
      <c r="B69" s="2915">
        <f>'Chấm công công nhân'!L70</f>
        <v>0</v>
      </c>
      <c r="C69" s="2910" t="s">
        <v>40</v>
      </c>
      <c r="D69" s="2925">
        <f>'Chấm công công nhân'!AV70</f>
        <v>224</v>
      </c>
      <c r="E69" s="2916">
        <f t="shared" si="6"/>
        <v>500000</v>
      </c>
      <c r="F69" s="2916">
        <f t="shared" si="5"/>
        <v>20</v>
      </c>
      <c r="G69" s="2911"/>
      <c r="H69" s="2915">
        <f t="shared" si="7"/>
        <v>0</v>
      </c>
    </row>
    <row r="70" spans="1:11" ht="16.5">
      <c r="A70" s="2910">
        <v>7</v>
      </c>
      <c r="B70" s="2915" t="str">
        <f>'Chấm công công nhân'!L71</f>
        <v>Thảo Bun</v>
      </c>
      <c r="C70" s="2910" t="s">
        <v>40</v>
      </c>
      <c r="D70" s="2925">
        <f>'Chấm công công nhân'!AV71</f>
        <v>23</v>
      </c>
      <c r="E70" s="2916">
        <f t="shared" si="6"/>
        <v>300000</v>
      </c>
      <c r="F70" s="2916">
        <f t="shared" si="5"/>
        <v>12</v>
      </c>
      <c r="G70" s="2911"/>
      <c r="H70" s="2915" t="str">
        <f t="shared" si="7"/>
        <v>Thảo Bun</v>
      </c>
    </row>
    <row r="71" spans="1:11" ht="16.5">
      <c r="A71" s="2910">
        <v>8</v>
      </c>
      <c r="B71" s="2915" t="str">
        <f>'Chấm công công nhân'!L72</f>
        <v>Thảo Nga</v>
      </c>
      <c r="C71" s="2910" t="s">
        <v>40</v>
      </c>
      <c r="D71" s="2925">
        <f>'Chấm công công nhân'!AV72</f>
        <v>18</v>
      </c>
      <c r="E71" s="2916">
        <f t="shared" si="6"/>
        <v>300000</v>
      </c>
      <c r="F71" s="2916">
        <f t="shared" si="5"/>
        <v>12</v>
      </c>
      <c r="G71" s="2911"/>
      <c r="H71" s="2915" t="str">
        <f t="shared" si="7"/>
        <v>Thảo Nga</v>
      </c>
    </row>
    <row r="72" spans="1:11" ht="16.5">
      <c r="A72" s="2910">
        <v>9</v>
      </c>
      <c r="B72" s="2915" t="str">
        <f>'Chấm công công nhân'!L73</f>
        <v>Thảo Tia</v>
      </c>
      <c r="C72" s="2910" t="s">
        <v>40</v>
      </c>
      <c r="D72" s="2925">
        <f>'Chấm công công nhân'!AV73</f>
        <v>19</v>
      </c>
      <c r="E72" s="2916">
        <f t="shared" si="6"/>
        <v>300000</v>
      </c>
      <c r="F72" s="2916">
        <f t="shared" si="5"/>
        <v>12</v>
      </c>
      <c r="G72" s="2911"/>
      <c r="H72" s="2915" t="str">
        <f t="shared" si="7"/>
        <v>Thảo Tia</v>
      </c>
      <c r="K72" s="547">
        <f>8*300</f>
        <v>2400</v>
      </c>
    </row>
    <row r="73" spans="1:11" ht="16.5">
      <c r="A73" s="2910">
        <v>10</v>
      </c>
      <c r="B73" s="2915" t="str">
        <f>'Chấm công công nhân'!L74</f>
        <v>Thảo Nuy</v>
      </c>
      <c r="C73" s="2910" t="s">
        <v>40</v>
      </c>
      <c r="D73" s="2925">
        <f>'Chấm công công nhân'!AV74</f>
        <v>18</v>
      </c>
      <c r="E73" s="2916">
        <f t="shared" si="6"/>
        <v>300000</v>
      </c>
      <c r="F73" s="2916">
        <f t="shared" si="5"/>
        <v>12</v>
      </c>
      <c r="G73" s="2911"/>
      <c r="H73" s="2915" t="str">
        <f t="shared" si="7"/>
        <v>Thảo Nuy</v>
      </c>
    </row>
    <row r="74" spans="1:11" ht="16.5">
      <c r="A74" s="2910">
        <v>11</v>
      </c>
      <c r="B74" s="2915" t="str">
        <f>'Chấm công công nhân'!L75</f>
        <v>Thảo Xay</v>
      </c>
      <c r="C74" s="2910" t="s">
        <v>40</v>
      </c>
      <c r="D74" s="2955">
        <f>'Chấm công công nhân'!AV75</f>
        <v>12</v>
      </c>
      <c r="E74" s="2916">
        <f t="shared" si="6"/>
        <v>300000</v>
      </c>
      <c r="F74" s="2916">
        <f t="shared" si="5"/>
        <v>12</v>
      </c>
      <c r="G74" s="2911"/>
      <c r="H74" s="2915" t="str">
        <f t="shared" si="7"/>
        <v>Thảo Xay</v>
      </c>
      <c r="K74" s="547">
        <f>57*500</f>
        <v>28500</v>
      </c>
    </row>
    <row r="75" spans="1:11" ht="16.5">
      <c r="A75" s="2910">
        <v>12</v>
      </c>
      <c r="B75" s="2915" t="str">
        <f>'Chấm công công nhân'!L76</f>
        <v>Nàng Nọi</v>
      </c>
      <c r="C75" s="2910" t="s">
        <v>40</v>
      </c>
      <c r="D75" s="2955">
        <f>'Chấm công công nhân'!AV76</f>
        <v>11</v>
      </c>
      <c r="E75" s="2916">
        <f t="shared" si="6"/>
        <v>300000</v>
      </c>
      <c r="F75" s="2916">
        <f t="shared" si="5"/>
        <v>12</v>
      </c>
      <c r="G75" s="2911"/>
      <c r="H75" s="2915" t="str">
        <f t="shared" si="7"/>
        <v>Nàng Nọi</v>
      </c>
    </row>
    <row r="76" spans="1:11" ht="16.5">
      <c r="A76" s="2910">
        <v>13</v>
      </c>
      <c r="B76" s="2915" t="str">
        <f>'Chấm công công nhân'!L77</f>
        <v>Thảo Khon</v>
      </c>
      <c r="C76" s="2910" t="s">
        <v>40</v>
      </c>
      <c r="D76" s="2925">
        <f>'Chấm công công nhân'!AV77</f>
        <v>18</v>
      </c>
      <c r="E76" s="2916">
        <f t="shared" si="6"/>
        <v>300000</v>
      </c>
      <c r="F76" s="2916">
        <f t="shared" si="5"/>
        <v>12</v>
      </c>
      <c r="G76" s="2911"/>
      <c r="H76" s="2915" t="str">
        <f t="shared" si="7"/>
        <v>Thảo Khon</v>
      </c>
    </row>
    <row r="77" spans="1:11" ht="16.5">
      <c r="A77" s="2910">
        <v>14</v>
      </c>
      <c r="B77" s="2915" t="str">
        <f>'Chấm công công nhân'!L78</f>
        <v>Thảo Tưng</v>
      </c>
      <c r="C77" s="2910" t="s">
        <v>40</v>
      </c>
      <c r="D77" s="2955">
        <f>'Chấm công công nhân'!AV78</f>
        <v>15</v>
      </c>
      <c r="E77" s="2916">
        <f t="shared" si="6"/>
        <v>300000</v>
      </c>
      <c r="F77" s="2916">
        <f t="shared" si="5"/>
        <v>12</v>
      </c>
      <c r="G77" s="2911"/>
      <c r="H77" s="2915" t="str">
        <f t="shared" si="7"/>
        <v>Thảo Tưng</v>
      </c>
    </row>
    <row r="78" spans="1:11" ht="16.5">
      <c r="A78" s="2910">
        <v>15</v>
      </c>
      <c r="B78" s="2915" t="str">
        <f>'Chấm công công nhân'!L79</f>
        <v>Thảo Bắt</v>
      </c>
      <c r="C78" s="2910" t="s">
        <v>40</v>
      </c>
      <c r="D78" s="2955">
        <f>'Chấm công công nhân'!AV79</f>
        <v>21</v>
      </c>
      <c r="E78" s="2916">
        <f t="shared" si="6"/>
        <v>300000</v>
      </c>
      <c r="F78" s="2916">
        <f t="shared" si="5"/>
        <v>12</v>
      </c>
      <c r="G78" s="2911"/>
      <c r="H78" s="2915" t="str">
        <f t="shared" si="7"/>
        <v>Thảo Bắt</v>
      </c>
    </row>
    <row r="79" spans="1:11" ht="15.75">
      <c r="A79" s="4417" t="s">
        <v>21</v>
      </c>
      <c r="B79" s="4417"/>
      <c r="C79" s="2917"/>
      <c r="D79" s="2918">
        <f>D10+D47+D63</f>
        <v>2174</v>
      </c>
      <c r="E79" s="2918">
        <f>E10+E47+E63</f>
        <v>21000000</v>
      </c>
      <c r="F79" s="2918">
        <f>F10+F47+F63</f>
        <v>840</v>
      </c>
      <c r="G79" s="2919"/>
      <c r="H79" s="2920"/>
      <c r="J79" s="2921" t="e">
        <f>E79+#REF!</f>
        <v>#REF!</v>
      </c>
    </row>
    <row r="80" spans="1:11" ht="27.75" customHeight="1">
      <c r="A80" s="4426" t="s">
        <v>1350</v>
      </c>
      <c r="B80" s="4426"/>
      <c r="C80" s="4426"/>
      <c r="D80" s="4426"/>
      <c r="E80" s="4426"/>
      <c r="F80" s="4426"/>
      <c r="G80" s="4426"/>
      <c r="H80" s="4426"/>
    </row>
    <row r="81" spans="1:8" ht="11.25" customHeight="1">
      <c r="A81" s="2922"/>
      <c r="B81" s="2922"/>
      <c r="C81" s="2922"/>
      <c r="D81" s="2922"/>
      <c r="E81" s="2922"/>
      <c r="F81" s="2922"/>
      <c r="G81" s="2922"/>
      <c r="H81" s="2922"/>
    </row>
    <row r="82" spans="1:8" ht="15.75">
      <c r="A82" s="1003"/>
      <c r="B82" s="1003"/>
      <c r="D82" s="1003"/>
      <c r="E82" s="1003" t="s">
        <v>1349</v>
      </c>
      <c r="F82" s="1003"/>
      <c r="G82" s="1003"/>
      <c r="H82" s="1003"/>
    </row>
    <row r="83" spans="1:8" ht="15.75">
      <c r="A83" s="1003"/>
      <c r="B83" s="1003"/>
      <c r="D83" s="1003"/>
      <c r="E83" s="1003"/>
      <c r="F83" s="1003"/>
      <c r="G83" s="1003"/>
      <c r="H83" s="1003"/>
    </row>
    <row r="84" spans="1:8" ht="15.75">
      <c r="B84" s="4427"/>
      <c r="C84" s="4427"/>
      <c r="D84" s="2923"/>
      <c r="E84" s="3956" t="s">
        <v>1104</v>
      </c>
      <c r="F84" s="3956"/>
      <c r="G84" s="3956"/>
      <c r="H84" s="3956"/>
    </row>
    <row r="85" spans="1:8" ht="15.75">
      <c r="A85" s="1003"/>
      <c r="B85" s="1003"/>
      <c r="C85" s="1003"/>
      <c r="D85" s="1003"/>
      <c r="E85" s="1003"/>
      <c r="F85" s="1003"/>
      <c r="G85" s="1003"/>
      <c r="H85" s="1003"/>
    </row>
    <row r="86" spans="1:8" ht="15.75">
      <c r="A86" s="1003"/>
      <c r="B86" s="1003"/>
      <c r="C86" s="1003"/>
      <c r="D86" s="1003"/>
      <c r="E86" s="1003"/>
      <c r="F86" s="1003"/>
      <c r="G86" s="1003"/>
      <c r="H86" s="1003"/>
    </row>
    <row r="87" spans="1:8" ht="15.75">
      <c r="A87" s="1003"/>
      <c r="B87" s="1003"/>
      <c r="C87" s="1003"/>
      <c r="D87" s="1003"/>
      <c r="E87" s="1003"/>
      <c r="F87" s="1003"/>
      <c r="G87" s="1003"/>
      <c r="H87" s="1003"/>
    </row>
    <row r="88" spans="1:8" ht="15.75">
      <c r="A88" s="1003"/>
      <c r="B88" s="1003"/>
      <c r="C88" s="1003"/>
      <c r="D88" s="1003"/>
      <c r="E88" s="1003"/>
      <c r="F88" s="1003"/>
      <c r="G88" s="1003"/>
      <c r="H88" s="1003"/>
    </row>
    <row r="89" spans="1:8" ht="15.75">
      <c r="A89" s="1003"/>
      <c r="B89" s="1003"/>
      <c r="C89" s="1003"/>
      <c r="D89" s="1003"/>
      <c r="E89" s="1003"/>
      <c r="F89" s="1003"/>
      <c r="G89" s="1003"/>
      <c r="H89" s="1003"/>
    </row>
    <row r="90" spans="1:8" ht="15.75">
      <c r="A90" s="1003"/>
      <c r="B90" s="1003"/>
      <c r="C90" s="1003"/>
      <c r="D90" s="1003"/>
      <c r="E90" s="1003"/>
      <c r="F90" s="1003"/>
      <c r="G90" s="1003"/>
      <c r="H90" s="1003"/>
    </row>
    <row r="91" spans="1:8" ht="15.75">
      <c r="B91" s="3956"/>
      <c r="C91" s="3956"/>
      <c r="D91" s="2799"/>
      <c r="E91" s="3956"/>
      <c r="F91" s="3956"/>
      <c r="G91" s="3956"/>
      <c r="H91" s="3956"/>
    </row>
    <row r="92" spans="1:8" ht="15.75">
      <c r="B92" s="2799"/>
      <c r="C92" s="2799"/>
      <c r="D92" s="2799"/>
      <c r="E92" s="2799"/>
      <c r="F92" s="2950"/>
      <c r="G92" s="2799"/>
      <c r="H92" s="2799"/>
    </row>
    <row r="93" spans="1:8" ht="15.75">
      <c r="A93" s="3956" t="s">
        <v>1347</v>
      </c>
      <c r="B93" s="3956"/>
      <c r="C93" s="3956"/>
      <c r="D93" s="2799"/>
      <c r="E93" s="3956" t="s">
        <v>1348</v>
      </c>
      <c r="F93" s="3956"/>
      <c r="G93" s="3956"/>
      <c r="H93" s="3956"/>
    </row>
    <row r="94" spans="1:8" ht="15.75">
      <c r="A94" s="3956"/>
      <c r="B94" s="3956"/>
      <c r="C94" s="3956"/>
      <c r="D94" s="3956"/>
      <c r="E94" s="3956"/>
      <c r="F94" s="2950"/>
      <c r="G94" s="3956"/>
      <c r="H94" s="3956"/>
    </row>
    <row r="95" spans="1:8" ht="15.75">
      <c r="A95" s="1003"/>
      <c r="B95" s="1003"/>
      <c r="C95" s="1003"/>
      <c r="D95" s="1003"/>
      <c r="E95" s="1003"/>
      <c r="F95" s="1003"/>
      <c r="G95" s="1003"/>
      <c r="H95" s="1003"/>
    </row>
    <row r="96" spans="1:8" ht="15.75">
      <c r="A96" s="1003"/>
      <c r="B96" s="1003"/>
      <c r="C96" s="1003"/>
      <c r="D96" s="1003"/>
      <c r="E96" s="1003"/>
      <c r="F96" s="1003"/>
      <c r="G96" s="1003"/>
      <c r="H96" s="1003"/>
    </row>
    <row r="97" spans="1:8" ht="15.75">
      <c r="A97" s="1003"/>
      <c r="B97" s="1003"/>
      <c r="C97" s="1003"/>
      <c r="D97" s="1003"/>
      <c r="E97" s="1003"/>
      <c r="F97" s="1003"/>
      <c r="G97" s="1003"/>
      <c r="H97" s="1003"/>
    </row>
    <row r="98" spans="1:8" ht="15.75">
      <c r="A98" s="1003"/>
      <c r="B98" s="1003"/>
      <c r="C98" s="1003"/>
      <c r="D98" s="1003"/>
      <c r="E98" s="1003"/>
      <c r="F98" s="1003"/>
      <c r="G98" s="1003"/>
      <c r="H98" s="1003"/>
    </row>
    <row r="99" spans="1:8" ht="15.75">
      <c r="A99" s="1003"/>
      <c r="B99" s="1003"/>
      <c r="C99" s="1003"/>
      <c r="D99" s="1003"/>
      <c r="E99" s="1003"/>
      <c r="F99" s="1003"/>
      <c r="G99" s="1003"/>
      <c r="H99" s="1003"/>
    </row>
    <row r="100" spans="1:8" ht="15.75">
      <c r="A100" s="1003"/>
      <c r="B100" s="1003"/>
      <c r="C100" s="1003"/>
      <c r="D100" s="1003"/>
      <c r="E100" s="1003"/>
      <c r="F100" s="1003"/>
      <c r="G100" s="1003"/>
      <c r="H100" s="1003"/>
    </row>
    <row r="101" spans="1:8" ht="15.75">
      <c r="A101" s="1003"/>
      <c r="B101" s="1003"/>
      <c r="C101" s="1003"/>
      <c r="D101" s="1003"/>
      <c r="E101" s="1003"/>
      <c r="F101" s="1003"/>
      <c r="G101" s="1003"/>
      <c r="H101" s="1003"/>
    </row>
    <row r="102" spans="1:8" ht="15.75">
      <c r="A102" s="1003"/>
      <c r="B102" s="1003"/>
      <c r="C102" s="1003"/>
      <c r="D102" s="1003"/>
      <c r="E102" s="1003"/>
      <c r="F102" s="1003"/>
      <c r="G102" s="1003"/>
      <c r="H102" s="1003"/>
    </row>
    <row r="103" spans="1:8" ht="15.75">
      <c r="A103" s="1003"/>
      <c r="B103" s="1003"/>
      <c r="C103" s="1003"/>
      <c r="D103" s="1003"/>
      <c r="E103" s="1003"/>
      <c r="F103" s="1003"/>
      <c r="G103" s="1003"/>
      <c r="H103" s="1003"/>
    </row>
    <row r="104" spans="1:8" ht="15.75">
      <c r="A104" s="1003"/>
      <c r="B104" s="1003"/>
      <c r="C104" s="1003"/>
      <c r="D104" s="1003"/>
      <c r="E104" s="1003"/>
      <c r="F104" s="1003"/>
      <c r="G104" s="1003"/>
      <c r="H104" s="1003"/>
    </row>
    <row r="105" spans="1:8" ht="15.75">
      <c r="A105" s="1003"/>
      <c r="B105" s="1003"/>
      <c r="C105" s="1003"/>
      <c r="D105" s="1003"/>
      <c r="E105" s="1003"/>
      <c r="F105" s="1003"/>
      <c r="G105" s="1003"/>
      <c r="H105" s="1003"/>
    </row>
    <row r="106" spans="1:8" ht="15.75">
      <c r="A106" s="1003"/>
      <c r="B106" s="1003"/>
      <c r="C106" s="1003"/>
      <c r="D106" s="1003"/>
      <c r="E106" s="1003"/>
      <c r="F106" s="1003"/>
      <c r="G106" s="1003"/>
      <c r="H106" s="1003"/>
    </row>
    <row r="107" spans="1:8" ht="15.75">
      <c r="A107" s="1003"/>
      <c r="B107" s="1003"/>
      <c r="C107" s="1003"/>
      <c r="D107" s="1003"/>
      <c r="E107" s="1003"/>
      <c r="F107" s="1003"/>
      <c r="G107" s="1003"/>
      <c r="H107" s="1003"/>
    </row>
  </sheetData>
  <mergeCells count="19">
    <mergeCell ref="A93:C93"/>
    <mergeCell ref="E93:H93"/>
    <mergeCell ref="A94:B94"/>
    <mergeCell ref="C94:E94"/>
    <mergeCell ref="G94:H94"/>
    <mergeCell ref="B91:C91"/>
    <mergeCell ref="E91:H91"/>
    <mergeCell ref="A1:H1"/>
    <mergeCell ref="A2:H2"/>
    <mergeCell ref="A7:H7"/>
    <mergeCell ref="A10:C10"/>
    <mergeCell ref="A47:C47"/>
    <mergeCell ref="A63:C63"/>
    <mergeCell ref="A4:D4"/>
    <mergeCell ref="A5:D5"/>
    <mergeCell ref="A79:B79"/>
    <mergeCell ref="A80:H80"/>
    <mergeCell ref="B84:C84"/>
    <mergeCell ref="E84:H8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Q21"/>
  <sheetViews>
    <sheetView zoomScale="85" zoomScaleNormal="85" workbookViewId="0">
      <selection activeCell="L14" sqref="L14"/>
    </sheetView>
  </sheetViews>
  <sheetFormatPr defaultColWidth="9.375" defaultRowHeight="16.5"/>
  <cols>
    <col min="1" max="1" width="5.375" style="697" customWidth="1"/>
    <col min="2" max="2" width="10.875" style="697" customWidth="1"/>
    <col min="3" max="3" width="15.875" style="697" customWidth="1"/>
    <col min="4" max="4" width="12.375" style="697" customWidth="1"/>
    <col min="5" max="5" width="8.75" style="697" customWidth="1"/>
    <col min="6" max="6" width="8.375" style="697" bestFit="1" customWidth="1"/>
    <col min="7" max="7" width="7.125" style="697" customWidth="1"/>
    <col min="8" max="8" width="13.625" style="707" customWidth="1"/>
    <col min="9" max="9" width="14.125" style="697" customWidth="1"/>
    <col min="10" max="10" width="10.875" style="697" customWidth="1"/>
    <col min="11" max="11" width="13.375" style="697" customWidth="1"/>
    <col min="12" max="12" width="10.375" style="697" bestFit="1" customWidth="1"/>
    <col min="13" max="13" width="10.25" style="697" customWidth="1"/>
    <col min="14" max="14" width="12.125" style="697" customWidth="1"/>
    <col min="15" max="15" width="14.75" style="697" customWidth="1"/>
    <col min="16" max="16" width="27.375" style="697" customWidth="1"/>
    <col min="17" max="16384" width="9.375" style="697"/>
  </cols>
  <sheetData>
    <row r="1" spans="1:17">
      <c r="A1" s="4428" t="s">
        <v>574</v>
      </c>
      <c r="B1" s="4428"/>
      <c r="C1" s="4428"/>
      <c r="D1" s="4428"/>
      <c r="E1" s="4428"/>
      <c r="F1" s="4428"/>
      <c r="H1" s="3945" t="s">
        <v>165</v>
      </c>
      <c r="I1" s="3945"/>
      <c r="J1" s="3945"/>
      <c r="K1" s="3945"/>
      <c r="L1" s="3945"/>
      <c r="M1" s="3945"/>
      <c r="N1" s="3945"/>
      <c r="O1" s="3945"/>
      <c r="P1" s="157"/>
      <c r="Q1" s="157"/>
    </row>
    <row r="2" spans="1:17">
      <c r="A2" s="3957" t="s">
        <v>686</v>
      </c>
      <c r="B2" s="3957"/>
      <c r="C2" s="3957"/>
      <c r="D2" s="3957"/>
      <c r="E2" s="3957"/>
      <c r="F2" s="3957"/>
      <c r="H2" s="3945" t="s">
        <v>171</v>
      </c>
      <c r="I2" s="3945"/>
      <c r="J2" s="3945"/>
      <c r="K2" s="3945"/>
      <c r="L2" s="3945"/>
      <c r="M2" s="3945"/>
      <c r="N2" s="3945"/>
      <c r="O2" s="3945"/>
      <c r="P2" s="157"/>
      <c r="Q2" s="157"/>
    </row>
    <row r="3" spans="1:17" ht="29.25" customHeight="1">
      <c r="A3" s="4165" t="s">
        <v>715</v>
      </c>
      <c r="B3" s="4165"/>
      <c r="C3" s="4165"/>
      <c r="D3" s="4165"/>
      <c r="E3" s="4165"/>
      <c r="F3" s="4165"/>
      <c r="G3" s="4165"/>
      <c r="H3" s="4165"/>
      <c r="I3" s="4165"/>
      <c r="J3" s="4165"/>
      <c r="K3" s="4165"/>
      <c r="L3" s="4165"/>
      <c r="M3" s="4165"/>
      <c r="N3" s="4165"/>
      <c r="O3" s="4165"/>
    </row>
    <row r="4" spans="1:17" ht="18.75">
      <c r="A4" s="4165" t="s">
        <v>687</v>
      </c>
      <c r="B4" s="4165"/>
      <c r="C4" s="4165"/>
      <c r="D4" s="4165"/>
      <c r="E4" s="4165"/>
      <c r="F4" s="4165"/>
      <c r="G4" s="4165"/>
      <c r="H4" s="4165"/>
      <c r="I4" s="4165"/>
      <c r="J4" s="4165"/>
      <c r="K4" s="4165"/>
      <c r="L4" s="4165"/>
      <c r="M4" s="4165"/>
      <c r="N4" s="4165"/>
      <c r="O4" s="4165"/>
    </row>
    <row r="5" spans="1:17" ht="6.75" customHeight="1"/>
    <row r="6" spans="1:17" ht="8.25" customHeight="1"/>
    <row r="7" spans="1:17" ht="20.25" customHeight="1">
      <c r="A7" s="4429" t="s">
        <v>1</v>
      </c>
      <c r="B7" s="4429" t="s">
        <v>2</v>
      </c>
      <c r="C7" s="4429"/>
      <c r="D7" s="4431" t="s">
        <v>5</v>
      </c>
      <c r="E7" s="4429" t="s">
        <v>6</v>
      </c>
      <c r="F7" s="4429"/>
      <c r="G7" s="4429"/>
      <c r="H7" s="4429"/>
      <c r="I7" s="4429"/>
      <c r="J7" s="4429" t="s">
        <v>8</v>
      </c>
      <c r="K7" s="4431" t="s">
        <v>10</v>
      </c>
      <c r="L7" s="4431" t="s">
        <v>11</v>
      </c>
      <c r="M7" s="4431" t="s">
        <v>12</v>
      </c>
      <c r="N7" s="4431" t="s">
        <v>16</v>
      </c>
      <c r="O7" s="4431" t="s">
        <v>17</v>
      </c>
    </row>
    <row r="8" spans="1:17" ht="49.5">
      <c r="A8" s="4429"/>
      <c r="B8" s="700" t="s">
        <v>3</v>
      </c>
      <c r="C8" s="700" t="s">
        <v>4</v>
      </c>
      <c r="D8" s="4431"/>
      <c r="E8" s="701" t="s">
        <v>13</v>
      </c>
      <c r="F8" s="701" t="s">
        <v>14</v>
      </c>
      <c r="G8" s="700" t="s">
        <v>7</v>
      </c>
      <c r="H8" s="711" t="s">
        <v>15</v>
      </c>
      <c r="I8" s="701" t="s">
        <v>25</v>
      </c>
      <c r="J8" s="4429"/>
      <c r="K8" s="4431"/>
      <c r="L8" s="4429"/>
      <c r="M8" s="4429"/>
      <c r="N8" s="4429"/>
      <c r="O8" s="4429"/>
    </row>
    <row r="9" spans="1:17" ht="51" hidden="1">
      <c r="A9" s="712" t="s">
        <v>66</v>
      </c>
      <c r="B9" s="712" t="s">
        <v>67</v>
      </c>
      <c r="C9" s="712" t="s">
        <v>81</v>
      </c>
      <c r="D9" s="712" t="s">
        <v>69</v>
      </c>
      <c r="E9" s="712" t="s">
        <v>70</v>
      </c>
      <c r="F9" s="712" t="s">
        <v>72</v>
      </c>
      <c r="G9" s="712" t="s">
        <v>72</v>
      </c>
      <c r="H9" s="713" t="s">
        <v>73</v>
      </c>
      <c r="I9" s="712" t="s">
        <v>74</v>
      </c>
      <c r="J9" s="712" t="s">
        <v>75</v>
      </c>
      <c r="K9" s="712" t="s">
        <v>82</v>
      </c>
      <c r="L9" s="712" t="s">
        <v>77</v>
      </c>
      <c r="M9" s="712" t="s">
        <v>83</v>
      </c>
      <c r="N9" s="712" t="s">
        <v>79</v>
      </c>
      <c r="O9" s="712" t="s">
        <v>80</v>
      </c>
    </row>
    <row r="10" spans="1:17" s="714" customFormat="1" ht="26.25" customHeight="1">
      <c r="A10" s="715">
        <v>1</v>
      </c>
      <c r="B10" s="716"/>
      <c r="C10" s="851" t="s">
        <v>656</v>
      </c>
      <c r="D10" s="765" t="s">
        <v>263</v>
      </c>
      <c r="E10" s="852" t="e">
        <f>'Tong hop cong'!#REF!</f>
        <v>#REF!</v>
      </c>
      <c r="F10" s="717">
        <v>25000</v>
      </c>
      <c r="G10" s="853" t="s">
        <v>247</v>
      </c>
      <c r="H10" s="717" t="e">
        <f>E10*F10</f>
        <v>#REF!</v>
      </c>
      <c r="I10" s="718" t="e">
        <f>H10</f>
        <v>#REF!</v>
      </c>
      <c r="J10" s="717"/>
      <c r="K10" s="718" t="e">
        <f>I10-J10</f>
        <v>#REF!</v>
      </c>
      <c r="L10" s="717"/>
      <c r="M10" s="717"/>
      <c r="N10" s="718" t="e">
        <f>ROUND(K10-L10-M10,0)</f>
        <v>#REF!</v>
      </c>
      <c r="O10" s="715"/>
    </row>
    <row r="11" spans="1:17" s="714" customFormat="1" ht="26.25" customHeight="1">
      <c r="A11" s="4429" t="s">
        <v>62</v>
      </c>
      <c r="B11" s="4429"/>
      <c r="C11" s="4429"/>
      <c r="D11" s="4429"/>
      <c r="E11" s="854" t="e">
        <f>SUM(E10:E10)</f>
        <v>#REF!</v>
      </c>
      <c r="F11" s="719">
        <f>F10</f>
        <v>25000</v>
      </c>
      <c r="G11" s="855" t="s">
        <v>247</v>
      </c>
      <c r="H11" s="719" t="e">
        <f>SUM(H10:H10)</f>
        <v>#REF!</v>
      </c>
      <c r="I11" s="719" t="e">
        <f>SUM(I10:I10)</f>
        <v>#REF!</v>
      </c>
      <c r="J11" s="719"/>
      <c r="K11" s="719" t="e">
        <f>SUM(K10:K10)</f>
        <v>#REF!</v>
      </c>
      <c r="L11" s="719"/>
      <c r="M11" s="719"/>
      <c r="N11" s="719" t="e">
        <f>SUM(N10:N10)</f>
        <v>#REF!</v>
      </c>
      <c r="O11" s="700"/>
      <c r="P11" s="720"/>
      <c r="Q11" s="721"/>
    </row>
    <row r="12" spans="1:17" ht="20.100000000000001" customHeight="1">
      <c r="A12" s="4430" t="s">
        <v>712</v>
      </c>
      <c r="B12" s="4430"/>
      <c r="C12" s="4430"/>
      <c r="D12" s="4430"/>
      <c r="E12" s="4430"/>
      <c r="F12" s="4430"/>
      <c r="G12" s="4430"/>
      <c r="H12" s="4430"/>
      <c r="I12" s="4430"/>
      <c r="J12" s="4430"/>
      <c r="K12" s="4430"/>
      <c r="L12" s="4430"/>
      <c r="M12" s="4430"/>
      <c r="N12" s="4430"/>
      <c r="O12" s="4430"/>
    </row>
    <row r="13" spans="1:17" ht="20.100000000000001" customHeight="1">
      <c r="A13" s="280"/>
      <c r="B13" s="156"/>
      <c r="C13" s="703"/>
      <c r="D13" s="156"/>
      <c r="E13" s="704"/>
      <c r="F13" s="156"/>
      <c r="G13" s="156"/>
      <c r="H13" s="705"/>
      <c r="I13" s="705"/>
      <c r="J13" s="156"/>
      <c r="K13" s="156"/>
      <c r="L13" s="4432" t="s">
        <v>714</v>
      </c>
      <c r="M13" s="4432"/>
      <c r="N13" s="4432"/>
      <c r="O13" s="4432"/>
      <c r="P13" s="384"/>
    </row>
    <row r="14" spans="1:17">
      <c r="A14" s="3945" t="s">
        <v>45</v>
      </c>
      <c r="B14" s="3945"/>
      <c r="C14" s="3945"/>
      <c r="D14" s="3945"/>
      <c r="E14" s="157"/>
      <c r="F14" s="3945" t="s">
        <v>44</v>
      </c>
      <c r="G14" s="3945"/>
      <c r="H14" s="3945"/>
      <c r="J14" s="157" t="s">
        <v>167</v>
      </c>
      <c r="K14" s="157"/>
      <c r="L14" s="157"/>
      <c r="M14" s="3945" t="s">
        <v>42</v>
      </c>
      <c r="N14" s="3945"/>
      <c r="O14" s="3945"/>
      <c r="P14" s="157"/>
    </row>
    <row r="20" spans="8:15" s="708" customFormat="1" ht="17.25">
      <c r="H20" s="709"/>
      <c r="I20" s="158"/>
      <c r="J20" s="3945" t="s">
        <v>337</v>
      </c>
      <c r="K20" s="3945"/>
      <c r="L20" s="157"/>
      <c r="M20" s="3945" t="s">
        <v>700</v>
      </c>
      <c r="N20" s="3945"/>
      <c r="O20" s="3945"/>
    </row>
    <row r="21" spans="8:15" s="708" customFormat="1">
      <c r="H21" s="709"/>
    </row>
  </sheetData>
  <mergeCells count="24">
    <mergeCell ref="L13:O13"/>
    <mergeCell ref="A14:D14"/>
    <mergeCell ref="F14:H14"/>
    <mergeCell ref="M14:O14"/>
    <mergeCell ref="J20:K20"/>
    <mergeCell ref="M20:O20"/>
    <mergeCell ref="A11:D11"/>
    <mergeCell ref="A12:O12"/>
    <mergeCell ref="A7:A8"/>
    <mergeCell ref="B7:C7"/>
    <mergeCell ref="D7:D8"/>
    <mergeCell ref="E7:I7"/>
    <mergeCell ref="J7:J8"/>
    <mergeCell ref="K7:K8"/>
    <mergeCell ref="L7:L8"/>
    <mergeCell ref="M7:M8"/>
    <mergeCell ref="N7:N8"/>
    <mergeCell ref="O7:O8"/>
    <mergeCell ref="A4:O4"/>
    <mergeCell ref="A1:F1"/>
    <mergeCell ref="H1:O1"/>
    <mergeCell ref="A2:F2"/>
    <mergeCell ref="H2:O2"/>
    <mergeCell ref="A3:O3"/>
  </mergeCells>
  <pageMargins left="0.82" right="0.53" top="0.75" bottom="0.75" header="0.3" footer="0.3"/>
  <pageSetup paperSize="9" scale="78" fitToHeight="0"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63"/>
  <sheetViews>
    <sheetView topLeftCell="A7" zoomScale="85" zoomScaleNormal="85" workbookViewId="0">
      <selection activeCell="O23" sqref="O23"/>
    </sheetView>
  </sheetViews>
  <sheetFormatPr defaultColWidth="9.375" defaultRowHeight="16.5"/>
  <cols>
    <col min="1" max="1" width="4.375" style="767" customWidth="1"/>
    <col min="2" max="2" width="21.375" style="767" customWidth="1"/>
    <col min="3" max="3" width="13.375" style="767" customWidth="1"/>
    <col min="4" max="4" width="7.875" style="767" customWidth="1"/>
    <col min="5" max="5" width="9" style="767" customWidth="1"/>
    <col min="6" max="6" width="7.625" style="767" customWidth="1"/>
    <col min="7" max="7" width="7.125" style="771" customWidth="1"/>
    <col min="8" max="8" width="10.625" style="771" customWidth="1"/>
    <col min="9" max="9" width="8.625" style="771" customWidth="1"/>
    <col min="10" max="10" width="10" style="767" customWidth="1"/>
    <col min="11" max="11" width="12.125" style="767" customWidth="1"/>
    <col min="12" max="13" width="0.125" style="767" hidden="1" customWidth="1"/>
    <col min="14" max="14" width="11.375" style="767" customWidth="1"/>
    <col min="15" max="15" width="11.125" style="767" customWidth="1"/>
    <col min="16" max="16" width="12.375" style="767" hidden="1" customWidth="1"/>
    <col min="17" max="17" width="11" style="767" customWidth="1"/>
    <col min="18" max="18" width="10.25" style="767" customWidth="1"/>
    <col min="19" max="19" width="11.25" style="767" customWidth="1"/>
    <col min="20" max="20" width="11.75" style="767" customWidth="1"/>
    <col min="21" max="22" width="9.375" style="767"/>
    <col min="23" max="23" width="12.875" style="767" customWidth="1"/>
    <col min="24" max="16384" width="9.375" style="767"/>
  </cols>
  <sheetData>
    <row r="1" spans="1:21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  <c r="Q1" s="4299"/>
      <c r="R1" s="4299"/>
      <c r="S1" s="4299"/>
      <c r="T1" s="4299"/>
    </row>
    <row r="2" spans="1:21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  <c r="Q2" s="4299"/>
      <c r="R2" s="4299"/>
      <c r="S2" s="4299"/>
      <c r="T2" s="4299"/>
    </row>
    <row r="3" spans="1:21">
      <c r="A3" s="4341" t="s">
        <v>726</v>
      </c>
      <c r="B3" s="4299"/>
      <c r="C3" s="4299"/>
      <c r="D3" s="4299"/>
      <c r="E3" s="4299"/>
      <c r="F3" s="4299"/>
      <c r="G3" s="4299"/>
      <c r="H3" s="4299"/>
      <c r="I3" s="4299"/>
      <c r="J3" s="4299"/>
      <c r="K3" s="4299"/>
      <c r="L3" s="4299"/>
      <c r="M3" s="4299"/>
      <c r="N3" s="4299"/>
      <c r="O3" s="4299"/>
      <c r="P3" s="4299"/>
      <c r="Q3" s="4299"/>
      <c r="R3" s="4299"/>
      <c r="S3" s="4299"/>
      <c r="T3" s="4299"/>
    </row>
    <row r="4" spans="1:21" ht="18.75" customHeight="1">
      <c r="A4" s="4440" t="s">
        <v>602</v>
      </c>
      <c r="B4" s="4440"/>
      <c r="C4" s="4440"/>
      <c r="D4" s="4440"/>
      <c r="E4" s="4440"/>
      <c r="F4" s="771"/>
      <c r="O4" s="766"/>
      <c r="P4" s="766"/>
      <c r="R4" s="766"/>
      <c r="S4" s="766"/>
      <c r="T4" s="766"/>
    </row>
    <row r="5" spans="1:21" ht="18.75" customHeight="1">
      <c r="A5" s="4299" t="s">
        <v>541</v>
      </c>
      <c r="B5" s="4299"/>
      <c r="C5" s="4299"/>
      <c r="D5" s="4299"/>
      <c r="E5" s="4299"/>
      <c r="F5" s="776"/>
      <c r="O5" s="766"/>
      <c r="P5" s="766"/>
      <c r="R5" s="766"/>
      <c r="S5" s="766"/>
      <c r="T5" s="766"/>
    </row>
    <row r="6" spans="1:21" ht="25.5" customHeight="1"/>
    <row r="7" spans="1:21" ht="22.5" customHeight="1">
      <c r="A7" s="4447" t="s">
        <v>903</v>
      </c>
      <c r="B7" s="4447"/>
      <c r="C7" s="4447"/>
      <c r="D7" s="4447"/>
      <c r="E7" s="4447"/>
      <c r="F7" s="4447"/>
      <c r="G7" s="4447"/>
      <c r="H7" s="4447"/>
      <c r="I7" s="4447"/>
      <c r="J7" s="4447"/>
      <c r="K7" s="4447"/>
      <c r="L7" s="4447"/>
      <c r="M7" s="4447"/>
      <c r="N7" s="4447"/>
      <c r="O7" s="4447"/>
      <c r="P7" s="4447"/>
      <c r="Q7" s="4447"/>
      <c r="R7" s="4447"/>
      <c r="S7" s="4447"/>
      <c r="T7" s="4447"/>
    </row>
    <row r="8" spans="1:21" ht="28.5" customHeight="1">
      <c r="A8" s="856"/>
      <c r="B8" s="857" t="s">
        <v>603</v>
      </c>
      <c r="D8" s="858">
        <f>'Bảng kê lương'!C8</f>
        <v>21976</v>
      </c>
      <c r="E8" s="856"/>
      <c r="F8" s="856"/>
      <c r="G8" s="856"/>
      <c r="H8" s="856"/>
      <c r="I8" s="856"/>
      <c r="J8" s="856"/>
      <c r="K8" s="856"/>
      <c r="L8" s="856"/>
      <c r="M8" s="856"/>
      <c r="N8" s="856"/>
      <c r="O8" s="856"/>
      <c r="P8" s="856"/>
      <c r="Q8" s="856"/>
      <c r="R8" s="856"/>
      <c r="S8" s="856"/>
      <c r="T8" s="856"/>
    </row>
    <row r="9" spans="1:21">
      <c r="A9" s="856"/>
      <c r="B9" s="868" t="s">
        <v>604</v>
      </c>
      <c r="D9" s="859">
        <f>'Bảng kê lương'!C9</f>
        <v>0.94079999999999997</v>
      </c>
      <c r="E9" s="856"/>
      <c r="F9" s="856"/>
      <c r="G9" s="856"/>
      <c r="H9" s="856"/>
      <c r="I9" s="856"/>
      <c r="J9" s="856"/>
      <c r="K9" s="856"/>
      <c r="L9" s="856"/>
      <c r="M9" s="856"/>
      <c r="N9" s="856"/>
      <c r="O9" s="856"/>
      <c r="P9" s="856"/>
      <c r="Q9" s="856"/>
      <c r="R9" s="856"/>
      <c r="S9" s="856"/>
      <c r="T9" s="856"/>
      <c r="U9" s="767">
        <v>26</v>
      </c>
    </row>
    <row r="10" spans="1:21" ht="36" customHeight="1">
      <c r="A10" s="4436" t="s">
        <v>19</v>
      </c>
      <c r="B10" s="4436" t="s">
        <v>20</v>
      </c>
      <c r="C10" s="4436" t="s">
        <v>5</v>
      </c>
      <c r="D10" s="4448" t="s">
        <v>622</v>
      </c>
      <c r="E10" s="4455" t="s">
        <v>900</v>
      </c>
      <c r="F10" s="4456"/>
      <c r="G10" s="4457"/>
      <c r="H10" s="4448" t="s">
        <v>902</v>
      </c>
      <c r="I10" s="4442" t="s">
        <v>857</v>
      </c>
      <c r="J10" s="4442" t="s">
        <v>233</v>
      </c>
      <c r="K10" s="4433" t="s">
        <v>616</v>
      </c>
      <c r="L10" s="4433" t="s">
        <v>736</v>
      </c>
      <c r="M10" s="4442" t="s">
        <v>703</v>
      </c>
      <c r="N10" s="4435" t="s">
        <v>617</v>
      </c>
      <c r="O10" s="4435" t="s">
        <v>618</v>
      </c>
      <c r="P10" s="4435" t="s">
        <v>619</v>
      </c>
      <c r="Q10" s="4435" t="s">
        <v>599</v>
      </c>
      <c r="R10" s="4435" t="s">
        <v>620</v>
      </c>
      <c r="S10" s="4435" t="s">
        <v>621</v>
      </c>
      <c r="T10" s="4436" t="s">
        <v>9</v>
      </c>
    </row>
    <row r="11" spans="1:21" ht="36" customHeight="1">
      <c r="A11" s="4436"/>
      <c r="B11" s="4436"/>
      <c r="C11" s="4436"/>
      <c r="D11" s="4449"/>
      <c r="E11" s="4445" t="s">
        <v>896</v>
      </c>
      <c r="F11" s="4435" t="s">
        <v>23</v>
      </c>
      <c r="G11" s="4435"/>
      <c r="H11" s="4449"/>
      <c r="I11" s="4443"/>
      <c r="J11" s="4443"/>
      <c r="K11" s="4433"/>
      <c r="L11" s="4433"/>
      <c r="M11" s="4443"/>
      <c r="N11" s="4435"/>
      <c r="O11" s="4435"/>
      <c r="P11" s="4435"/>
      <c r="Q11" s="4435"/>
      <c r="R11" s="4435"/>
      <c r="S11" s="4435"/>
      <c r="T11" s="4436"/>
    </row>
    <row r="12" spans="1:21" ht="47.25" customHeight="1">
      <c r="A12" s="4436"/>
      <c r="B12" s="4436"/>
      <c r="C12" s="4436"/>
      <c r="D12" s="4450"/>
      <c r="E12" s="4446"/>
      <c r="F12" s="1234" t="s">
        <v>901</v>
      </c>
      <c r="G12" s="864" t="s">
        <v>5</v>
      </c>
      <c r="H12" s="4450"/>
      <c r="I12" s="4454"/>
      <c r="J12" s="4444"/>
      <c r="K12" s="4434"/>
      <c r="L12" s="4433"/>
      <c r="M12" s="4444"/>
      <c r="N12" s="4435"/>
      <c r="O12" s="4436"/>
      <c r="P12" s="4435"/>
      <c r="Q12" s="4435"/>
      <c r="R12" s="4436"/>
      <c r="S12" s="4435"/>
      <c r="T12" s="4436"/>
    </row>
    <row r="13" spans="1:21" ht="21.75" customHeight="1">
      <c r="A13" s="860">
        <v>1</v>
      </c>
      <c r="B13" s="860">
        <v>2</v>
      </c>
      <c r="C13" s="860">
        <v>3</v>
      </c>
      <c r="D13" s="861">
        <v>5</v>
      </c>
      <c r="E13" s="862">
        <v>6</v>
      </c>
      <c r="F13" s="862"/>
      <c r="G13" s="862"/>
      <c r="H13" s="862"/>
      <c r="I13" s="862"/>
      <c r="J13" s="863" t="s">
        <v>624</v>
      </c>
      <c r="K13" s="864">
        <v>9</v>
      </c>
      <c r="L13" s="863"/>
      <c r="M13" s="863"/>
      <c r="N13" s="862" t="s">
        <v>625</v>
      </c>
      <c r="O13" s="860">
        <v>11</v>
      </c>
      <c r="P13" s="861"/>
      <c r="Q13" s="861" t="s">
        <v>626</v>
      </c>
      <c r="R13" s="860" t="s">
        <v>627</v>
      </c>
      <c r="S13" s="861" t="s">
        <v>628</v>
      </c>
      <c r="T13" s="860"/>
    </row>
    <row r="14" spans="1:21" ht="21.75" customHeight="1">
      <c r="A14" s="2965" t="s">
        <v>52</v>
      </c>
      <c r="B14" s="4458" t="s">
        <v>1355</v>
      </c>
      <c r="C14" s="4459"/>
      <c r="D14" s="2966"/>
      <c r="E14" s="2968"/>
      <c r="F14" s="2968"/>
      <c r="G14" s="2968"/>
      <c r="H14" s="2968"/>
      <c r="I14" s="2968"/>
      <c r="J14" s="2967"/>
      <c r="K14" s="864"/>
      <c r="L14" s="2967"/>
      <c r="M14" s="2967"/>
      <c r="N14" s="2968"/>
      <c r="O14" s="2965"/>
      <c r="P14" s="2966"/>
      <c r="Q14" s="2966"/>
      <c r="R14" s="2965"/>
      <c r="S14" s="2966"/>
      <c r="T14" s="2965"/>
    </row>
    <row r="15" spans="1:21" ht="23.25" customHeight="1">
      <c r="A15" s="860" t="s">
        <v>147</v>
      </c>
      <c r="B15" s="4441" t="s">
        <v>630</v>
      </c>
      <c r="C15" s="4441"/>
      <c r="D15" s="1087">
        <f>SUM(D16:D18)</f>
        <v>0</v>
      </c>
      <c r="E15" s="1087">
        <f>SUM(E16:E18)</f>
        <v>1250</v>
      </c>
      <c r="F15" s="1087">
        <f>SUM(F16:F18)</f>
        <v>430</v>
      </c>
      <c r="G15" s="1087">
        <f t="shared" ref="G15" si="0">SUM(G17:G18)</f>
        <v>0</v>
      </c>
      <c r="H15" s="1087"/>
      <c r="I15" s="1088"/>
      <c r="J15" s="1089">
        <f>SUM(J16:J18)</f>
        <v>1680</v>
      </c>
      <c r="K15" s="1080">
        <f>SUM(K16:M18)</f>
        <v>77.461066618128868</v>
      </c>
      <c r="L15" s="1080">
        <f t="shared" ref="L15:P15" si="1">SUM(L17:L18)</f>
        <v>0</v>
      </c>
      <c r="M15" s="1080">
        <f t="shared" si="1"/>
        <v>0</v>
      </c>
      <c r="N15" s="1080">
        <f>SUM(N16:N18)</f>
        <v>1602.5389333818712</v>
      </c>
      <c r="O15" s="1080">
        <f>SUM(O16:P18)</f>
        <v>112.43929741536222</v>
      </c>
      <c r="P15" s="1080">
        <f t="shared" si="1"/>
        <v>0</v>
      </c>
      <c r="Q15" s="1080">
        <f>SUM(Q16:Q18)</f>
        <v>1490.0996359665089</v>
      </c>
      <c r="R15" s="1080">
        <f>SUM(R16:R18)</f>
        <v>14.121951219512194</v>
      </c>
      <c r="S15" s="1080">
        <f>SUM(S16:S18)</f>
        <v>1475.9776847469968</v>
      </c>
      <c r="T15" s="860"/>
    </row>
    <row r="16" spans="1:21" ht="23.25" customHeight="1">
      <c r="A16" s="1416">
        <v>1</v>
      </c>
      <c r="B16" s="1417" t="s">
        <v>1010</v>
      </c>
      <c r="C16" s="1417" t="str">
        <f>+'Bảng kê lương'!C16</f>
        <v>Đội trưởng</v>
      </c>
      <c r="D16" s="1418">
        <f>'Công CBNV'!AW15</f>
        <v>0</v>
      </c>
      <c r="E16" s="1418">
        <v>610</v>
      </c>
      <c r="F16" s="1418">
        <v>210</v>
      </c>
      <c r="G16" s="1418"/>
      <c r="H16" s="1418"/>
      <c r="I16" s="1419"/>
      <c r="J16" s="1420">
        <f>+E16+F16+G16</f>
        <v>820</v>
      </c>
      <c r="K16" s="1421">
        <f>+VLOOKUP(B16,'Bảng kê lương'!B16:X18,23,0)</f>
        <v>0</v>
      </c>
      <c r="L16" s="1422"/>
      <c r="M16" s="1422"/>
      <c r="N16" s="1423">
        <f>+J16-K16</f>
        <v>820</v>
      </c>
      <c r="O16" s="1422">
        <f>+VLOOKUP(B16,'Bảng kê lương'!B16:AA18,26,0)</f>
        <v>62.853041499817984</v>
      </c>
      <c r="P16" s="1422"/>
      <c r="Q16" s="1422">
        <f>+N16-O16</f>
        <v>757.146958500182</v>
      </c>
      <c r="R16" s="1422">
        <f>+VLOOKUP(B16,'Bảng kê lương'!B16:AF18,31,0)</f>
        <v>6.7924554058973428</v>
      </c>
      <c r="S16" s="1422">
        <f>+Q16-R16</f>
        <v>750.35450309428461</v>
      </c>
      <c r="T16" s="1424"/>
    </row>
    <row r="17" spans="1:20" s="865" customFormat="1" ht="23.25" customHeight="1">
      <c r="A17" s="1425">
        <v>2</v>
      </c>
      <c r="B17" s="1426" t="s">
        <v>638</v>
      </c>
      <c r="C17" s="1426" t="s">
        <v>639</v>
      </c>
      <c r="D17" s="1418">
        <f>'Công CBNV'!AW16</f>
        <v>0</v>
      </c>
      <c r="E17" s="1427">
        <v>340</v>
      </c>
      <c r="F17" s="1427">
        <v>120</v>
      </c>
      <c r="G17" s="1428">
        <v>0</v>
      </c>
      <c r="H17" s="1428">
        <f>+G17</f>
        <v>0</v>
      </c>
      <c r="I17" s="1428"/>
      <c r="J17" s="1429">
        <f>+E17+F17+G17</f>
        <v>460</v>
      </c>
      <c r="K17" s="1430">
        <f>'Bảng kê lương'!X17</f>
        <v>41.217491809246454</v>
      </c>
      <c r="L17" s="1431"/>
      <c r="M17" s="1431"/>
      <c r="N17" s="1432">
        <f t="shared" ref="N17:N18" si="2">+J17-K17</f>
        <v>418.78250819075356</v>
      </c>
      <c r="O17" s="1433">
        <f>+VLOOKUP(B17,'Bảng kê lương'!B17:AA19,26,0)</f>
        <v>27.544432107753916</v>
      </c>
      <c r="P17" s="1434"/>
      <c r="Q17" s="1433">
        <f t="shared" ref="Q17:Q18" si="3">+N17-O17</f>
        <v>391.23807608299967</v>
      </c>
      <c r="R17" s="1433">
        <f>+VLOOKUP(B17,'Bảng kê lương'!B17:AF19,31,0)</f>
        <v>3.9123589370222058</v>
      </c>
      <c r="S17" s="1433">
        <f t="shared" ref="S17:S20" si="4">+Q17-R17</f>
        <v>387.32571714597748</v>
      </c>
      <c r="T17" s="1435"/>
    </row>
    <row r="18" spans="1:20" s="865" customFormat="1" ht="23.25" customHeight="1">
      <c r="A18" s="1436">
        <v>3</v>
      </c>
      <c r="B18" s="1437" t="s">
        <v>97</v>
      </c>
      <c r="C18" s="1437" t="s">
        <v>99</v>
      </c>
      <c r="D18" s="1418">
        <f>'Công CBNV'!AW17</f>
        <v>0</v>
      </c>
      <c r="E18" s="1438">
        <f>VLOOKUP(B18,'Bảng kê lương'!$B$17:$D$19,3,0)</f>
        <v>300</v>
      </c>
      <c r="F18" s="1438">
        <f>+'Bảng kê lương'!F18</f>
        <v>100</v>
      </c>
      <c r="G18" s="1439">
        <v>0</v>
      </c>
      <c r="H18" s="1439">
        <f>+G18</f>
        <v>0</v>
      </c>
      <c r="I18" s="1439"/>
      <c r="J18" s="1440">
        <f>+E18+F18+G18</f>
        <v>400</v>
      </c>
      <c r="K18" s="1441">
        <f>'Bảng kê lương'!X18</f>
        <v>36.243574808882414</v>
      </c>
      <c r="L18" s="1442"/>
      <c r="M18" s="1442"/>
      <c r="N18" s="1443">
        <f t="shared" si="2"/>
        <v>363.75642519111761</v>
      </c>
      <c r="O18" s="1444">
        <f>+VLOOKUP(B18,'Bảng kê lương'!B18:AA20,26,0)</f>
        <v>22.041823807790319</v>
      </c>
      <c r="P18" s="1445"/>
      <c r="Q18" s="1444">
        <f t="shared" si="3"/>
        <v>341.71460138332731</v>
      </c>
      <c r="R18" s="1444">
        <f>+VLOOKUP(B18,'Bảng kê lương'!B18:AF20,31,0)</f>
        <v>3.4171368765926466</v>
      </c>
      <c r="S18" s="1444">
        <f t="shared" si="4"/>
        <v>338.29746450673468</v>
      </c>
      <c r="T18" s="1446"/>
    </row>
    <row r="19" spans="1:20" s="865" customFormat="1" ht="23.25" customHeight="1">
      <c r="A19" s="860" t="s">
        <v>148</v>
      </c>
      <c r="B19" s="802" t="s">
        <v>629</v>
      </c>
      <c r="C19" s="802"/>
      <c r="D19" s="1087">
        <f>SUM(D20)</f>
        <v>0</v>
      </c>
      <c r="E19" s="1087">
        <f>SUM(E20)</f>
        <v>300</v>
      </c>
      <c r="F19" s="1087">
        <f t="shared" ref="F19" si="5">SUM(F20)</f>
        <v>0</v>
      </c>
      <c r="G19" s="1236">
        <v>0</v>
      </c>
      <c r="H19" s="1415" t="e">
        <f>+SUM(H20)</f>
        <v>#REF!</v>
      </c>
      <c r="I19" s="1236">
        <f t="shared" ref="I19" si="6">+SUM(I20)</f>
        <v>0</v>
      </c>
      <c r="J19" s="1236" t="e">
        <f>+SUM(J20)</f>
        <v>#REF!</v>
      </c>
      <c r="K19" s="1237">
        <f>SUM(K20:K20)</f>
        <v>18.991736439752454</v>
      </c>
      <c r="L19" s="1238"/>
      <c r="M19" s="1239">
        <f t="shared" ref="M19:R19" si="7">SUM(M20:M20)</f>
        <v>0</v>
      </c>
      <c r="N19" s="1240" t="e">
        <f t="shared" si="7"/>
        <v>#REF!</v>
      </c>
      <c r="O19" s="1240" t="e">
        <f t="shared" si="7"/>
        <v>#REF!</v>
      </c>
      <c r="P19" s="1240">
        <f t="shared" si="7"/>
        <v>0</v>
      </c>
      <c r="Q19" s="1240" t="e">
        <f t="shared" si="7"/>
        <v>#REF!</v>
      </c>
      <c r="R19" s="1240" t="e">
        <f t="shared" si="7"/>
        <v>#REF!</v>
      </c>
      <c r="S19" s="1240" t="e">
        <f>SUM(S20:S20)</f>
        <v>#REF!</v>
      </c>
      <c r="T19" s="867"/>
    </row>
    <row r="20" spans="1:20" s="868" customFormat="1" ht="23.25" customHeight="1">
      <c r="A20" s="874">
        <v>1</v>
      </c>
      <c r="B20" s="875" t="s">
        <v>96</v>
      </c>
      <c r="C20" s="875" t="s">
        <v>162</v>
      </c>
      <c r="D20" s="876">
        <f>'Công CBNV'!AW18</f>
        <v>0</v>
      </c>
      <c r="E20" s="876">
        <v>300</v>
      </c>
      <c r="F20" s="876"/>
      <c r="G20" s="1235">
        <v>50</v>
      </c>
      <c r="H20" s="1414" t="e">
        <f>+'Bảng kê lương'!N20</f>
        <v>#REF!</v>
      </c>
      <c r="I20" s="877">
        <f>+'Bảng kê lương'!O20</f>
        <v>0</v>
      </c>
      <c r="J20" s="878" t="e">
        <f>+E20+F20+G20+H20</f>
        <v>#REF!</v>
      </c>
      <c r="K20" s="879">
        <f>'Bảng kê lương'!X20</f>
        <v>18.991736439752454</v>
      </c>
      <c r="L20" s="880"/>
      <c r="M20" s="906"/>
      <c r="N20" s="881" t="e">
        <f>+J20-K20</f>
        <v>#REF!</v>
      </c>
      <c r="O20" s="881" t="e">
        <f>+'Bảng kê lương'!AA20</f>
        <v>#REF!</v>
      </c>
      <c r="P20" s="882"/>
      <c r="Q20" s="883" t="e">
        <f>N20-O20</f>
        <v>#REF!</v>
      </c>
      <c r="R20" s="879" t="e">
        <f>+Q20*1%</f>
        <v>#REF!</v>
      </c>
      <c r="S20" s="1413" t="e">
        <f t="shared" si="4"/>
        <v>#REF!</v>
      </c>
      <c r="T20" s="884"/>
    </row>
    <row r="21" spans="1:20" s="868" customFormat="1" ht="26.25" customHeight="1">
      <c r="A21" s="2970">
        <v>2</v>
      </c>
      <c r="B21" s="2971" t="s">
        <v>1305</v>
      </c>
      <c r="C21" s="875" t="s">
        <v>162</v>
      </c>
      <c r="D21" s="876">
        <f>'Công CBNV'!AW19</f>
        <v>0</v>
      </c>
      <c r="E21" s="876">
        <v>250</v>
      </c>
      <c r="F21" s="876"/>
      <c r="G21" s="2972"/>
      <c r="H21" s="1414"/>
      <c r="I21" s="877"/>
      <c r="J21" s="878"/>
      <c r="K21" s="879"/>
      <c r="L21" s="880"/>
      <c r="M21" s="906"/>
      <c r="N21" s="881"/>
      <c r="O21" s="881"/>
      <c r="P21" s="882"/>
      <c r="Q21" s="883"/>
      <c r="R21" s="879"/>
      <c r="S21" s="2973"/>
      <c r="T21" s="884"/>
    </row>
    <row r="22" spans="1:20" s="2988" customFormat="1" ht="23.25" customHeight="1">
      <c r="A22" s="2974" t="s">
        <v>1288</v>
      </c>
      <c r="B22" s="4460" t="s">
        <v>1356</v>
      </c>
      <c r="C22" s="4461"/>
      <c r="D22" s="2975"/>
      <c r="E22" s="2975"/>
      <c r="F22" s="2975"/>
      <c r="G22" s="2977"/>
      <c r="H22" s="2978"/>
      <c r="I22" s="2976"/>
      <c r="J22" s="2979"/>
      <c r="K22" s="2980"/>
      <c r="L22" s="2981"/>
      <c r="M22" s="2982"/>
      <c r="N22" s="2983"/>
      <c r="O22" s="2983"/>
      <c r="P22" s="2984"/>
      <c r="Q22" s="2985"/>
      <c r="R22" s="2980"/>
      <c r="S22" s="2986"/>
      <c r="T22" s="2987"/>
    </row>
    <row r="23" spans="1:20" s="3004" customFormat="1" ht="23.25" customHeight="1">
      <c r="A23" s="2989">
        <v>1</v>
      </c>
      <c r="B23" s="2990" t="s">
        <v>1306</v>
      </c>
      <c r="C23" s="2991" t="s">
        <v>1357</v>
      </c>
      <c r="D23" s="2992">
        <f>'Công CBNV'!AW20</f>
        <v>0</v>
      </c>
      <c r="E23" s="2992"/>
      <c r="F23" s="2992"/>
      <c r="G23" s="2994"/>
      <c r="H23" s="2995"/>
      <c r="I23" s="2993"/>
      <c r="J23" s="2996"/>
      <c r="K23" s="2997"/>
      <c r="L23" s="2998"/>
      <c r="M23" s="2999"/>
      <c r="N23" s="3000"/>
      <c r="O23" s="3000"/>
      <c r="P23" s="3001"/>
      <c r="Q23" s="3002"/>
      <c r="R23" s="2997"/>
      <c r="S23" s="2973"/>
      <c r="T23" s="3003"/>
    </row>
    <row r="24" spans="1:20" s="865" customFormat="1" ht="23.25" customHeight="1">
      <c r="A24" s="4451" t="s">
        <v>612</v>
      </c>
      <c r="B24" s="4452"/>
      <c r="C24" s="4453"/>
      <c r="D24" s="1083">
        <f>+D19+D15</f>
        <v>0</v>
      </c>
      <c r="E24" s="1083">
        <f>+E19+E15</f>
        <v>1550</v>
      </c>
      <c r="F24" s="1083">
        <f t="shared" ref="F24" si="8">+F19+F15</f>
        <v>430</v>
      </c>
      <c r="G24" s="1084"/>
      <c r="H24" s="1084"/>
      <c r="I24" s="1084"/>
      <c r="J24" s="1083" t="e">
        <f>+J19+J15</f>
        <v>#REF!</v>
      </c>
      <c r="K24" s="1085">
        <f>+K19+K15</f>
        <v>96.452803057881326</v>
      </c>
      <c r="L24" s="1085"/>
      <c r="M24" s="1085">
        <f t="shared" ref="M24:R24" si="9">+M19+M15</f>
        <v>0</v>
      </c>
      <c r="N24" s="1085" t="e">
        <f t="shared" si="9"/>
        <v>#REF!</v>
      </c>
      <c r="O24" s="1085" t="e">
        <f t="shared" si="9"/>
        <v>#REF!</v>
      </c>
      <c r="P24" s="1083">
        <f t="shared" si="9"/>
        <v>0</v>
      </c>
      <c r="Q24" s="1086" t="e">
        <f t="shared" si="9"/>
        <v>#REF!</v>
      </c>
      <c r="R24" s="1085" t="e">
        <f t="shared" si="9"/>
        <v>#REF!</v>
      </c>
      <c r="S24" s="1085" t="e">
        <f>+S19+S15</f>
        <v>#REF!</v>
      </c>
      <c r="T24" s="869"/>
    </row>
    <row r="25" spans="1:20" s="865" customFormat="1" ht="23.25" hidden="1" customHeight="1">
      <c r="A25" s="885"/>
      <c r="B25" s="885"/>
      <c r="C25" s="885"/>
      <c r="D25" s="903"/>
      <c r="E25" s="903"/>
      <c r="F25" s="903"/>
      <c r="G25" s="966"/>
      <c r="H25" s="966"/>
      <c r="I25" s="966"/>
      <c r="J25" s="903"/>
      <c r="K25" s="1119">
        <f>+'Bảng kê lương'!X24</f>
        <v>96.452803057881326</v>
      </c>
      <c r="L25" s="1119"/>
      <c r="M25" s="1119"/>
      <c r="N25" s="1119" t="e">
        <f>+'Bảng kê lương'!Y24</f>
        <v>#REF!</v>
      </c>
      <c r="O25" s="1119" t="e">
        <f>+'Bảng kê lương'!Z24</f>
        <v>#REF!</v>
      </c>
      <c r="P25" s="1120"/>
      <c r="Q25" s="1121" t="e">
        <f>+'Bảng kê lương'!AB24</f>
        <v>#REF!</v>
      </c>
      <c r="R25" s="1119" t="e">
        <f>+'Bảng kê lương'!AD24</f>
        <v>#REF!</v>
      </c>
      <c r="S25" s="904"/>
      <c r="T25" s="903"/>
    </row>
    <row r="26" spans="1:20" s="865" customFormat="1" ht="23.25" hidden="1" customHeight="1">
      <c r="A26" s="885"/>
      <c r="B26" s="885"/>
      <c r="C26" s="885"/>
      <c r="D26" s="903"/>
      <c r="E26" s="903"/>
      <c r="F26" s="903"/>
      <c r="G26" s="966"/>
      <c r="H26" s="966"/>
      <c r="I26" s="966"/>
      <c r="J26" s="903"/>
      <c r="K26" s="1119"/>
      <c r="L26" s="1119">
        <f t="shared" ref="L26:R26" si="10">+L25/$D$8</f>
        <v>0</v>
      </c>
      <c r="M26" s="1119">
        <f t="shared" si="10"/>
        <v>0</v>
      </c>
      <c r="N26" s="1119" t="e">
        <f t="shared" si="10"/>
        <v>#REF!</v>
      </c>
      <c r="O26" s="1119" t="e">
        <f t="shared" si="10"/>
        <v>#REF!</v>
      </c>
      <c r="P26" s="1119">
        <f t="shared" si="10"/>
        <v>0</v>
      </c>
      <c r="Q26" s="1119" t="e">
        <f t="shared" si="10"/>
        <v>#REF!</v>
      </c>
      <c r="R26" s="1119" t="e">
        <f t="shared" si="10"/>
        <v>#REF!</v>
      </c>
      <c r="S26" s="904"/>
      <c r="T26" s="903"/>
    </row>
    <row r="27" spans="1:20" s="865" customFormat="1" ht="13.5" hidden="1" customHeight="1">
      <c r="A27" s="885"/>
      <c r="B27" s="885"/>
      <c r="C27" s="885"/>
      <c r="D27" s="903"/>
      <c r="E27" s="903"/>
      <c r="F27" s="903"/>
      <c r="G27" s="966"/>
      <c r="H27" s="966"/>
      <c r="I27" s="966"/>
      <c r="J27" s="903"/>
      <c r="K27" s="904">
        <f>+K24-K26</f>
        <v>96.452803057881326</v>
      </c>
      <c r="L27" s="904">
        <f t="shared" ref="L27:R27" si="11">+L24-L26</f>
        <v>0</v>
      </c>
      <c r="M27" s="904">
        <f t="shared" si="11"/>
        <v>0</v>
      </c>
      <c r="N27" s="904" t="e">
        <f t="shared" si="11"/>
        <v>#REF!</v>
      </c>
      <c r="O27" s="904" t="e">
        <f t="shared" si="11"/>
        <v>#REF!</v>
      </c>
      <c r="P27" s="904">
        <f t="shared" si="11"/>
        <v>0</v>
      </c>
      <c r="Q27" s="904" t="e">
        <f t="shared" si="11"/>
        <v>#REF!</v>
      </c>
      <c r="R27" s="904" t="e">
        <f t="shared" si="11"/>
        <v>#REF!</v>
      </c>
      <c r="S27" s="904"/>
      <c r="T27" s="903"/>
    </row>
    <row r="28" spans="1:20" s="865" customFormat="1" ht="23.25" customHeight="1">
      <c r="A28" s="885"/>
      <c r="B28" s="885"/>
      <c r="C28" s="4438" t="s">
        <v>904</v>
      </c>
      <c r="D28" s="4439"/>
      <c r="E28" s="4439"/>
      <c r="F28" s="4439"/>
      <c r="G28" s="4439"/>
      <c r="H28" s="4439"/>
      <c r="I28" s="4439"/>
      <c r="J28" s="4439"/>
      <c r="K28" s="4439"/>
      <c r="L28" s="4439"/>
      <c r="M28" s="4439"/>
      <c r="N28" s="4439"/>
      <c r="O28" s="4439"/>
      <c r="P28" s="4439"/>
      <c r="Q28" s="4439"/>
      <c r="R28" s="904"/>
      <c r="S28" s="904"/>
      <c r="T28" s="903"/>
    </row>
    <row r="29" spans="1:20" s="865" customFormat="1" ht="23.25" customHeight="1">
      <c r="C29" s="871"/>
      <c r="G29" s="856"/>
      <c r="H29" s="856"/>
      <c r="I29" s="856"/>
      <c r="J29" s="870"/>
      <c r="K29" s="870"/>
      <c r="L29" s="870"/>
      <c r="M29" s="870"/>
      <c r="N29" s="870"/>
      <c r="O29" s="870"/>
      <c r="P29" s="870"/>
      <c r="Q29" s="870"/>
      <c r="R29" s="870"/>
      <c r="S29" s="870"/>
    </row>
    <row r="30" spans="1:20" s="865" customFormat="1" ht="29.25" hidden="1" customHeight="1">
      <c r="A30" s="871"/>
      <c r="B30" s="871"/>
      <c r="C30" s="871"/>
      <c r="D30" s="871"/>
      <c r="E30" s="871"/>
      <c r="F30" s="871"/>
      <c r="G30" s="872"/>
      <c r="H30" s="872"/>
      <c r="I30" s="872"/>
      <c r="J30" s="873">
        <f>J29/$D$8</f>
        <v>0</v>
      </c>
      <c r="K30" s="873">
        <f>K29/$D$8</f>
        <v>0</v>
      </c>
      <c r="L30" s="873">
        <f>L29/$D$8</f>
        <v>0</v>
      </c>
      <c r="M30" s="873"/>
      <c r="N30" s="873">
        <f t="shared" ref="N30:S30" si="12">N29/$D$8</f>
        <v>0</v>
      </c>
      <c r="O30" s="873">
        <f t="shared" si="12"/>
        <v>0</v>
      </c>
      <c r="P30" s="873">
        <f t="shared" si="12"/>
        <v>0</v>
      </c>
      <c r="Q30" s="873">
        <f t="shared" si="12"/>
        <v>0</v>
      </c>
      <c r="R30" s="873">
        <f t="shared" si="12"/>
        <v>0</v>
      </c>
      <c r="S30" s="873">
        <f t="shared" si="12"/>
        <v>0</v>
      </c>
      <c r="T30" s="871"/>
    </row>
    <row r="31" spans="1:20" s="871" customFormat="1" ht="29.25" hidden="1" customHeight="1">
      <c r="C31" s="901"/>
      <c r="G31" s="872"/>
      <c r="H31" s="872"/>
      <c r="I31" s="872"/>
      <c r="J31" s="873" t="e">
        <f>J24-J30</f>
        <v>#REF!</v>
      </c>
      <c r="K31" s="873">
        <f>K24-K30</f>
        <v>96.452803057881326</v>
      </c>
      <c r="L31" s="873">
        <f t="shared" ref="L31:S31" si="13">L24-L30</f>
        <v>0</v>
      </c>
      <c r="M31" s="873"/>
      <c r="N31" s="873" t="e">
        <f t="shared" si="13"/>
        <v>#REF!</v>
      </c>
      <c r="O31" s="873" t="e">
        <f t="shared" si="13"/>
        <v>#REF!</v>
      </c>
      <c r="P31" s="873">
        <f t="shared" si="13"/>
        <v>0</v>
      </c>
      <c r="Q31" s="873" t="e">
        <f t="shared" si="13"/>
        <v>#REF!</v>
      </c>
      <c r="R31" s="873" t="e">
        <f>R24-R30</f>
        <v>#REF!</v>
      </c>
      <c r="S31" s="873" t="e">
        <f t="shared" si="13"/>
        <v>#REF!</v>
      </c>
    </row>
    <row r="32" spans="1:20" s="871" customFormat="1" ht="29.25" hidden="1" customHeight="1">
      <c r="A32" s="901" t="s">
        <v>716</v>
      </c>
      <c r="B32" s="901"/>
      <c r="C32" s="901"/>
      <c r="D32" s="901"/>
      <c r="E32" s="901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1"/>
      <c r="Q32" s="901"/>
      <c r="R32" s="901"/>
      <c r="S32" s="901"/>
      <c r="T32" s="901"/>
    </row>
    <row r="33" spans="1:20" ht="18" customHeight="1">
      <c r="C33" s="776"/>
      <c r="Q33" s="4437" t="s">
        <v>899</v>
      </c>
      <c r="R33" s="4437"/>
      <c r="S33" s="4437"/>
      <c r="T33" s="4437"/>
    </row>
    <row r="34" spans="1:20" ht="18" customHeight="1">
      <c r="A34" s="4299" t="s">
        <v>46</v>
      </c>
      <c r="B34" s="4299"/>
      <c r="D34" s="766" t="s">
        <v>613</v>
      </c>
      <c r="E34" s="766"/>
      <c r="F34" s="766"/>
      <c r="G34" s="766"/>
      <c r="H34" s="766"/>
      <c r="I34" s="766"/>
      <c r="J34" s="4299" t="s">
        <v>710</v>
      </c>
      <c r="K34" s="4299"/>
      <c r="L34" s="4299"/>
      <c r="M34" s="766"/>
      <c r="N34" s="4299" t="s">
        <v>800</v>
      </c>
      <c r="O34" s="4299"/>
      <c r="P34" s="4299"/>
      <c r="Q34" s="4299"/>
      <c r="R34" s="4299" t="s">
        <v>614</v>
      </c>
      <c r="S34" s="4299"/>
      <c r="T34" s="4299"/>
    </row>
    <row r="35" spans="1:20" s="766" customFormat="1" ht="18" customHeight="1">
      <c r="A35" s="767"/>
      <c r="B35" s="767"/>
      <c r="C35" s="767"/>
      <c r="D35" s="767"/>
      <c r="E35" s="767"/>
      <c r="F35" s="767"/>
      <c r="G35" s="771"/>
      <c r="H35" s="771"/>
      <c r="I35" s="771"/>
      <c r="J35" s="767"/>
      <c r="K35" s="767"/>
      <c r="L35" s="767"/>
      <c r="M35" s="767"/>
      <c r="N35" s="767"/>
      <c r="O35" s="767"/>
      <c r="P35" s="767"/>
      <c r="Q35" s="767"/>
      <c r="R35" s="767"/>
      <c r="S35" s="767"/>
      <c r="T35" s="767"/>
    </row>
    <row r="36" spans="1:20" ht="18" customHeight="1">
      <c r="Q36" s="769"/>
    </row>
    <row r="37" spans="1:20" ht="18" customHeight="1">
      <c r="J37" s="768"/>
      <c r="Q37" s="770"/>
    </row>
    <row r="38" spans="1:20" ht="18" customHeight="1"/>
    <row r="39" spans="1:20" ht="18" customHeight="1">
      <c r="N39" s="769"/>
      <c r="R39" s="769"/>
    </row>
    <row r="40" spans="1:20" ht="18" customHeight="1">
      <c r="N40" s="4299"/>
      <c r="O40" s="4299"/>
      <c r="P40" s="4299"/>
      <c r="Q40" s="4299"/>
      <c r="R40" s="4299"/>
      <c r="S40" s="4299"/>
      <c r="T40" s="4299"/>
    </row>
    <row r="41" spans="1:20" ht="18" customHeight="1"/>
    <row r="42" spans="1:20" ht="18" customHeight="1"/>
    <row r="43" spans="1:20" ht="18" customHeight="1"/>
    <row r="44" spans="1:20" ht="18" customHeight="1"/>
    <row r="45" spans="1:20" ht="18" customHeight="1"/>
    <row r="46" spans="1:20" ht="18" customHeight="1"/>
    <row r="47" spans="1:20" ht="18" customHeight="1"/>
    <row r="48" spans="1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34:B34"/>
    <mergeCell ref="A7:T7"/>
    <mergeCell ref="T10:T12"/>
    <mergeCell ref="D10:D12"/>
    <mergeCell ref="R10:R12"/>
    <mergeCell ref="S10:S12"/>
    <mergeCell ref="C10:C12"/>
    <mergeCell ref="A24:C24"/>
    <mergeCell ref="I10:I12"/>
    <mergeCell ref="E10:G10"/>
    <mergeCell ref="H10:H12"/>
    <mergeCell ref="B14:C14"/>
    <mergeCell ref="B22:C22"/>
    <mergeCell ref="A1:T1"/>
    <mergeCell ref="A3:T3"/>
    <mergeCell ref="C28:Q28"/>
    <mergeCell ref="A2:T2"/>
    <mergeCell ref="A4:E4"/>
    <mergeCell ref="A10:A12"/>
    <mergeCell ref="A5:E5"/>
    <mergeCell ref="Q10:Q12"/>
    <mergeCell ref="P10:P12"/>
    <mergeCell ref="L10:L12"/>
    <mergeCell ref="B15:C15"/>
    <mergeCell ref="M10:M12"/>
    <mergeCell ref="J10:J12"/>
    <mergeCell ref="B10:B12"/>
    <mergeCell ref="E11:E12"/>
    <mergeCell ref="F11:G11"/>
    <mergeCell ref="R40:T40"/>
    <mergeCell ref="R34:T34"/>
    <mergeCell ref="K10:K12"/>
    <mergeCell ref="N40:Q40"/>
    <mergeCell ref="N34:Q34"/>
    <mergeCell ref="O10:O12"/>
    <mergeCell ref="N10:N12"/>
    <mergeCell ref="J34:L34"/>
    <mergeCell ref="Q33:T33"/>
  </mergeCells>
  <printOptions horizontalCentered="1"/>
  <pageMargins left="0.23622047244094491" right="0.15748031496062992" top="0.62992125984251968" bottom="0.27559055118110237" header="0.31496062992125984" footer="0.31496062992125984"/>
  <pageSetup paperSize="9" scale="70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G54"/>
  <sheetViews>
    <sheetView topLeftCell="D5" zoomScale="85" zoomScaleNormal="85" workbookViewId="0">
      <selection activeCell="Z17" sqref="Z17"/>
    </sheetView>
  </sheetViews>
  <sheetFormatPr defaultColWidth="9.375" defaultRowHeight="16.5"/>
  <cols>
    <col min="1" max="1" width="4.375" style="767" customWidth="1"/>
    <col min="2" max="2" width="24.125" style="767" customWidth="1"/>
    <col min="3" max="3" width="12" style="767" customWidth="1"/>
    <col min="4" max="4" width="9.375" style="767" customWidth="1"/>
    <col min="5" max="5" width="12.125" style="767" hidden="1" customWidth="1"/>
    <col min="6" max="6" width="7.75" style="767" customWidth="1"/>
    <col min="7" max="7" width="8.375" style="767" customWidth="1"/>
    <col min="8" max="10" width="9.375" style="767" hidden="1" customWidth="1"/>
    <col min="11" max="11" width="0.125" style="767" hidden="1" customWidth="1"/>
    <col min="12" max="12" width="11.125" style="767" hidden="1" customWidth="1"/>
    <col min="13" max="13" width="7.875" style="767" hidden="1" customWidth="1"/>
    <col min="14" max="14" width="7.875" style="767" customWidth="1"/>
    <col min="15" max="15" width="10.375" style="767" hidden="1" customWidth="1"/>
    <col min="16" max="16" width="11" style="767" customWidth="1"/>
    <col min="17" max="17" width="13.75" style="767" customWidth="1"/>
    <col min="18" max="18" width="15.375" style="767" hidden="1" customWidth="1"/>
    <col min="19" max="19" width="12" style="767" hidden="1" customWidth="1"/>
    <col min="20" max="20" width="16.625" style="767" hidden="1" customWidth="1"/>
    <col min="21" max="21" width="15.375" style="767" customWidth="1"/>
    <col min="22" max="22" width="12.75" style="767" customWidth="1"/>
    <col min="23" max="23" width="12.375" style="767" customWidth="1"/>
    <col min="24" max="24" width="10.875" style="767" customWidth="1"/>
    <col min="25" max="25" width="13.375" style="767" customWidth="1"/>
    <col min="26" max="26" width="11.25" style="767" customWidth="1"/>
    <col min="27" max="27" width="10" style="767" customWidth="1"/>
    <col min="28" max="28" width="12.375" style="767" customWidth="1"/>
    <col min="29" max="29" width="11" style="767" customWidth="1"/>
    <col min="30" max="30" width="10.125" style="767" customWidth="1"/>
    <col min="31" max="31" width="14.625" style="767" hidden="1" customWidth="1"/>
    <col min="32" max="32" width="11.75" style="767" customWidth="1"/>
    <col min="33" max="33" width="6.125" style="767" customWidth="1"/>
    <col min="34" max="34" width="13.875" style="767" customWidth="1"/>
    <col min="35" max="16384" width="9.375" style="767"/>
  </cols>
  <sheetData>
    <row r="1" spans="1:33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  <c r="Q1" s="4299"/>
      <c r="R1" s="4299"/>
      <c r="S1" s="4299"/>
      <c r="T1" s="4299"/>
      <c r="U1" s="4299"/>
      <c r="V1" s="4299"/>
      <c r="W1" s="4299"/>
      <c r="X1" s="4299"/>
      <c r="Y1" s="4299"/>
      <c r="Z1" s="4299"/>
      <c r="AA1" s="4299"/>
      <c r="AB1" s="4299"/>
      <c r="AC1" s="4299"/>
      <c r="AD1" s="4299"/>
      <c r="AE1" s="4299"/>
      <c r="AF1" s="4299"/>
      <c r="AG1" s="4299"/>
    </row>
    <row r="2" spans="1:33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  <c r="Q2" s="4299"/>
      <c r="R2" s="4299"/>
      <c r="S2" s="4299"/>
      <c r="T2" s="4299"/>
      <c r="U2" s="4299"/>
      <c r="V2" s="4299"/>
      <c r="W2" s="4299"/>
      <c r="X2" s="4299"/>
      <c r="Y2" s="4299"/>
      <c r="Z2" s="4299"/>
      <c r="AA2" s="4299"/>
      <c r="AB2" s="4299"/>
      <c r="AC2" s="4299"/>
      <c r="AD2" s="4299"/>
      <c r="AE2" s="4299"/>
      <c r="AF2" s="4299"/>
      <c r="AG2" s="4299"/>
    </row>
    <row r="3" spans="1:33">
      <c r="A3" s="4341" t="s">
        <v>726</v>
      </c>
      <c r="B3" s="4299"/>
      <c r="C3" s="4299"/>
      <c r="D3" s="4299"/>
      <c r="E3" s="4299"/>
      <c r="F3" s="4299"/>
      <c r="G3" s="4299"/>
      <c r="H3" s="4299"/>
      <c r="I3" s="4299"/>
      <c r="J3" s="4299"/>
      <c r="K3" s="4299"/>
      <c r="L3" s="4299"/>
      <c r="M3" s="4299"/>
      <c r="N3" s="4299"/>
      <c r="O3" s="4299"/>
      <c r="P3" s="4299"/>
      <c r="Q3" s="4299"/>
      <c r="R3" s="4299"/>
      <c r="S3" s="4299"/>
      <c r="T3" s="4299"/>
      <c r="U3" s="4299"/>
      <c r="V3" s="4299"/>
      <c r="W3" s="4299"/>
      <c r="X3" s="4299"/>
      <c r="Y3" s="4299"/>
      <c r="Z3" s="4299"/>
      <c r="AA3" s="4299"/>
      <c r="AB3" s="4299"/>
      <c r="AC3" s="4299"/>
      <c r="AD3" s="4299"/>
      <c r="AE3" s="4299"/>
      <c r="AF3" s="4299"/>
      <c r="AG3" s="4299"/>
    </row>
    <row r="4" spans="1:33" ht="18.75" customHeight="1">
      <c r="A4" s="4440" t="s">
        <v>602</v>
      </c>
      <c r="B4" s="4440"/>
      <c r="C4" s="4440"/>
      <c r="D4" s="4440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R4" s="771"/>
      <c r="S4" s="771"/>
      <c r="T4" s="771"/>
      <c r="Z4" s="766"/>
      <c r="AB4" s="766"/>
      <c r="AC4" s="766"/>
      <c r="AD4" s="766"/>
      <c r="AE4" s="766"/>
      <c r="AF4" s="766"/>
      <c r="AG4" s="766"/>
    </row>
    <row r="5" spans="1:33" ht="18.75" customHeight="1">
      <c r="A5" s="4299" t="s">
        <v>541</v>
      </c>
      <c r="B5" s="4299"/>
      <c r="C5" s="4299"/>
      <c r="D5" s="4299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66"/>
      <c r="R5" s="776"/>
      <c r="S5" s="776"/>
      <c r="T5" s="776"/>
      <c r="Z5" s="766"/>
      <c r="AB5" s="766"/>
      <c r="AC5" s="766"/>
      <c r="AD5" s="766"/>
      <c r="AE5" s="766"/>
      <c r="AF5" s="766"/>
      <c r="AG5" s="766"/>
    </row>
    <row r="6" spans="1:33" ht="18.75" customHeight="1"/>
    <row r="7" spans="1:33" ht="22.5" customHeight="1">
      <c r="A7" s="4447" t="s">
        <v>906</v>
      </c>
      <c r="B7" s="4447"/>
      <c r="C7" s="4447"/>
      <c r="D7" s="4447"/>
      <c r="E7" s="4447"/>
      <c r="F7" s="4447"/>
      <c r="G7" s="4447"/>
      <c r="H7" s="4447"/>
      <c r="I7" s="4447"/>
      <c r="J7" s="4447"/>
      <c r="K7" s="4447"/>
      <c r="L7" s="4447"/>
      <c r="M7" s="4447"/>
      <c r="N7" s="4447"/>
      <c r="O7" s="4447"/>
      <c r="P7" s="4447"/>
      <c r="Q7" s="4447"/>
      <c r="R7" s="4447"/>
      <c r="S7" s="4447"/>
      <c r="T7" s="4447"/>
      <c r="U7" s="4447"/>
      <c r="V7" s="4447"/>
      <c r="W7" s="4447"/>
      <c r="X7" s="4447"/>
      <c r="Y7" s="4447"/>
      <c r="Z7" s="4447"/>
      <c r="AA7" s="4447"/>
      <c r="AB7" s="4447"/>
      <c r="AC7" s="4447"/>
      <c r="AD7" s="4447"/>
      <c r="AE7" s="4447"/>
      <c r="AF7" s="4447"/>
      <c r="AG7" s="4447"/>
    </row>
    <row r="8" spans="1:33">
      <c r="A8" s="885"/>
      <c r="B8" s="857" t="s">
        <v>603</v>
      </c>
      <c r="C8" s="886">
        <v>21976</v>
      </c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  <c r="AF8" s="885"/>
      <c r="AG8" s="885"/>
    </row>
    <row r="9" spans="1:33">
      <c r="A9" s="885"/>
      <c r="B9" s="857" t="s">
        <v>604</v>
      </c>
      <c r="C9" s="887">
        <v>0.94079999999999997</v>
      </c>
      <c r="D9" s="885"/>
      <c r="E9" s="885"/>
      <c r="F9" s="885"/>
      <c r="G9" s="885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  <c r="AF9" s="885"/>
      <c r="AG9" s="885"/>
    </row>
    <row r="10" spans="1:33" ht="29.25" customHeight="1">
      <c r="A10" s="4436" t="s">
        <v>19</v>
      </c>
      <c r="B10" s="4436" t="s">
        <v>20</v>
      </c>
      <c r="C10" s="4436" t="s">
        <v>5</v>
      </c>
      <c r="D10" s="4465" t="s">
        <v>895</v>
      </c>
      <c r="E10" s="4466"/>
      <c r="F10" s="4466"/>
      <c r="G10" s="4466"/>
      <c r="H10" s="4466"/>
      <c r="I10" s="4466"/>
      <c r="J10" s="4466"/>
      <c r="K10" s="4467"/>
      <c r="L10" s="4448" t="s">
        <v>797</v>
      </c>
      <c r="M10" s="4448" t="s">
        <v>798</v>
      </c>
      <c r="N10" s="4448" t="s">
        <v>898</v>
      </c>
      <c r="O10" s="4448" t="s">
        <v>856</v>
      </c>
      <c r="P10" s="4448" t="s">
        <v>233</v>
      </c>
      <c r="Q10" s="4442" t="s">
        <v>769</v>
      </c>
      <c r="R10" s="4436" t="s">
        <v>689</v>
      </c>
      <c r="S10" s="4436"/>
      <c r="T10" s="4436"/>
      <c r="U10" s="4469" t="s">
        <v>764</v>
      </c>
      <c r="V10" s="4433" t="s">
        <v>765</v>
      </c>
      <c r="W10" s="4433" t="s">
        <v>766</v>
      </c>
      <c r="X10" s="4442" t="s">
        <v>701</v>
      </c>
      <c r="Y10" s="4433" t="s">
        <v>770</v>
      </c>
      <c r="Z10" s="4472" t="s">
        <v>702</v>
      </c>
      <c r="AA10" s="4474"/>
      <c r="AB10" s="4445" t="s">
        <v>598</v>
      </c>
      <c r="AC10" s="4470"/>
      <c r="AD10" s="4472" t="s">
        <v>605</v>
      </c>
      <c r="AE10" s="4473"/>
      <c r="AF10" s="4474"/>
      <c r="AG10" s="4431" t="s">
        <v>634</v>
      </c>
    </row>
    <row r="11" spans="1:33" ht="29.25" customHeight="1">
      <c r="A11" s="4436"/>
      <c r="B11" s="4436"/>
      <c r="C11" s="4436"/>
      <c r="D11" s="4445" t="s">
        <v>896</v>
      </c>
      <c r="E11" s="1382"/>
      <c r="F11" s="4465" t="s">
        <v>23</v>
      </c>
      <c r="G11" s="4466"/>
      <c r="H11" s="1382"/>
      <c r="I11" s="1382"/>
      <c r="J11" s="1382"/>
      <c r="K11" s="1383"/>
      <c r="L11" s="4449"/>
      <c r="M11" s="4449"/>
      <c r="N11" s="4449"/>
      <c r="O11" s="4449"/>
      <c r="P11" s="4449"/>
      <c r="Q11" s="4443"/>
      <c r="R11" s="860"/>
      <c r="S11" s="860"/>
      <c r="T11" s="860"/>
      <c r="U11" s="4469"/>
      <c r="V11" s="4433"/>
      <c r="W11" s="4433"/>
      <c r="X11" s="4444"/>
      <c r="Y11" s="4433"/>
      <c r="Z11" s="4475"/>
      <c r="AA11" s="4477"/>
      <c r="AB11" s="4446"/>
      <c r="AC11" s="4471"/>
      <c r="AD11" s="4475"/>
      <c r="AE11" s="4476"/>
      <c r="AF11" s="4477"/>
      <c r="AG11" s="4431"/>
    </row>
    <row r="12" spans="1:33" ht="33.75" customHeight="1">
      <c r="A12" s="4436"/>
      <c r="B12" s="4436"/>
      <c r="C12" s="4436"/>
      <c r="D12" s="4446"/>
      <c r="E12" s="861" t="s">
        <v>755</v>
      </c>
      <c r="F12" s="861" t="s">
        <v>897</v>
      </c>
      <c r="G12" s="861" t="s">
        <v>5</v>
      </c>
      <c r="H12" s="965">
        <v>0.9</v>
      </c>
      <c r="I12" s="965">
        <v>0.1</v>
      </c>
      <c r="J12" s="965">
        <v>0.8</v>
      </c>
      <c r="K12" s="965">
        <v>0.2</v>
      </c>
      <c r="L12" s="4468"/>
      <c r="M12" s="4450"/>
      <c r="N12" s="4450"/>
      <c r="O12" s="4450"/>
      <c r="P12" s="4450"/>
      <c r="Q12" s="4444"/>
      <c r="R12" s="861" t="s">
        <v>18</v>
      </c>
      <c r="S12" s="866" t="s">
        <v>23</v>
      </c>
      <c r="T12" s="863" t="s">
        <v>247</v>
      </c>
      <c r="U12" s="4462" t="s">
        <v>247</v>
      </c>
      <c r="V12" s="4463"/>
      <c r="W12" s="4464"/>
      <c r="X12" s="863" t="s">
        <v>18</v>
      </c>
      <c r="Y12" s="4434"/>
      <c r="Z12" s="863" t="s">
        <v>247</v>
      </c>
      <c r="AA12" s="863" t="s">
        <v>18</v>
      </c>
      <c r="AB12" s="863" t="s">
        <v>247</v>
      </c>
      <c r="AC12" s="863" t="s">
        <v>18</v>
      </c>
      <c r="AD12" s="863" t="s">
        <v>247</v>
      </c>
      <c r="AE12" s="863"/>
      <c r="AF12" s="863" t="s">
        <v>18</v>
      </c>
      <c r="AG12" s="4431"/>
    </row>
    <row r="13" spans="1:33" s="697" customFormat="1" ht="6" hidden="1" customHeight="1">
      <c r="A13" s="888" t="s">
        <v>606</v>
      </c>
      <c r="B13" s="888" t="s">
        <v>607</v>
      </c>
      <c r="C13" s="888" t="s">
        <v>608</v>
      </c>
      <c r="D13" s="888" t="s">
        <v>609</v>
      </c>
      <c r="E13" s="888"/>
      <c r="F13" s="888"/>
      <c r="G13" s="888"/>
      <c r="H13" s="888"/>
      <c r="I13" s="888"/>
      <c r="J13" s="888"/>
      <c r="K13" s="888"/>
      <c r="L13" s="888"/>
      <c r="M13" s="888"/>
      <c r="N13" s="888"/>
      <c r="O13" s="888"/>
      <c r="P13" s="888"/>
      <c r="Q13" s="888" t="s">
        <v>610</v>
      </c>
      <c r="R13" s="888" t="s">
        <v>611</v>
      </c>
      <c r="S13" s="888"/>
      <c r="T13" s="888" t="s">
        <v>635</v>
      </c>
      <c r="U13" s="888" t="s">
        <v>692</v>
      </c>
      <c r="V13" s="888" t="s">
        <v>636</v>
      </c>
      <c r="W13" s="888"/>
      <c r="X13" s="888" t="s">
        <v>637</v>
      </c>
      <c r="Y13" s="888" t="s">
        <v>699</v>
      </c>
      <c r="Z13" s="888" t="s">
        <v>693</v>
      </c>
      <c r="AA13" s="888" t="s">
        <v>694</v>
      </c>
      <c r="AB13" s="888" t="s">
        <v>695</v>
      </c>
      <c r="AC13" s="888">
        <v>15</v>
      </c>
      <c r="AD13" s="888" t="s">
        <v>696</v>
      </c>
      <c r="AE13" s="888"/>
      <c r="AF13" s="888" t="s">
        <v>697</v>
      </c>
      <c r="AG13" s="888" t="s">
        <v>698</v>
      </c>
    </row>
    <row r="14" spans="1:33" ht="21.75" customHeight="1">
      <c r="A14" s="2965" t="s">
        <v>52</v>
      </c>
      <c r="B14" s="4458" t="s">
        <v>1355</v>
      </c>
      <c r="C14" s="4459"/>
      <c r="D14" s="2966"/>
      <c r="E14" s="2968"/>
      <c r="F14" s="2968"/>
      <c r="G14" s="2968"/>
      <c r="H14" s="2968"/>
      <c r="I14" s="2968"/>
      <c r="J14" s="2967"/>
      <c r="K14" s="864"/>
      <c r="L14" s="2967"/>
      <c r="M14" s="2967"/>
      <c r="N14" s="2968"/>
      <c r="O14" s="2965"/>
      <c r="P14" s="2966"/>
      <c r="Q14" s="2966"/>
      <c r="R14" s="2965"/>
      <c r="S14" s="2966"/>
      <c r="T14" s="2965"/>
    </row>
    <row r="15" spans="1:33" ht="27" customHeight="1">
      <c r="A15" s="860" t="s">
        <v>147</v>
      </c>
      <c r="B15" s="4441" t="s">
        <v>630</v>
      </c>
      <c r="C15" s="4441"/>
      <c r="D15" s="1396">
        <f>SUM(D16:E18)</f>
        <v>1250</v>
      </c>
      <c r="E15" s="1396">
        <f t="shared" ref="E15:AE15" si="0">SUM(E16:F18)</f>
        <v>430</v>
      </c>
      <c r="F15" s="1396">
        <f t="shared" si="0"/>
        <v>430</v>
      </c>
      <c r="G15" s="1075">
        <f t="shared" si="0"/>
        <v>0</v>
      </c>
      <c r="H15" s="1396">
        <f t="shared" si="0"/>
        <v>0</v>
      </c>
      <c r="I15" s="1396">
        <f t="shared" si="0"/>
        <v>0</v>
      </c>
      <c r="J15" s="1396">
        <f t="shared" si="0"/>
        <v>0</v>
      </c>
      <c r="K15" s="1396">
        <f t="shared" si="0"/>
        <v>0</v>
      </c>
      <c r="L15" s="1396">
        <f t="shared" si="0"/>
        <v>0</v>
      </c>
      <c r="M15" s="1396">
        <f t="shared" si="0"/>
        <v>0</v>
      </c>
      <c r="N15" s="1075">
        <f t="shared" si="0"/>
        <v>0</v>
      </c>
      <c r="O15" s="1396">
        <f t="shared" si="0"/>
        <v>1680</v>
      </c>
      <c r="P15" s="1191">
        <f>SUM(P16:P18)</f>
        <v>1680</v>
      </c>
      <c r="Q15" s="1191">
        <f>SUM(Q16:Q18)</f>
        <v>36919680</v>
      </c>
      <c r="R15" s="1397">
        <f t="shared" si="0"/>
        <v>0</v>
      </c>
      <c r="S15" s="1397">
        <f t="shared" si="0"/>
        <v>0</v>
      </c>
      <c r="T15" s="1397">
        <f t="shared" si="0"/>
        <v>2953574.4000000004</v>
      </c>
      <c r="U15" s="1397">
        <f t="shared" ref="U15:AC15" si="1">SUM(U16:U18)</f>
        <v>2953574.4000000004</v>
      </c>
      <c r="V15" s="1397">
        <f t="shared" si="1"/>
        <v>346439.04000000004</v>
      </c>
      <c r="W15" s="1397">
        <f t="shared" si="1"/>
        <v>114201.36</v>
      </c>
      <c r="X15" s="1397">
        <f t="shared" si="1"/>
        <v>77.461066618128868</v>
      </c>
      <c r="Y15" s="1191">
        <f t="shared" si="1"/>
        <v>33505465.199999999</v>
      </c>
      <c r="Z15" s="1397">
        <f t="shared" si="1"/>
        <v>2470966</v>
      </c>
      <c r="AA15" s="1397">
        <f t="shared" si="1"/>
        <v>112.43929741536222</v>
      </c>
      <c r="AB15" s="1397">
        <f t="shared" si="1"/>
        <v>31034499.200000003</v>
      </c>
      <c r="AC15" s="1397">
        <f t="shared" si="1"/>
        <v>1412.199635966509</v>
      </c>
      <c r="AD15" s="1397">
        <f>SUM(AD16:AE18)</f>
        <v>310344</v>
      </c>
      <c r="AE15" s="1397">
        <f t="shared" si="0"/>
        <v>14.121951219512194</v>
      </c>
      <c r="AF15" s="1397">
        <f>SUM(AF16:AF18)</f>
        <v>14.121951219512194</v>
      </c>
      <c r="AG15" s="866"/>
    </row>
    <row r="16" spans="1:33" ht="27" customHeight="1">
      <c r="A16" s="1398">
        <v>1</v>
      </c>
      <c r="B16" s="1399" t="s">
        <v>1010</v>
      </c>
      <c r="C16" s="1399" t="s">
        <v>680</v>
      </c>
      <c r="D16" s="1400">
        <v>610</v>
      </c>
      <c r="E16" s="1400"/>
      <c r="F16" s="1400">
        <f>+'Lương USD'!F16</f>
        <v>210</v>
      </c>
      <c r="G16" s="1401">
        <v>0</v>
      </c>
      <c r="H16" s="1402"/>
      <c r="I16" s="1402"/>
      <c r="J16" s="1402"/>
      <c r="K16" s="1402"/>
      <c r="L16" s="1402"/>
      <c r="M16" s="1402"/>
      <c r="N16" s="1402"/>
      <c r="O16" s="1402"/>
      <c r="P16" s="1403">
        <f>+D16+F16+G16+N16</f>
        <v>820</v>
      </c>
      <c r="Q16" s="1403">
        <f>+P16*$C$8</f>
        <v>18020320</v>
      </c>
      <c r="R16" s="1402"/>
      <c r="S16" s="1402"/>
      <c r="T16" s="1402"/>
      <c r="U16" s="3010">
        <f>Q16*0.08</f>
        <v>1441625.6</v>
      </c>
      <c r="V16" s="1402">
        <f>Q16*0.015</f>
        <v>270304.8</v>
      </c>
      <c r="W16" s="1402">
        <v>0</v>
      </c>
      <c r="X16" s="1401">
        <v>0</v>
      </c>
      <c r="Y16" s="1404">
        <f t="shared" ref="Y16:Y17" si="2">Q16-U16-V16-W16</f>
        <v>16308389.6</v>
      </c>
      <c r="Z16" s="1405">
        <f>IF(Y16&gt;65000000,((Y16-65000000)*25%+10685000),IF(Y16&gt;25000000,((Y16-25000000)*20%+2685000),IF(Y16&gt;15000000,((Y16-15000000)*15%+1185000),IF(Y16&gt;5000000,(Y16-5000000)*10%+185000,IF(Y16&gt;1300000,(Y16-1300000)*5%,0)))))</f>
        <v>1381258.44</v>
      </c>
      <c r="AA16" s="1406">
        <f t="shared" ref="AA16" si="3">Z16/$C$8</f>
        <v>62.853041499817984</v>
      </c>
      <c r="AB16" s="1407">
        <f t="shared" ref="AB16" si="4">Y16-Z16</f>
        <v>14927131.16</v>
      </c>
      <c r="AC16" s="1408">
        <f t="shared" ref="AC16" si="5">AB16/$C$8</f>
        <v>679.24695850018202</v>
      </c>
      <c r="AD16" s="1409">
        <f t="shared" ref="AD16" si="6">ROUND(AB16*1%,0)</f>
        <v>149271</v>
      </c>
      <c r="AE16" s="1409"/>
      <c r="AF16" s="1410">
        <f t="shared" ref="AF16" si="7">(AD16+AE16)/$C$8</f>
        <v>6.7924554058973428</v>
      </c>
      <c r="AG16" s="1402"/>
    </row>
    <row r="17" spans="1:33" s="865" customFormat="1" ht="27" customHeight="1">
      <c r="A17" s="1094">
        <v>2</v>
      </c>
      <c r="B17" s="1095" t="s">
        <v>638</v>
      </c>
      <c r="C17" s="1095" t="s">
        <v>639</v>
      </c>
      <c r="D17" s="1278">
        <v>340</v>
      </c>
      <c r="E17" s="1278"/>
      <c r="F17" s="1278">
        <v>120</v>
      </c>
      <c r="G17" s="1393">
        <v>0</v>
      </c>
      <c r="H17" s="1278">
        <f>G17*90%</f>
        <v>0</v>
      </c>
      <c r="I17" s="1278">
        <f>G17*10%</f>
        <v>0</v>
      </c>
      <c r="J17" s="1278"/>
      <c r="K17" s="1278"/>
      <c r="L17" s="1278"/>
      <c r="M17" s="1278"/>
      <c r="N17" s="1278"/>
      <c r="O17" s="1275">
        <v>0</v>
      </c>
      <c r="P17" s="1411">
        <f t="shared" ref="P17:P18" si="8">+D17+F17+G17+N17</f>
        <v>460</v>
      </c>
      <c r="Q17" s="1411">
        <f t="shared" ref="Q17:Q18" si="9">+P17*$C$8</f>
        <v>10108960</v>
      </c>
      <c r="R17" s="1279"/>
      <c r="S17" s="1279"/>
      <c r="T17" s="1279"/>
      <c r="U17" s="3010">
        <f t="shared" ref="U17:U18" si="10">Q17*0.08</f>
        <v>808716.80000000005</v>
      </c>
      <c r="V17" s="1096">
        <f>VLOOKUP(B17,BHXH!$B$2:$F$8,5,0)*1%*$C$9</f>
        <v>38831.519999999997</v>
      </c>
      <c r="W17" s="1096">
        <f>VLOOKUP(B17,BHXH!$B$2:$F$8,5,0)*1.5%*$C$9</f>
        <v>58247.28</v>
      </c>
      <c r="X17" s="1286">
        <f t="shared" ref="X17:X18" si="11">(U17+V17+W17)/$C$8</f>
        <v>41.217491809246454</v>
      </c>
      <c r="Y17" s="1097">
        <f t="shared" si="2"/>
        <v>9203164.4000000004</v>
      </c>
      <c r="Z17" s="1098">
        <f>IF(Y17&gt;65000000,((Y17-65000000)*25%+10685000),IF(Y17&gt;25000000,((Y17-25000000)*20%+2685000),IF(Y17&gt;15000000,((Y17-15000000)*15%+1185000),IF(Y17&gt;5000000,(Y17-5000000)*10%+185000,IF(Y17&gt;1300000,(Y17-1300000)*5%,0)))))</f>
        <v>605316.44000000006</v>
      </c>
      <c r="AA17" s="1286">
        <f t="shared" ref="AA17:AA18" si="12">Z17/$C$8</f>
        <v>27.544432107753916</v>
      </c>
      <c r="AB17" s="1099">
        <f t="shared" ref="AB17:AB18" si="13">Y17-Z17</f>
        <v>8597847.9600000009</v>
      </c>
      <c r="AC17" s="1100">
        <f t="shared" ref="AC17:AC18" si="14">AB17/$C$8</f>
        <v>391.23807608299967</v>
      </c>
      <c r="AD17" s="1076">
        <f t="shared" ref="AD17:AD18" si="15">ROUND(AB17*1%,0)</f>
        <v>85978</v>
      </c>
      <c r="AE17" s="1076"/>
      <c r="AF17" s="1077">
        <f t="shared" ref="AF17:AF18" si="16">(AD17+AE17)/$C$8</f>
        <v>3.9123589370222058</v>
      </c>
      <c r="AG17" s="1076"/>
    </row>
    <row r="18" spans="1:33" s="865" customFormat="1" ht="27" customHeight="1">
      <c r="A18" s="1101">
        <v>3</v>
      </c>
      <c r="B18" s="1102" t="s">
        <v>97</v>
      </c>
      <c r="C18" s="1102" t="s">
        <v>99</v>
      </c>
      <c r="D18" s="1280">
        <v>300</v>
      </c>
      <c r="E18" s="1280"/>
      <c r="F18" s="1280">
        <v>100</v>
      </c>
      <c r="G18" s="1394">
        <v>0</v>
      </c>
      <c r="H18" s="1280">
        <f>G18*90%</f>
        <v>0</v>
      </c>
      <c r="I18" s="1280">
        <f>G18*10%</f>
        <v>0</v>
      </c>
      <c r="J18" s="1280"/>
      <c r="K18" s="1280"/>
      <c r="L18" s="1280"/>
      <c r="M18" s="1280"/>
      <c r="N18" s="1280"/>
      <c r="O18" s="1276">
        <v>0</v>
      </c>
      <c r="P18" s="1412">
        <f t="shared" si="8"/>
        <v>400</v>
      </c>
      <c r="Q18" s="1412">
        <f t="shared" si="9"/>
        <v>8790400</v>
      </c>
      <c r="R18" s="1281"/>
      <c r="S18" s="1281"/>
      <c r="T18" s="1281"/>
      <c r="U18" s="3010">
        <f t="shared" si="10"/>
        <v>703232</v>
      </c>
      <c r="V18" s="1103">
        <f>VLOOKUP(B18,BHXH!$B$2:$F$8,5,0)*1%*$C$9</f>
        <v>37302.720000000001</v>
      </c>
      <c r="W18" s="1103">
        <f>VLOOKUP(B18,BHXH!$B$2:$F$8,5,0)*1.5%*$C$9</f>
        <v>55954.080000000002</v>
      </c>
      <c r="X18" s="1287">
        <f t="shared" si="11"/>
        <v>36.243574808882414</v>
      </c>
      <c r="Y18" s="1104">
        <f>Q18-U18-V18-W18</f>
        <v>7993911.2000000002</v>
      </c>
      <c r="Z18" s="1105">
        <f>IF(Y18&gt;65000000,((Y18-65000000)*25%+10685000),IF(Y18&gt;25000000,((Y18-25000000)*20%+2685000),IF(Y18&gt;15000000,((Y18-15000000)*15%+1185000),IF(Y18&gt;5000000,(Y18-5000000)*10%+185000,IF(Y18&gt;1300000,(Y18-1300000)*5%,0)))))</f>
        <v>484391.12000000005</v>
      </c>
      <c r="AA18" s="1287">
        <f t="shared" si="12"/>
        <v>22.041823807790319</v>
      </c>
      <c r="AB18" s="1106">
        <f t="shared" si="13"/>
        <v>7509520.0800000001</v>
      </c>
      <c r="AC18" s="1107">
        <f t="shared" si="14"/>
        <v>341.71460138332725</v>
      </c>
      <c r="AD18" s="1078">
        <f t="shared" si="15"/>
        <v>75095</v>
      </c>
      <c r="AE18" s="1078"/>
      <c r="AF18" s="1079">
        <f t="shared" si="16"/>
        <v>3.4171368765926466</v>
      </c>
      <c r="AG18" s="1078"/>
    </row>
    <row r="19" spans="1:33" s="868" customFormat="1" ht="27" customHeight="1">
      <c r="A19" s="1108" t="s">
        <v>148</v>
      </c>
      <c r="B19" s="1109" t="s">
        <v>629</v>
      </c>
      <c r="C19" s="1109"/>
      <c r="D19" s="1189">
        <f t="shared" ref="D19:AF19" si="17">SUM(D20:D20)</f>
        <v>330</v>
      </c>
      <c r="E19" s="1189">
        <f t="shared" si="17"/>
        <v>0</v>
      </c>
      <c r="F19" s="1277">
        <f t="shared" si="17"/>
        <v>0</v>
      </c>
      <c r="G19" s="1277">
        <f t="shared" si="17"/>
        <v>50</v>
      </c>
      <c r="H19" s="1189">
        <f t="shared" si="17"/>
        <v>0</v>
      </c>
      <c r="I19" s="1189">
        <f t="shared" si="17"/>
        <v>0</v>
      </c>
      <c r="J19" s="1189">
        <f t="shared" si="17"/>
        <v>40</v>
      </c>
      <c r="K19" s="1189">
        <f t="shared" si="17"/>
        <v>10</v>
      </c>
      <c r="L19" s="1189">
        <f t="shared" si="17"/>
        <v>0</v>
      </c>
      <c r="M19" s="1189">
        <f t="shared" si="17"/>
        <v>50</v>
      </c>
      <c r="N19" s="1277" t="e">
        <f t="shared" si="17"/>
        <v>#REF!</v>
      </c>
      <c r="O19" s="1191">
        <f t="shared" si="17"/>
        <v>0</v>
      </c>
      <c r="P19" s="3007" t="e">
        <f>SUM(P20:P21)</f>
        <v>#REF!</v>
      </c>
      <c r="Q19" s="3007" t="e">
        <f>SUM(Q20:Q21)</f>
        <v>#REF!</v>
      </c>
      <c r="R19" s="1189">
        <f t="shared" si="17"/>
        <v>0</v>
      </c>
      <c r="S19" s="1189">
        <f t="shared" si="17"/>
        <v>0</v>
      </c>
      <c r="T19" s="1189">
        <f t="shared" si="17"/>
        <v>0</v>
      </c>
      <c r="U19" s="1191">
        <f>SUM(U20:U20)</f>
        <v>317990.39999999997</v>
      </c>
      <c r="V19" s="1088">
        <f t="shared" si="17"/>
        <v>39748.799999999996</v>
      </c>
      <c r="W19" s="1088">
        <f t="shared" si="17"/>
        <v>59623.199999999997</v>
      </c>
      <c r="X19" s="1277">
        <f t="shared" si="17"/>
        <v>18.991736439752454</v>
      </c>
      <c r="Y19" s="1088" t="e">
        <f>SUM(Y20:Y20)</f>
        <v>#REF!</v>
      </c>
      <c r="Z19" s="1088" t="e">
        <f t="shared" si="17"/>
        <v>#REF!</v>
      </c>
      <c r="AA19" s="1277" t="e">
        <f t="shared" si="17"/>
        <v>#REF!</v>
      </c>
      <c r="AB19" s="1088" t="e">
        <f t="shared" si="17"/>
        <v>#REF!</v>
      </c>
      <c r="AC19" s="1110" t="e">
        <f t="shared" si="17"/>
        <v>#REF!</v>
      </c>
      <c r="AD19" s="866" t="e">
        <f t="shared" si="17"/>
        <v>#REF!</v>
      </c>
      <c r="AE19" s="866">
        <f t="shared" si="17"/>
        <v>0</v>
      </c>
      <c r="AF19" s="889" t="e">
        <f t="shared" si="17"/>
        <v>#REF!</v>
      </c>
      <c r="AG19" s="866"/>
    </row>
    <row r="20" spans="1:33" s="865" customFormat="1" ht="27" customHeight="1">
      <c r="A20" s="1111">
        <v>1</v>
      </c>
      <c r="B20" s="1112" t="s">
        <v>96</v>
      </c>
      <c r="C20" s="1112" t="s">
        <v>162</v>
      </c>
      <c r="D20" s="1282">
        <v>330</v>
      </c>
      <c r="E20" s="1282"/>
      <c r="F20" s="1395">
        <v>0</v>
      </c>
      <c r="G20" s="1395">
        <v>50</v>
      </c>
      <c r="H20" s="1282"/>
      <c r="I20" s="1282"/>
      <c r="J20" s="1282">
        <f>G20*80%</f>
        <v>40</v>
      </c>
      <c r="K20" s="1282">
        <f>G20*20%</f>
        <v>10</v>
      </c>
      <c r="L20" s="1282"/>
      <c r="M20" s="1282">
        <f>+G20</f>
        <v>50</v>
      </c>
      <c r="N20" s="1395" t="e">
        <f>#REF!</f>
        <v>#REF!</v>
      </c>
      <c r="O20" s="1284"/>
      <c r="P20" s="3006" t="e">
        <f>+D20+F20+G20+N20</f>
        <v>#REF!</v>
      </c>
      <c r="Q20" s="1285" t="e">
        <f>P20*$C$8</f>
        <v>#REF!</v>
      </c>
      <c r="R20" s="1283"/>
      <c r="S20" s="1283"/>
      <c r="T20" s="1283"/>
      <c r="U20" s="1285">
        <f>VLOOKUP(B20,BHXH!$B$2:$F$8,5,0)*8%*$C$9</f>
        <v>317990.39999999997</v>
      </c>
      <c r="V20" s="1113">
        <f>VLOOKUP(B20,BHXH!$B$2:$F$8,5,0)*1%*$C$9</f>
        <v>39748.799999999996</v>
      </c>
      <c r="W20" s="1113">
        <f>VLOOKUP(B20,BHXH!$B$2:$F$8,5,0)*1.5%*$C$9</f>
        <v>59623.199999999997</v>
      </c>
      <c r="X20" s="1288">
        <f>(U20+V20+W20)/$C$8</f>
        <v>18.991736439752454</v>
      </c>
      <c r="Y20" s="1114" t="e">
        <f>Q20-U20-V20-W20</f>
        <v>#REF!</v>
      </c>
      <c r="Z20" s="1115" t="e">
        <f>IF(Y20&gt;65000000,((Y20-65000000)*25%+10685000),IF(Y20&gt;25000000,((Y20-25000000)*20%+2685000),IF(Y20&gt;15000000,((Y20-15000000)*15%+1185000),IF(Y20&gt;5000000,(Y20-5000000)*10%+185000,IF(Y20&gt;1300000,(Y20-1300000)*5%,0)))))</f>
        <v>#REF!</v>
      </c>
      <c r="AA20" s="1288" t="e">
        <f>Z20/$C$8</f>
        <v>#REF!</v>
      </c>
      <c r="AB20" s="1116" t="e">
        <f>Y20-Z20</f>
        <v>#REF!</v>
      </c>
      <c r="AC20" s="1117" t="e">
        <f>AB20/$C$8</f>
        <v>#REF!</v>
      </c>
      <c r="AD20" s="891" t="e">
        <f>ROUND(AB20*1%,0)</f>
        <v>#REF!</v>
      </c>
      <c r="AE20" s="891"/>
      <c r="AF20" s="892" t="e">
        <f>(AD20+AE20)/$C$8</f>
        <v>#REF!</v>
      </c>
      <c r="AG20" s="891"/>
    </row>
    <row r="21" spans="1:33" s="868" customFormat="1" ht="26.25" customHeight="1">
      <c r="A21" s="2970">
        <v>2</v>
      </c>
      <c r="B21" s="2971" t="s">
        <v>1305</v>
      </c>
      <c r="C21" s="875" t="s">
        <v>162</v>
      </c>
      <c r="D21" s="876">
        <v>250</v>
      </c>
      <c r="E21" s="876">
        <v>250</v>
      </c>
      <c r="F21" s="876"/>
      <c r="G21" s="876"/>
      <c r="H21" s="876"/>
      <c r="I21" s="876"/>
      <c r="J21" s="876"/>
      <c r="K21" s="876"/>
      <c r="L21" s="876"/>
      <c r="M21" s="876"/>
      <c r="N21" s="3005" t="e">
        <f>#REF!</f>
        <v>#REF!</v>
      </c>
      <c r="O21" s="876"/>
      <c r="P21" s="3006" t="e">
        <f t="shared" ref="P21:P23" si="18">+D21+F21+G21+N21</f>
        <v>#REF!</v>
      </c>
      <c r="Q21" s="1285" t="e">
        <f>P21*$C$8</f>
        <v>#REF!</v>
      </c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6"/>
      <c r="AC21" s="876"/>
      <c r="AD21" s="876"/>
      <c r="AE21" s="876"/>
      <c r="AF21" s="876"/>
      <c r="AG21" s="876"/>
    </row>
    <row r="22" spans="1:33" s="2988" customFormat="1" ht="23.25" customHeight="1">
      <c r="A22" s="2974" t="s">
        <v>1288</v>
      </c>
      <c r="B22" s="4460" t="s">
        <v>1356</v>
      </c>
      <c r="C22" s="4461"/>
      <c r="D22" s="2975"/>
      <c r="E22" s="2975"/>
      <c r="F22" s="2975"/>
      <c r="G22" s="2975"/>
      <c r="H22" s="2975"/>
      <c r="I22" s="2975"/>
      <c r="J22" s="2975"/>
      <c r="K22" s="2975"/>
      <c r="L22" s="2975"/>
      <c r="M22" s="2975"/>
      <c r="N22" s="2975"/>
      <c r="O22" s="2975"/>
      <c r="P22" s="1412">
        <f>P23</f>
        <v>510</v>
      </c>
      <c r="Q22" s="3009">
        <f>Q23</f>
        <v>11207760</v>
      </c>
      <c r="R22" s="2975"/>
      <c r="S22" s="2975"/>
      <c r="T22" s="2975"/>
      <c r="U22" s="2975"/>
      <c r="V22" s="2975"/>
      <c r="W22" s="2975"/>
      <c r="X22" s="2975"/>
      <c r="Y22" s="2975"/>
      <c r="Z22" s="2975"/>
      <c r="AA22" s="2975"/>
      <c r="AB22" s="2975"/>
      <c r="AC22" s="2975"/>
      <c r="AD22" s="2975"/>
      <c r="AE22" s="2975"/>
      <c r="AF22" s="2975"/>
      <c r="AG22" s="2975"/>
    </row>
    <row r="23" spans="1:33" s="3004" customFormat="1" ht="23.25" customHeight="1">
      <c r="A23" s="2989">
        <v>1</v>
      </c>
      <c r="B23" s="2990" t="s">
        <v>1306</v>
      </c>
      <c r="C23" s="2991" t="s">
        <v>1357</v>
      </c>
      <c r="D23" s="2992">
        <v>380</v>
      </c>
      <c r="E23" s="2992"/>
      <c r="F23" s="2992">
        <v>130</v>
      </c>
      <c r="G23" s="2992"/>
      <c r="H23" s="2992"/>
      <c r="I23" s="2992"/>
      <c r="J23" s="2992"/>
      <c r="K23" s="2992"/>
      <c r="L23" s="2992"/>
      <c r="M23" s="2992"/>
      <c r="N23" s="2992"/>
      <c r="O23" s="2992"/>
      <c r="P23" s="1412">
        <f t="shared" si="18"/>
        <v>510</v>
      </c>
      <c r="Q23" s="3008">
        <f>P23*$C$8</f>
        <v>11207760</v>
      </c>
      <c r="R23" s="2992"/>
      <c r="S23" s="2992"/>
      <c r="T23" s="2992"/>
      <c r="U23" s="2992"/>
      <c r="V23" s="2992"/>
      <c r="W23" s="2992"/>
      <c r="X23" s="2992"/>
      <c r="Y23" s="2992"/>
      <c r="Z23" s="2992"/>
      <c r="AA23" s="2992"/>
      <c r="AB23" s="2992"/>
      <c r="AC23" s="2992"/>
      <c r="AD23" s="2992"/>
      <c r="AE23" s="2992"/>
      <c r="AF23" s="2992"/>
      <c r="AG23" s="2992"/>
    </row>
    <row r="24" spans="1:33" s="865" customFormat="1" ht="27" customHeight="1">
      <c r="A24" s="4451" t="s">
        <v>612</v>
      </c>
      <c r="B24" s="4453"/>
      <c r="C24" s="1108"/>
      <c r="D24" s="1190">
        <f>+D19+D15</f>
        <v>1580</v>
      </c>
      <c r="E24" s="1190">
        <f t="shared" ref="E24:AF24" si="19">+E19+E15</f>
        <v>430</v>
      </c>
      <c r="F24" s="1190">
        <f t="shared" si="19"/>
        <v>430</v>
      </c>
      <c r="G24" s="1274">
        <f t="shared" si="19"/>
        <v>50</v>
      </c>
      <c r="H24" s="1274">
        <f t="shared" si="19"/>
        <v>0</v>
      </c>
      <c r="I24" s="1274">
        <f t="shared" si="19"/>
        <v>0</v>
      </c>
      <c r="J24" s="1274">
        <f t="shared" si="19"/>
        <v>40</v>
      </c>
      <c r="K24" s="1274">
        <f t="shared" si="19"/>
        <v>10</v>
      </c>
      <c r="L24" s="1274">
        <f t="shared" si="19"/>
        <v>0</v>
      </c>
      <c r="M24" s="1274">
        <f t="shared" si="19"/>
        <v>50</v>
      </c>
      <c r="N24" s="1274" t="e">
        <f t="shared" si="19"/>
        <v>#REF!</v>
      </c>
      <c r="O24" s="1274">
        <f t="shared" si="19"/>
        <v>1680</v>
      </c>
      <c r="P24" s="1274" t="e">
        <f>+P19+P15+P22</f>
        <v>#REF!</v>
      </c>
      <c r="Q24" s="1190" t="e">
        <f>+Q19+Q15+Q22</f>
        <v>#REF!</v>
      </c>
      <c r="R24" s="1274">
        <f t="shared" si="19"/>
        <v>0</v>
      </c>
      <c r="S24" s="1274">
        <f t="shared" si="19"/>
        <v>0</v>
      </c>
      <c r="T24" s="1274">
        <f t="shared" si="19"/>
        <v>2953574.4000000004</v>
      </c>
      <c r="U24" s="1190">
        <f t="shared" si="19"/>
        <v>3271564.8000000003</v>
      </c>
      <c r="V24" s="1190">
        <f t="shared" si="19"/>
        <v>386187.84</v>
      </c>
      <c r="W24" s="1190">
        <f t="shared" si="19"/>
        <v>173824.56</v>
      </c>
      <c r="X24" s="1274">
        <f t="shared" si="19"/>
        <v>96.452803057881326</v>
      </c>
      <c r="Y24" s="1190" t="e">
        <f t="shared" si="19"/>
        <v>#REF!</v>
      </c>
      <c r="Z24" s="1190" t="e">
        <f t="shared" si="19"/>
        <v>#REF!</v>
      </c>
      <c r="AA24" s="1274" t="e">
        <f t="shared" si="19"/>
        <v>#REF!</v>
      </c>
      <c r="AB24" s="1190" t="e">
        <f t="shared" si="19"/>
        <v>#REF!</v>
      </c>
      <c r="AC24" s="1274" t="e">
        <f t="shared" si="19"/>
        <v>#REF!</v>
      </c>
      <c r="AD24" s="1274" t="e">
        <f t="shared" si="19"/>
        <v>#REF!</v>
      </c>
      <c r="AE24" s="1274">
        <f t="shared" si="19"/>
        <v>14.121951219512194</v>
      </c>
      <c r="AF24" s="1274" t="e">
        <f t="shared" si="19"/>
        <v>#REF!</v>
      </c>
      <c r="AG24" s="890"/>
    </row>
    <row r="25" spans="1:33" ht="12" customHeight="1"/>
    <row r="26" spans="1:33" ht="18" customHeight="1">
      <c r="Q26" s="902"/>
      <c r="AC26" s="4478" t="s">
        <v>899</v>
      </c>
      <c r="AD26" s="4478"/>
      <c r="AE26" s="4478"/>
      <c r="AF26" s="4478"/>
      <c r="AG26" s="4478"/>
    </row>
    <row r="27" spans="1:33" s="766" customFormat="1" ht="18" customHeight="1">
      <c r="B27" s="4299" t="s">
        <v>613</v>
      </c>
      <c r="C27" s="4299"/>
      <c r="D27" s="4299" t="s">
        <v>257</v>
      </c>
      <c r="E27" s="4299"/>
      <c r="F27" s="4299"/>
      <c r="G27" s="4299"/>
      <c r="H27" s="4299"/>
      <c r="I27" s="4299"/>
      <c r="J27" s="4299"/>
      <c r="K27" s="4299"/>
      <c r="L27" s="4299"/>
      <c r="M27" s="4299"/>
      <c r="N27" s="4299"/>
      <c r="O27" s="4299"/>
      <c r="P27" s="4299"/>
      <c r="Q27" s="4299"/>
      <c r="R27" s="4299"/>
      <c r="S27" s="4299"/>
      <c r="T27" s="4299"/>
      <c r="U27" s="4299"/>
      <c r="V27" s="4299"/>
      <c r="W27" s="4299"/>
      <c r="X27" s="4299"/>
      <c r="Y27" s="4299" t="s">
        <v>800</v>
      </c>
      <c r="Z27" s="4299"/>
      <c r="AA27" s="4299"/>
      <c r="AB27" s="4299"/>
      <c r="AC27" s="4299" t="s">
        <v>614</v>
      </c>
      <c r="AD27" s="4299"/>
      <c r="AE27" s="4299"/>
      <c r="AF27" s="4299"/>
      <c r="AG27" s="4299"/>
    </row>
    <row r="28" spans="1:33" ht="18" customHeight="1"/>
    <row r="29" spans="1:33" ht="18" customHeight="1"/>
    <row r="30" spans="1:33" ht="18" customHeight="1">
      <c r="Q30" s="768"/>
      <c r="R30" s="768"/>
      <c r="S30" s="768"/>
      <c r="T30" s="768"/>
      <c r="AA30" s="908"/>
      <c r="AB30" s="907" t="e">
        <f>Q20-U20-V20</f>
        <v>#REF!</v>
      </c>
    </row>
    <row r="31" spans="1:33" ht="18" customHeight="1">
      <c r="C31" s="905"/>
      <c r="Q31" s="902"/>
    </row>
    <row r="32" spans="1:33" ht="18" customHeight="1">
      <c r="T32" s="769"/>
      <c r="Y32" s="769"/>
      <c r="AB32" s="770"/>
    </row>
    <row r="33" spans="17:33" ht="18" customHeight="1">
      <c r="Y33" s="4299"/>
      <c r="Z33" s="4299"/>
      <c r="AA33" s="4299"/>
      <c r="AC33" s="4299"/>
      <c r="AD33" s="4299"/>
      <c r="AE33" s="4299"/>
      <c r="AF33" s="4299"/>
      <c r="AG33" s="4299"/>
    </row>
    <row r="34" spans="17:33" ht="18" customHeight="1"/>
    <row r="35" spans="17:33" ht="18" customHeight="1"/>
    <row r="36" spans="17:33" ht="18" customHeight="1">
      <c r="V36" s="769"/>
      <c r="W36" s="769"/>
    </row>
    <row r="37" spans="17:33" ht="18" customHeight="1">
      <c r="V37" s="769"/>
      <c r="W37" s="769"/>
    </row>
    <row r="38" spans="17:33" ht="18" customHeight="1"/>
    <row r="39" spans="17:33" ht="18" customHeight="1">
      <c r="Q39" s="946"/>
      <c r="AB39" s="769"/>
    </row>
    <row r="40" spans="17:33" ht="18" customHeight="1">
      <c r="AB40" s="770"/>
    </row>
    <row r="41" spans="17:33" ht="18" customHeight="1">
      <c r="U41" s="947"/>
    </row>
    <row r="42" spans="17:33" ht="18" customHeight="1"/>
    <row r="43" spans="17:33" ht="18" customHeight="1"/>
    <row r="44" spans="17:33" ht="18" customHeight="1"/>
    <row r="45" spans="17:33" ht="18" customHeight="1"/>
    <row r="46" spans="17:33" ht="18" customHeight="1"/>
    <row r="47" spans="17:33" ht="18" customHeight="1"/>
    <row r="48" spans="17:3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40">
    <mergeCell ref="Y33:AA33"/>
    <mergeCell ref="A24:B24"/>
    <mergeCell ref="AC33:AG33"/>
    <mergeCell ref="AC27:AG27"/>
    <mergeCell ref="AC26:AG26"/>
    <mergeCell ref="C10:C12"/>
    <mergeCell ref="B10:B12"/>
    <mergeCell ref="R10:T10"/>
    <mergeCell ref="AG10:AG12"/>
    <mergeCell ref="B27:C27"/>
    <mergeCell ref="B15:C15"/>
    <mergeCell ref="D27:X27"/>
    <mergeCell ref="N10:N12"/>
    <mergeCell ref="Y27:AB27"/>
    <mergeCell ref="AB10:AC11"/>
    <mergeCell ref="AD10:AF11"/>
    <mergeCell ref="Z10:AA11"/>
    <mergeCell ref="B14:C14"/>
    <mergeCell ref="B22:C22"/>
    <mergeCell ref="A1:AG1"/>
    <mergeCell ref="A3:AG3"/>
    <mergeCell ref="A5:D5"/>
    <mergeCell ref="A4:D4"/>
    <mergeCell ref="A2:AG2"/>
    <mergeCell ref="A7:AG7"/>
    <mergeCell ref="Y10:Y12"/>
    <mergeCell ref="U12:W12"/>
    <mergeCell ref="D10:K10"/>
    <mergeCell ref="O10:O12"/>
    <mergeCell ref="Q10:Q12"/>
    <mergeCell ref="L10:L12"/>
    <mergeCell ref="M10:M12"/>
    <mergeCell ref="D11:D12"/>
    <mergeCell ref="X10:X11"/>
    <mergeCell ref="F11:G11"/>
    <mergeCell ref="U10:U11"/>
    <mergeCell ref="V10:V11"/>
    <mergeCell ref="P10:P12"/>
    <mergeCell ref="W10:W11"/>
    <mergeCell ref="A10:A1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0" fitToHeight="0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C7" sqref="C7:E31"/>
    </sheetView>
  </sheetViews>
  <sheetFormatPr defaultColWidth="9.375" defaultRowHeight="15"/>
  <cols>
    <col min="1" max="1" width="7.125" style="738" customWidth="1"/>
    <col min="2" max="2" width="17.375" style="738" customWidth="1"/>
    <col min="3" max="3" width="14" style="738" customWidth="1"/>
    <col min="4" max="4" width="14.625" style="738" customWidth="1"/>
    <col min="5" max="5" width="21" style="739" customWidth="1"/>
    <col min="6" max="6" width="13.125" style="738" customWidth="1"/>
    <col min="7" max="7" width="15.375" style="738" customWidth="1"/>
    <col min="8" max="8" width="9.375" style="738"/>
    <col min="9" max="9" width="13.625" style="738" bestFit="1" customWidth="1"/>
    <col min="10" max="16384" width="9.375" style="738"/>
  </cols>
  <sheetData>
    <row r="1" spans="1:7" ht="15.75">
      <c r="A1" s="4481" t="s">
        <v>640</v>
      </c>
      <c r="B1" s="4481"/>
      <c r="C1" s="4481"/>
      <c r="D1" s="4481" t="s">
        <v>641</v>
      </c>
      <c r="E1" s="4481"/>
      <c r="F1" s="4481"/>
      <c r="G1" s="4481"/>
    </row>
    <row r="2" spans="1:7" ht="15.75">
      <c r="A2" s="4480" t="s">
        <v>541</v>
      </c>
      <c r="B2" s="4480"/>
      <c r="C2" s="4480"/>
      <c r="D2" s="4483" t="s">
        <v>684</v>
      </c>
      <c r="E2" s="4483"/>
      <c r="F2" s="4483"/>
      <c r="G2" s="4483"/>
    </row>
    <row r="3" spans="1:7" ht="15.75">
      <c r="A3" s="41"/>
      <c r="B3" s="41"/>
      <c r="C3" s="41"/>
      <c r="D3" s="41"/>
      <c r="E3" s="41"/>
      <c r="F3" s="42"/>
      <c r="G3" s="42"/>
    </row>
    <row r="4" spans="1:7" ht="36.75" customHeight="1">
      <c r="A4" s="4484" t="s">
        <v>709</v>
      </c>
      <c r="B4" s="4484"/>
      <c r="C4" s="4484"/>
      <c r="D4" s="4484"/>
      <c r="E4" s="4484"/>
      <c r="F4" s="4484"/>
      <c r="G4" s="4484"/>
    </row>
    <row r="5" spans="1:7" ht="15.75">
      <c r="A5" s="41"/>
      <c r="B5" s="42"/>
      <c r="C5" s="41"/>
      <c r="D5" s="41"/>
      <c r="E5" s="41"/>
      <c r="F5" s="42"/>
      <c r="G5" s="42"/>
    </row>
    <row r="6" spans="1:7" ht="15.75">
      <c r="A6" s="153" t="s">
        <v>19</v>
      </c>
      <c r="B6" s="153" t="s">
        <v>173</v>
      </c>
      <c r="C6" s="153" t="s">
        <v>50</v>
      </c>
      <c r="D6" s="153" t="s">
        <v>707</v>
      </c>
      <c r="E6" s="153" t="s">
        <v>24</v>
      </c>
      <c r="F6" s="153" t="s">
        <v>9</v>
      </c>
      <c r="G6" s="153" t="s">
        <v>634</v>
      </c>
    </row>
    <row r="7" spans="1:7" ht="18.75" customHeight="1">
      <c r="A7" s="695">
        <v>1</v>
      </c>
      <c r="B7" s="760" t="s">
        <v>100</v>
      </c>
      <c r="C7" s="696"/>
      <c r="D7" s="762"/>
      <c r="E7" s="763"/>
      <c r="F7" s="695"/>
      <c r="G7" s="695"/>
    </row>
    <row r="8" spans="1:7" ht="18.75" customHeight="1">
      <c r="A8" s="695">
        <v>2</v>
      </c>
      <c r="B8" s="760" t="s">
        <v>101</v>
      </c>
      <c r="C8" s="696"/>
      <c r="D8" s="762"/>
      <c r="E8" s="763"/>
      <c r="F8" s="722"/>
      <c r="G8" s="722"/>
    </row>
    <row r="9" spans="1:7" ht="18.75" customHeight="1">
      <c r="A9" s="695">
        <v>3</v>
      </c>
      <c r="B9" s="679" t="s">
        <v>653</v>
      </c>
      <c r="C9" s="696"/>
      <c r="D9" s="762"/>
      <c r="E9" s="763"/>
      <c r="F9" s="722"/>
      <c r="G9" s="722"/>
    </row>
    <row r="10" spans="1:7" ht="18.75" customHeight="1">
      <c r="A10" s="695">
        <v>4</v>
      </c>
      <c r="B10" s="760" t="s">
        <v>402</v>
      </c>
      <c r="C10" s="696"/>
      <c r="D10" s="762"/>
      <c r="E10" s="763"/>
      <c r="F10" s="722"/>
      <c r="G10" s="722"/>
    </row>
    <row r="11" spans="1:7" ht="18.75" customHeight="1">
      <c r="A11" s="695">
        <v>5</v>
      </c>
      <c r="B11" s="759" t="s">
        <v>667</v>
      </c>
      <c r="C11" s="696"/>
      <c r="D11" s="762"/>
      <c r="E11" s="763"/>
      <c r="F11" s="722"/>
      <c r="G11" s="722"/>
    </row>
    <row r="12" spans="1:7" ht="18.75" customHeight="1">
      <c r="A12" s="695">
        <v>6</v>
      </c>
      <c r="B12" s="760" t="s">
        <v>403</v>
      </c>
      <c r="C12" s="696"/>
      <c r="D12" s="762"/>
      <c r="E12" s="763"/>
      <c r="F12" s="722"/>
      <c r="G12" s="722"/>
    </row>
    <row r="13" spans="1:7" ht="18.75" customHeight="1">
      <c r="A13" s="695">
        <v>7</v>
      </c>
      <c r="B13" s="759" t="s">
        <v>664</v>
      </c>
      <c r="C13" s="696"/>
      <c r="D13" s="762"/>
      <c r="E13" s="763"/>
      <c r="F13" s="722"/>
      <c r="G13" s="722"/>
    </row>
    <row r="14" spans="1:7" ht="18.75" customHeight="1">
      <c r="A14" s="695">
        <v>8</v>
      </c>
      <c r="B14" s="760" t="s">
        <v>278</v>
      </c>
      <c r="C14" s="696"/>
      <c r="D14" s="762"/>
      <c r="E14" s="763"/>
      <c r="F14" s="722"/>
      <c r="G14" s="722"/>
    </row>
    <row r="15" spans="1:7" ht="18.75" customHeight="1">
      <c r="A15" s="695">
        <v>9</v>
      </c>
      <c r="B15" s="759" t="s">
        <v>666</v>
      </c>
      <c r="C15" s="696"/>
      <c r="D15" s="762"/>
      <c r="E15" s="763"/>
      <c r="F15" s="722"/>
      <c r="G15" s="722"/>
    </row>
    <row r="16" spans="1:7" ht="18.75" customHeight="1">
      <c r="A16" s="695">
        <v>10</v>
      </c>
      <c r="B16" s="760" t="s">
        <v>255</v>
      </c>
      <c r="C16" s="696"/>
      <c r="D16" s="762"/>
      <c r="E16" s="763"/>
      <c r="F16" s="722"/>
      <c r="G16" s="722"/>
    </row>
    <row r="17" spans="1:9" ht="18.75" customHeight="1">
      <c r="A17" s="695">
        <v>11</v>
      </c>
      <c r="B17" s="759" t="s">
        <v>663</v>
      </c>
      <c r="C17" s="696"/>
      <c r="D17" s="762"/>
      <c r="E17" s="763"/>
      <c r="F17" s="722"/>
      <c r="G17" s="722"/>
    </row>
    <row r="18" spans="1:9" ht="18.75" customHeight="1">
      <c r="A18" s="695">
        <v>12</v>
      </c>
      <c r="B18" s="760" t="s">
        <v>405</v>
      </c>
      <c r="C18" s="696"/>
      <c r="D18" s="762"/>
      <c r="E18" s="763"/>
      <c r="F18" s="722"/>
      <c r="G18" s="722"/>
    </row>
    <row r="19" spans="1:9" ht="18.75" customHeight="1">
      <c r="A19" s="695">
        <v>13</v>
      </c>
      <c r="B19" s="759" t="s">
        <v>662</v>
      </c>
      <c r="C19" s="696"/>
      <c r="D19" s="762"/>
      <c r="E19" s="763"/>
      <c r="F19" s="722"/>
      <c r="G19" s="722"/>
    </row>
    <row r="20" spans="1:9" ht="18.75" customHeight="1">
      <c r="A20" s="695">
        <v>14</v>
      </c>
      <c r="B20" s="260" t="s">
        <v>380</v>
      </c>
      <c r="C20" s="696"/>
      <c r="D20" s="762"/>
      <c r="E20" s="763"/>
      <c r="F20" s="722"/>
      <c r="G20" s="722"/>
    </row>
    <row r="21" spans="1:9" ht="18.75" customHeight="1">
      <c r="A21" s="695">
        <v>15</v>
      </c>
      <c r="B21" s="260" t="s">
        <v>381</v>
      </c>
      <c r="C21" s="696"/>
      <c r="D21" s="762"/>
      <c r="E21" s="763"/>
      <c r="F21" s="722"/>
      <c r="G21" s="722"/>
    </row>
    <row r="22" spans="1:9" ht="18.75" customHeight="1">
      <c r="A22" s="695">
        <v>16</v>
      </c>
      <c r="B22" s="758" t="s">
        <v>583</v>
      </c>
      <c r="C22" s="696"/>
      <c r="D22" s="762"/>
      <c r="E22" s="763"/>
      <c r="F22" s="722"/>
      <c r="G22" s="722"/>
    </row>
    <row r="23" spans="1:9" ht="18.75" customHeight="1">
      <c r="A23" s="695">
        <v>17</v>
      </c>
      <c r="B23" s="760" t="s">
        <v>270</v>
      </c>
      <c r="C23" s="696"/>
      <c r="D23" s="762"/>
      <c r="E23" s="763"/>
      <c r="F23" s="722"/>
      <c r="G23" s="722"/>
    </row>
    <row r="24" spans="1:9" ht="18.75" customHeight="1">
      <c r="A24" s="695">
        <v>18</v>
      </c>
      <c r="B24" s="694" t="s">
        <v>661</v>
      </c>
      <c r="C24" s="696"/>
      <c r="D24" s="762"/>
      <c r="E24" s="763"/>
      <c r="F24" s="722"/>
      <c r="G24" s="722"/>
    </row>
    <row r="25" spans="1:9" ht="18.75" customHeight="1">
      <c r="A25" s="695">
        <v>19</v>
      </c>
      <c r="B25" s="760" t="s">
        <v>269</v>
      </c>
      <c r="C25" s="696"/>
      <c r="D25" s="762"/>
      <c r="E25" s="763"/>
      <c r="F25" s="722"/>
      <c r="G25" s="722"/>
    </row>
    <row r="26" spans="1:9" ht="18.75" customHeight="1">
      <c r="A26" s="695">
        <v>20</v>
      </c>
      <c r="B26" s="760" t="s">
        <v>582</v>
      </c>
      <c r="C26" s="696"/>
      <c r="D26" s="762"/>
      <c r="E26" s="763"/>
      <c r="F26" s="722"/>
      <c r="G26" s="722"/>
    </row>
    <row r="27" spans="1:9" ht="18.75" customHeight="1">
      <c r="A27" s="695">
        <v>21</v>
      </c>
      <c r="B27" s="760" t="s">
        <v>283</v>
      </c>
      <c r="C27" s="696"/>
      <c r="D27" s="762"/>
      <c r="E27" s="763"/>
      <c r="F27" s="722"/>
      <c r="G27" s="722"/>
    </row>
    <row r="28" spans="1:9" ht="18.75" customHeight="1">
      <c r="A28" s="695">
        <v>22</v>
      </c>
      <c r="B28" s="760" t="s">
        <v>407</v>
      </c>
      <c r="C28" s="696"/>
      <c r="D28" s="762"/>
      <c r="E28" s="763"/>
      <c r="F28" s="722"/>
      <c r="G28" s="722"/>
    </row>
    <row r="29" spans="1:9" ht="18.75" customHeight="1">
      <c r="A29" s="695">
        <v>23</v>
      </c>
      <c r="B29" s="757" t="s">
        <v>665</v>
      </c>
      <c r="C29" s="696"/>
      <c r="D29" s="762"/>
      <c r="E29" s="763"/>
      <c r="F29" s="722"/>
      <c r="G29" s="722"/>
    </row>
    <row r="30" spans="1:9" ht="18.75" customHeight="1">
      <c r="A30" s="695">
        <v>24</v>
      </c>
      <c r="B30" s="761" t="s">
        <v>706</v>
      </c>
      <c r="C30" s="696"/>
      <c r="D30" s="762"/>
      <c r="E30" s="763"/>
      <c r="F30" s="722"/>
      <c r="G30" s="722"/>
    </row>
    <row r="31" spans="1:9" ht="18.75" customHeight="1">
      <c r="A31" s="756">
        <v>25</v>
      </c>
      <c r="B31" s="755" t="s">
        <v>711</v>
      </c>
      <c r="C31" s="696"/>
      <c r="D31" s="762"/>
      <c r="E31" s="763"/>
      <c r="F31" s="722"/>
      <c r="G31" s="722"/>
    </row>
    <row r="32" spans="1:9" ht="18.75" customHeight="1">
      <c r="A32" s="4485" t="s">
        <v>688</v>
      </c>
      <c r="B32" s="4486"/>
      <c r="C32" s="259">
        <f>SUM(C7:C31)</f>
        <v>0</v>
      </c>
      <c r="D32" s="723"/>
      <c r="E32" s="764">
        <f>SUM(E7:E31)</f>
        <v>0</v>
      </c>
      <c r="F32" s="722"/>
      <c r="G32" s="722"/>
      <c r="I32" s="775">
        <f>+E32-270000</f>
        <v>-270000</v>
      </c>
    </row>
    <row r="33" spans="1:7" ht="15.75">
      <c r="A33" s="41"/>
      <c r="B33" s="42"/>
      <c r="C33" s="41"/>
      <c r="D33" s="41"/>
      <c r="E33" s="4479" t="s">
        <v>704</v>
      </c>
      <c r="F33" s="4479"/>
      <c r="G33" s="4479"/>
    </row>
    <row r="34" spans="1:7" ht="15.75">
      <c r="B34" s="4155" t="s">
        <v>615</v>
      </c>
      <c r="C34" s="4155"/>
      <c r="F34" s="4482" t="s">
        <v>614</v>
      </c>
      <c r="G34" s="4482"/>
    </row>
    <row r="41" spans="1:7" ht="15.75">
      <c r="A41" s="4482" t="s">
        <v>46</v>
      </c>
      <c r="B41" s="4482"/>
      <c r="C41" s="4155" t="s">
        <v>613</v>
      </c>
      <c r="D41" s="4155"/>
      <c r="E41" s="40" t="s">
        <v>708</v>
      </c>
      <c r="F41" s="40"/>
      <c r="G41" s="40"/>
    </row>
  </sheetData>
  <mergeCells count="11">
    <mergeCell ref="E33:G33"/>
    <mergeCell ref="C41:D41"/>
    <mergeCell ref="B34:C34"/>
    <mergeCell ref="A2:C2"/>
    <mergeCell ref="A1:C1"/>
    <mergeCell ref="A41:B41"/>
    <mergeCell ref="F34:G34"/>
    <mergeCell ref="D2:G2"/>
    <mergeCell ref="D1:G1"/>
    <mergeCell ref="A4:G4"/>
    <mergeCell ref="A32:B32"/>
  </mergeCells>
  <pageMargins left="0.3" right="0.2" top="0.41" bottom="0.27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4"/>
  <sheetViews>
    <sheetView topLeftCell="A265" workbookViewId="0">
      <selection activeCell="K283" sqref="K283"/>
    </sheetView>
  </sheetViews>
  <sheetFormatPr defaultColWidth="8" defaultRowHeight="15"/>
  <cols>
    <col min="1" max="1" width="19.875" style="2170" customWidth="1"/>
    <col min="2" max="2" width="7.75" style="2170" customWidth="1"/>
    <col min="3" max="3" width="6.875" style="2170" customWidth="1"/>
    <col min="4" max="4" width="12.25" style="2170" customWidth="1"/>
    <col min="5" max="5" width="4.375" style="2170" customWidth="1"/>
    <col min="6" max="6" width="14.75" style="2170" customWidth="1"/>
    <col min="7" max="7" width="7.75" style="2170" customWidth="1"/>
    <col min="8" max="8" width="6.875" style="2170" customWidth="1"/>
    <col min="9" max="9" width="14.375" style="2170" customWidth="1"/>
    <col min="10" max="10" width="8" style="2170" customWidth="1"/>
    <col min="11" max="11" width="15.125" style="2170" customWidth="1"/>
    <col min="12" max="12" width="16.75" style="2170" customWidth="1"/>
    <col min="13" max="13" width="16.625" style="2170" bestFit="1" customWidth="1"/>
    <col min="14" max="14" width="14" style="2170" customWidth="1"/>
    <col min="15" max="16384" width="8" style="2170"/>
  </cols>
  <sheetData>
    <row r="1" spans="1:12">
      <c r="K1" s="2628" t="s">
        <v>321</v>
      </c>
    </row>
    <row r="2" spans="1:12" ht="15.75" customHeight="1">
      <c r="A2" s="4494" t="s">
        <v>1764</v>
      </c>
      <c r="B2" s="4495"/>
      <c r="C2" s="4495"/>
      <c r="D2" s="4496"/>
      <c r="E2" s="2510"/>
      <c r="F2" s="4487" t="str">
        <f>A2</f>
        <v xml:space="preserve">LƯƠNG THÁNG 02/2025  - ເງິນເດືອນ 02/2025
</v>
      </c>
      <c r="G2" s="4488"/>
      <c r="H2" s="4488"/>
      <c r="I2" s="4489"/>
      <c r="K2" s="2683">
        <f>D10+I10+D20+I20+D30+I30+D40+I40+D50+I50+D60+I60+D75+I75+D85+I85+D95+I95+D105+I105+D115+I115+D125+I125+D138+I138+D148+I148+D158+I158+D168+I168+D178+I178+D188+I188+'BẢNG LƯƠNG KT'!V54</f>
        <v>65051712</v>
      </c>
    </row>
    <row r="3" spans="1:12" ht="18" customHeight="1">
      <c r="A3" s="3648" t="s">
        <v>1758</v>
      </c>
      <c r="B3" s="4492" t="str">
        <f>'BẢNG LƯƠNG KT'!C17</f>
        <v>Vắt Đi</v>
      </c>
      <c r="C3" s="4493"/>
      <c r="D3" s="2512">
        <v>1</v>
      </c>
      <c r="E3" s="2623"/>
      <c r="F3" s="3648" t="s">
        <v>1758</v>
      </c>
      <c r="G3" s="4490" t="str">
        <f>'BẢNG LƯƠNG KT'!C18</f>
        <v>Mẹ Leo</v>
      </c>
      <c r="H3" s="4490"/>
      <c r="I3" s="2512">
        <v>2</v>
      </c>
      <c r="K3" s="2682">
        <f>D29+D84+D94+I94+D104+I104</f>
        <v>0</v>
      </c>
    </row>
    <row r="4" spans="1:12" ht="12" customHeight="1">
      <c r="A4" s="3649" t="s">
        <v>1759</v>
      </c>
      <c r="B4" s="2514"/>
      <c r="C4" s="2515">
        <f>'BẢNG LƯƠNG KT'!G17</f>
        <v>0</v>
      </c>
      <c r="D4" s="2624">
        <f>C4*25000</f>
        <v>0</v>
      </c>
      <c r="E4" s="2517"/>
      <c r="F4" s="3649" t="s">
        <v>1759</v>
      </c>
      <c r="G4" s="2514"/>
      <c r="H4" s="2515">
        <f>'BẢNG LƯƠNG KT'!G18</f>
        <v>0</v>
      </c>
      <c r="I4" s="2516">
        <f>H4*25000</f>
        <v>0</v>
      </c>
      <c r="K4" s="2682">
        <f>D29+D94+I94+D104</f>
        <v>0</v>
      </c>
    </row>
    <row r="5" spans="1:12" ht="13.5" customHeight="1">
      <c r="A5" s="3650" t="s">
        <v>1760</v>
      </c>
      <c r="B5" s="2519"/>
      <c r="C5" s="2684">
        <f>SUM('BẢNG LƯƠNG KT'!M17:P17)</f>
        <v>14</v>
      </c>
      <c r="D5" s="2521">
        <f>'BẢNG LƯƠNG KT'!S17</f>
        <v>1263849</v>
      </c>
      <c r="E5" s="2517"/>
      <c r="F5" s="3650" t="s">
        <v>1760</v>
      </c>
      <c r="G5" s="2519"/>
      <c r="H5" s="2520">
        <f>SUM('BẢNG LƯƠNG KT'!M18:P18)</f>
        <v>23</v>
      </c>
      <c r="I5" s="2521">
        <f>'BẢNG LƯƠNG KT'!S18</f>
        <v>1736139</v>
      </c>
    </row>
    <row r="6" spans="1:12" ht="12" customHeight="1">
      <c r="A6" s="2518" t="s">
        <v>1747</v>
      </c>
      <c r="B6" s="2519"/>
      <c r="C6" s="2520">
        <f>'BẢNG LƯƠNG KT'!J17</f>
        <v>0</v>
      </c>
      <c r="D6" s="2521">
        <f>'BẢNG LƯƠNG KT'!L17</f>
        <v>0</v>
      </c>
      <c r="E6" s="2517"/>
      <c r="F6" s="2518" t="s">
        <v>1747</v>
      </c>
      <c r="G6" s="2519"/>
      <c r="H6" s="2520">
        <f>'BẢNG LƯƠNG KT'!J18</f>
        <v>187.61141263573541</v>
      </c>
      <c r="I6" s="2521">
        <f>'BẢNG LƯƠNG KT'!L18</f>
        <v>703160</v>
      </c>
      <c r="K6" s="2683"/>
      <c r="L6" s="3230"/>
    </row>
    <row r="7" spans="1:12" ht="12" customHeight="1">
      <c r="A7" s="2926" t="s">
        <v>1748</v>
      </c>
      <c r="B7" s="2519"/>
      <c r="C7" s="2519"/>
      <c r="D7" s="2523"/>
      <c r="E7" s="2517"/>
      <c r="F7" s="2926" t="s">
        <v>1748</v>
      </c>
      <c r="G7" s="2519"/>
      <c r="H7" s="2519"/>
      <c r="I7" s="2523"/>
      <c r="K7" s="2683">
        <v>155645221</v>
      </c>
      <c r="L7" s="3230"/>
    </row>
    <row r="8" spans="1:12" ht="12" customHeight="1">
      <c r="A8" s="3652" t="s">
        <v>1761</v>
      </c>
      <c r="B8" s="2519"/>
      <c r="C8" s="2519"/>
      <c r="D8" s="2523"/>
      <c r="E8" s="2517"/>
      <c r="F8" s="3652" t="s">
        <v>1761</v>
      </c>
      <c r="G8" s="2519"/>
      <c r="H8" s="2519"/>
      <c r="I8" s="2523"/>
    </row>
    <row r="9" spans="1:12" ht="12" customHeight="1">
      <c r="A9" s="3650" t="s">
        <v>1762</v>
      </c>
      <c r="B9" s="2519"/>
      <c r="C9" s="2526"/>
      <c r="D9" s="2521">
        <f>SUM(D8)</f>
        <v>0</v>
      </c>
      <c r="E9" s="2517"/>
      <c r="F9" s="3650" t="s">
        <v>1762</v>
      </c>
      <c r="G9" s="2519"/>
      <c r="H9" s="2526"/>
      <c r="I9" s="2521">
        <f>SUM(I8)</f>
        <v>0</v>
      </c>
      <c r="K9" s="3233">
        <f>D10+I10+D20+I20+D30+I30+D40+I40+D50+I50+D60+I60+D75+I75+D85+I85+D95+I95+D105+I105+D115+I115+D125+I125+D138+I138+D148+I148+D158+I158+D168+I168+D178+I178+D188+I188</f>
        <v>65051712</v>
      </c>
    </row>
    <row r="10" spans="1:12" ht="12" customHeight="1">
      <c r="A10" s="3651" t="s">
        <v>1763</v>
      </c>
      <c r="B10" s="2528"/>
      <c r="C10" s="2529"/>
      <c r="D10" s="2530">
        <f>(D4+D5+D6)+D7</f>
        <v>1263849</v>
      </c>
      <c r="E10" s="2531"/>
      <c r="F10" s="3651" t="s">
        <v>1763</v>
      </c>
      <c r="G10" s="2528"/>
      <c r="H10" s="2529"/>
      <c r="I10" s="2530">
        <f>(I4+I5+I6+I7)-I9</f>
        <v>2439299</v>
      </c>
    </row>
    <row r="11" spans="1:12" ht="12" customHeight="1"/>
    <row r="12" spans="1:12" s="2533" customFormat="1" ht="12" customHeight="1">
      <c r="A12" s="4487" t="str">
        <f>F2</f>
        <v xml:space="preserve">LƯƠNG THÁNG 02/2025  - ເງິນເດືອນ 02/2025
</v>
      </c>
      <c r="B12" s="4488"/>
      <c r="C12" s="4488"/>
      <c r="D12" s="4489"/>
      <c r="E12" s="2532"/>
      <c r="F12" s="4487" t="str">
        <f>A12</f>
        <v xml:space="preserve">LƯƠNG THÁNG 02/2025  - ເງິນເດືອນ 02/2025
</v>
      </c>
      <c r="G12" s="4488"/>
      <c r="H12" s="4488"/>
      <c r="I12" s="4489"/>
      <c r="J12" s="4491"/>
    </row>
    <row r="13" spans="1:12" s="2533" customFormat="1" ht="12" customHeight="1">
      <c r="A13" s="3648" t="s">
        <v>1758</v>
      </c>
      <c r="B13" s="4490" t="str">
        <f>'BẢNG LƯƠNG KT'!C19</f>
        <v xml:space="preserve">Thảo Ken </v>
      </c>
      <c r="C13" s="4490"/>
      <c r="D13" s="2622">
        <v>3</v>
      </c>
      <c r="E13" s="2534"/>
      <c r="F13" s="3648" t="s">
        <v>1758</v>
      </c>
      <c r="G13" s="4490" t="str">
        <f>'BẢNG LƯƠNG KT'!C20</f>
        <v>Thảo Phút</v>
      </c>
      <c r="H13" s="4490"/>
      <c r="I13" s="2622">
        <v>4</v>
      </c>
      <c r="J13" s="4491"/>
    </row>
    <row r="14" spans="1:12" s="2533" customFormat="1" ht="12" customHeight="1">
      <c r="A14" s="3649" t="s">
        <v>1759</v>
      </c>
      <c r="B14" s="2514"/>
      <c r="C14" s="2515">
        <f>'BẢNG LƯƠNG KT'!G19</f>
        <v>0</v>
      </c>
      <c r="D14" s="2516">
        <f>C14*25000</f>
        <v>0</v>
      </c>
      <c r="E14" s="2535"/>
      <c r="F14" s="3649" t="s">
        <v>1759</v>
      </c>
      <c r="G14" s="2514"/>
      <c r="H14" s="2515">
        <f>'BẢNG LƯƠNG KT'!G20</f>
        <v>0</v>
      </c>
      <c r="I14" s="2516">
        <f>H14*25000</f>
        <v>0</v>
      </c>
      <c r="J14" s="4491"/>
    </row>
    <row r="15" spans="1:12" s="2533" customFormat="1" ht="12" customHeight="1">
      <c r="A15" s="3650" t="s">
        <v>1760</v>
      </c>
      <c r="B15" s="2519"/>
      <c r="C15" s="2520">
        <f>SUM('BẢNG LƯƠNG KT'!M19:P19)</f>
        <v>15</v>
      </c>
      <c r="D15" s="2521">
        <f>'BẢNG LƯƠNG KT'!S19</f>
        <v>1314082</v>
      </c>
      <c r="E15" s="2535"/>
      <c r="F15" s="3650" t="s">
        <v>1760</v>
      </c>
      <c r="G15" s="2519"/>
      <c r="H15" s="2520">
        <f>SUM('BẢNG LƯƠNG KT'!M20:P20)</f>
        <v>25</v>
      </c>
      <c r="I15" s="2521">
        <f>'BẢNG LƯƠNG KT'!S20</f>
        <v>1836604</v>
      </c>
      <c r="J15" s="4491"/>
    </row>
    <row r="16" spans="1:12" ht="12" customHeight="1">
      <c r="A16" s="2518" t="s">
        <v>1747</v>
      </c>
      <c r="B16" s="2519"/>
      <c r="C16" s="2520">
        <f>'BẢNG LƯƠNG KT'!J19</f>
        <v>0</v>
      </c>
      <c r="D16" s="2521">
        <f>'BẢNG LƯƠNG KT'!L19</f>
        <v>0</v>
      </c>
      <c r="E16" s="2532"/>
      <c r="F16" s="2518" t="s">
        <v>1747</v>
      </c>
      <c r="G16" s="2519"/>
      <c r="H16" s="2520">
        <f>'BẢNG LƯƠNG KT'!J20</f>
        <v>172.42898617966432</v>
      </c>
      <c r="I16" s="2521">
        <f>'BẢNG LƯƠNG KT'!L20</f>
        <v>679684</v>
      </c>
      <c r="J16" s="4491"/>
    </row>
    <row r="17" spans="1:10" s="2533" customFormat="1" ht="12" customHeight="1">
      <c r="A17" s="2926" t="s">
        <v>1748</v>
      </c>
      <c r="B17" s="2519"/>
      <c r="C17" s="2519"/>
      <c r="D17" s="2523"/>
      <c r="E17" s="2536"/>
      <c r="F17" s="2926" t="s">
        <v>1748</v>
      </c>
      <c r="G17" s="2519"/>
      <c r="H17" s="2519"/>
      <c r="I17" s="2523"/>
      <c r="J17" s="4491"/>
    </row>
    <row r="18" spans="1:10" s="2537" customFormat="1" ht="12" customHeight="1">
      <c r="A18" s="3652" t="s">
        <v>1761</v>
      </c>
      <c r="B18" s="2519"/>
      <c r="C18" s="2519"/>
      <c r="D18" s="2523"/>
      <c r="E18" s="2532"/>
      <c r="F18" s="3652" t="s">
        <v>1761</v>
      </c>
      <c r="G18" s="2519"/>
      <c r="H18" s="2519"/>
      <c r="I18" s="2523"/>
      <c r="J18" s="4491"/>
    </row>
    <row r="19" spans="1:10" s="2533" customFormat="1" ht="12" customHeight="1">
      <c r="A19" s="3650" t="s">
        <v>1762</v>
      </c>
      <c r="B19" s="2519"/>
      <c r="C19" s="2526"/>
      <c r="D19" s="2961"/>
      <c r="E19" s="2538"/>
      <c r="F19" s="3650" t="s">
        <v>1762</v>
      </c>
      <c r="G19" s="2519"/>
      <c r="H19" s="2526"/>
      <c r="I19" s="2521">
        <f>SUM(I18)</f>
        <v>0</v>
      </c>
      <c r="J19" s="4491"/>
    </row>
    <row r="20" spans="1:10" s="2533" customFormat="1" ht="12" customHeight="1">
      <c r="A20" s="3651" t="s">
        <v>1763</v>
      </c>
      <c r="B20" s="2528"/>
      <c r="C20" s="2529"/>
      <c r="D20" s="2530">
        <f>(D14+D15+D16+D17)-D19</f>
        <v>1314082</v>
      </c>
      <c r="E20" s="2535"/>
      <c r="F20" s="3651" t="s">
        <v>1763</v>
      </c>
      <c r="G20" s="2528"/>
      <c r="H20" s="2529"/>
      <c r="I20" s="2530">
        <f>(I14+I15+I16)-I19</f>
        <v>2516288</v>
      </c>
      <c r="J20" s="4491"/>
    </row>
    <row r="21" spans="1:10" ht="6.75" customHeight="1">
      <c r="A21" s="2539"/>
      <c r="B21" s="2540"/>
      <c r="C21" s="2532"/>
      <c r="D21" s="2535"/>
      <c r="E21" s="2535"/>
      <c r="F21" s="2539"/>
      <c r="G21" s="2540"/>
      <c r="H21" s="2532"/>
      <c r="I21" s="2535"/>
      <c r="J21" s="4491"/>
    </row>
    <row r="22" spans="1:10" ht="12" customHeight="1">
      <c r="A22" s="4487" t="str">
        <f>F12</f>
        <v xml:space="preserve">LƯƠNG THÁNG 02/2025  - ເງິນເດືອນ 02/2025
</v>
      </c>
      <c r="B22" s="4488"/>
      <c r="C22" s="4488"/>
      <c r="D22" s="4489"/>
      <c r="E22" s="2535"/>
      <c r="F22" s="4487" t="str">
        <f>F12</f>
        <v xml:space="preserve">LƯƠNG THÁNG 02/2025  - ເງິນເດືອນ 02/2025
</v>
      </c>
      <c r="G22" s="4488"/>
      <c r="H22" s="4488"/>
      <c r="I22" s="4489"/>
      <c r="J22" s="4491"/>
    </row>
    <row r="23" spans="1:10" ht="12" customHeight="1">
      <c r="A23" s="3648" t="s">
        <v>1758</v>
      </c>
      <c r="B23" s="4492" t="str">
        <f>'BẢNG LƯƠNG KT'!C21</f>
        <v>Thảo Mằn</v>
      </c>
      <c r="C23" s="4493"/>
      <c r="D23" s="2512">
        <v>5</v>
      </c>
      <c r="E23" s="2535"/>
      <c r="F23" s="3648" t="s">
        <v>1758</v>
      </c>
      <c r="G23" s="4490" t="str">
        <f>'BẢNG LƯƠNG KT'!C22</f>
        <v>Nàng Chay</v>
      </c>
      <c r="H23" s="4490"/>
      <c r="I23" s="2622">
        <v>6</v>
      </c>
      <c r="J23" s="4491"/>
    </row>
    <row r="24" spans="1:10" ht="12" customHeight="1">
      <c r="A24" s="3649" t="s">
        <v>1759</v>
      </c>
      <c r="B24" s="2514"/>
      <c r="C24" s="2515">
        <f>'BẢNG LƯƠNG KT'!G21</f>
        <v>0</v>
      </c>
      <c r="D24" s="2516">
        <f>C24*25000</f>
        <v>0</v>
      </c>
      <c r="E24" s="2540"/>
      <c r="F24" s="3649" t="s">
        <v>1759</v>
      </c>
      <c r="G24" s="2514"/>
      <c r="H24" s="2515">
        <f>'BẢNG LƯƠNG KT'!G22</f>
        <v>0</v>
      </c>
      <c r="I24" s="2516">
        <f>H24*25000</f>
        <v>0</v>
      </c>
      <c r="J24" s="4491"/>
    </row>
    <row r="25" spans="1:10" ht="12" customHeight="1">
      <c r="A25" s="3650" t="s">
        <v>1760</v>
      </c>
      <c r="B25" s="2519"/>
      <c r="C25" s="2520">
        <f>SUM('BẢNG LƯƠNG KT'!M21:P21)</f>
        <v>15</v>
      </c>
      <c r="D25" s="2521">
        <f>'BẢNG LƯƠNG KT'!S21</f>
        <v>1314082</v>
      </c>
      <c r="E25" s="2540"/>
      <c r="F25" s="3650" t="s">
        <v>1760</v>
      </c>
      <c r="G25" s="2519"/>
      <c r="H25" s="2520">
        <f>SUM('BẢNG LƯƠNG KT'!M22:P22)</f>
        <v>16</v>
      </c>
      <c r="I25" s="2521">
        <f>'BẢNG LƯƠNG KT'!S22</f>
        <v>1364314</v>
      </c>
      <c r="J25" s="4491"/>
    </row>
    <row r="26" spans="1:10" ht="12" customHeight="1">
      <c r="A26" s="2518" t="s">
        <v>1747</v>
      </c>
      <c r="B26" s="2519"/>
      <c r="C26" s="2520">
        <f>'BẢNG LƯƠNG KT'!J21</f>
        <v>21.689180651530105</v>
      </c>
      <c r="D26" s="2521">
        <f>'BẢNG LƯƠNG KT'!L21</f>
        <v>81290</v>
      </c>
      <c r="E26" s="2532"/>
      <c r="F26" s="2518" t="s">
        <v>1747</v>
      </c>
      <c r="G26" s="2519"/>
      <c r="H26" s="2520">
        <f>'BẢNG LƯƠNG KT'!J22</f>
        <v>0</v>
      </c>
      <c r="I26" s="2521">
        <f>'BẢNG LƯƠNG KT'!L22</f>
        <v>0</v>
      </c>
      <c r="J26" s="4491"/>
    </row>
    <row r="27" spans="1:10" ht="12" customHeight="1">
      <c r="A27" s="2926" t="s">
        <v>1748</v>
      </c>
      <c r="B27" s="2519"/>
      <c r="C27" s="2519"/>
      <c r="D27" s="2523"/>
      <c r="E27" s="2541"/>
      <c r="F27" s="2926" t="s">
        <v>1748</v>
      </c>
      <c r="G27" s="2519"/>
      <c r="H27" s="2519"/>
      <c r="I27" s="2523"/>
      <c r="J27" s="2542"/>
    </row>
    <row r="28" spans="1:10" ht="12" customHeight="1">
      <c r="A28" s="3652" t="s">
        <v>1761</v>
      </c>
      <c r="B28" s="2519"/>
      <c r="C28" s="2519"/>
      <c r="D28" s="2523"/>
      <c r="E28" s="2540"/>
      <c r="F28" s="3652" t="s">
        <v>1761</v>
      </c>
      <c r="G28" s="2519"/>
      <c r="H28" s="2519"/>
      <c r="I28" s="2523"/>
      <c r="J28" s="4491"/>
    </row>
    <row r="29" spans="1:10" ht="12" customHeight="1">
      <c r="A29" s="3650" t="s">
        <v>1762</v>
      </c>
      <c r="B29" s="2519"/>
      <c r="C29" s="2526"/>
      <c r="D29" s="2961"/>
      <c r="E29" s="2532"/>
      <c r="F29" s="3650" t="s">
        <v>1762</v>
      </c>
      <c r="G29" s="2519"/>
      <c r="H29" s="2526"/>
      <c r="I29" s="2521">
        <f>SUM(I28)</f>
        <v>0</v>
      </c>
      <c r="J29" s="4491"/>
    </row>
    <row r="30" spans="1:10" ht="12" customHeight="1">
      <c r="A30" s="3651" t="s">
        <v>1763</v>
      </c>
      <c r="B30" s="2528"/>
      <c r="C30" s="2529"/>
      <c r="D30" s="2530">
        <f>(D24+D25+D26)-D29</f>
        <v>1395372</v>
      </c>
      <c r="E30" s="2538"/>
      <c r="F30" s="3651" t="s">
        <v>1763</v>
      </c>
      <c r="G30" s="2528"/>
      <c r="H30" s="2529"/>
      <c r="I30" s="2530">
        <f>(I24+I25+I26)-I29</f>
        <v>1364314</v>
      </c>
      <c r="J30" s="4491"/>
    </row>
    <row r="31" spans="1:10" ht="8.25" customHeight="1">
      <c r="A31" s="2535"/>
      <c r="B31" s="2540"/>
      <c r="C31" s="2540"/>
      <c r="D31" s="2540"/>
      <c r="E31" s="2540"/>
      <c r="F31" s="2535"/>
      <c r="G31" s="2540"/>
      <c r="H31" s="2540"/>
      <c r="I31" s="2540"/>
      <c r="J31" s="4491"/>
    </row>
    <row r="32" spans="1:10" ht="12" customHeight="1">
      <c r="A32" s="4487" t="str">
        <f>F22</f>
        <v xml:space="preserve">LƯƠNG THÁNG 02/2025  - ເງິນເດືອນ 02/2025
</v>
      </c>
      <c r="B32" s="4488"/>
      <c r="C32" s="4488"/>
      <c r="D32" s="4489"/>
      <c r="E32" s="2532"/>
      <c r="F32" s="4487" t="str">
        <f>F22</f>
        <v xml:space="preserve">LƯƠNG THÁNG 02/2025  - ເງິນເດືອນ 02/2025
</v>
      </c>
      <c r="G32" s="4488"/>
      <c r="H32" s="4488"/>
      <c r="I32" s="4489"/>
      <c r="J32" s="4491"/>
    </row>
    <row r="33" spans="1:10" ht="12" customHeight="1">
      <c r="A33" s="3648" t="s">
        <v>1758</v>
      </c>
      <c r="B33" s="4490" t="str">
        <f>'BẢNG LƯƠNG KT'!C23</f>
        <v>Thảo Sắp</v>
      </c>
      <c r="C33" s="4490"/>
      <c r="D33" s="2622">
        <v>7</v>
      </c>
      <c r="E33" s="2541"/>
      <c r="F33" s="3648" t="s">
        <v>1758</v>
      </c>
      <c r="G33" s="4490" t="str">
        <f>'BẢNG LƯƠNG KT'!C24</f>
        <v>Thảo Say</v>
      </c>
      <c r="H33" s="4490"/>
      <c r="I33" s="2622">
        <v>8</v>
      </c>
      <c r="J33" s="4491"/>
    </row>
    <row r="34" spans="1:10" ht="12" customHeight="1">
      <c r="A34" s="3649" t="s">
        <v>1759</v>
      </c>
      <c r="B34" s="2514"/>
      <c r="C34" s="2515">
        <f>VLOOKUP(B33,'BẢNG LƯƠNG KT'!C17:S54,5,0)</f>
        <v>0</v>
      </c>
      <c r="D34" s="2516">
        <f>C34*25000</f>
        <v>0</v>
      </c>
      <c r="E34" s="2541"/>
      <c r="F34" s="3649" t="s">
        <v>1759</v>
      </c>
      <c r="G34" s="2514"/>
      <c r="H34" s="2515">
        <f>'BẢNG LƯƠNG KT'!G24</f>
        <v>0</v>
      </c>
      <c r="I34" s="2516">
        <f>H34*25000</f>
        <v>0</v>
      </c>
      <c r="J34" s="2542"/>
    </row>
    <row r="35" spans="1:10" ht="12" customHeight="1">
      <c r="A35" s="3650" t="s">
        <v>1760</v>
      </c>
      <c r="B35" s="2519"/>
      <c r="C35" s="2684">
        <f>SUM('BẢNG LƯƠNG KT'!M23:P23)</f>
        <v>26</v>
      </c>
      <c r="D35" s="2684">
        <f>'BẢNG LƯƠNG KT'!S23</f>
        <v>1886836</v>
      </c>
      <c r="E35" s="2540"/>
      <c r="F35" s="3650" t="s">
        <v>1760</v>
      </c>
      <c r="G35" s="2519"/>
      <c r="H35" s="2520">
        <f>SUM('BẢNG LƯƠNG KT'!M24:P24)</f>
        <v>25</v>
      </c>
      <c r="I35" s="2521">
        <f>'BẢNG LƯƠNG KT'!S24</f>
        <v>1836604</v>
      </c>
      <c r="J35" s="4491"/>
    </row>
    <row r="36" spans="1:10" ht="12" customHeight="1">
      <c r="A36" s="2518" t="s">
        <v>1747</v>
      </c>
      <c r="B36" s="2519"/>
      <c r="C36" s="2520">
        <f>'BẢNG LƯƠNG KT'!J23</f>
        <v>142.06413326752218</v>
      </c>
      <c r="D36" s="2521">
        <f>'BẢNG LƯƠNG KT'!L23</f>
        <v>559991</v>
      </c>
      <c r="E36" s="2532"/>
      <c r="F36" s="2518" t="s">
        <v>1747</v>
      </c>
      <c r="G36" s="2519"/>
      <c r="H36" s="2520">
        <f>'BẢNG LƯƠNG KT'!J24</f>
        <v>240.74990523198414</v>
      </c>
      <c r="I36" s="2521">
        <f>'BẢNG LƯƠNG KT'!L24</f>
        <v>948993</v>
      </c>
      <c r="J36" s="4491"/>
    </row>
    <row r="37" spans="1:10" ht="12" customHeight="1">
      <c r="A37" s="2926" t="s">
        <v>1748</v>
      </c>
      <c r="B37" s="2519"/>
      <c r="C37" s="2519"/>
      <c r="D37" s="2523"/>
      <c r="E37" s="2535"/>
      <c r="F37" s="2926" t="s">
        <v>1748</v>
      </c>
      <c r="G37" s="2519"/>
      <c r="H37" s="2519"/>
      <c r="I37" s="2523"/>
      <c r="J37" s="4491"/>
    </row>
    <row r="38" spans="1:10" ht="12" customHeight="1">
      <c r="A38" s="3652" t="s">
        <v>1761</v>
      </c>
      <c r="B38" s="2519"/>
      <c r="C38" s="2519"/>
      <c r="D38" s="3234"/>
      <c r="E38" s="2535"/>
      <c r="F38" s="3652" t="s">
        <v>1761</v>
      </c>
      <c r="G38" s="2519"/>
      <c r="H38" s="2519"/>
      <c r="I38" s="2523"/>
      <c r="J38" s="4491"/>
    </row>
    <row r="39" spans="1:10" ht="12" customHeight="1">
      <c r="A39" s="3650" t="s">
        <v>1762</v>
      </c>
      <c r="B39" s="2519"/>
      <c r="C39" s="2526"/>
      <c r="D39" s="2521">
        <f>SUM(D38)</f>
        <v>0</v>
      </c>
      <c r="E39" s="2535"/>
      <c r="F39" s="3650" t="s">
        <v>1762</v>
      </c>
      <c r="G39" s="2519"/>
      <c r="H39" s="2526"/>
      <c r="I39" s="2521">
        <f>SUM(I38)</f>
        <v>0</v>
      </c>
      <c r="J39" s="4491"/>
    </row>
    <row r="40" spans="1:10" ht="12" customHeight="1">
      <c r="A40" s="3651" t="s">
        <v>1763</v>
      </c>
      <c r="B40" s="2528"/>
      <c r="C40" s="2529"/>
      <c r="D40" s="2530">
        <f>(D34+D35+D36)-D39</f>
        <v>2446827</v>
      </c>
      <c r="E40" s="2535"/>
      <c r="F40" s="3651" t="s">
        <v>1763</v>
      </c>
      <c r="G40" s="2528"/>
      <c r="H40" s="2529"/>
      <c r="I40" s="2530">
        <f>(I34+I35+I36)-I39</f>
        <v>2785597</v>
      </c>
      <c r="J40" s="4491"/>
    </row>
    <row r="41" spans="1:10" ht="12" customHeight="1">
      <c r="A41" s="2540"/>
      <c r="B41" s="2540"/>
      <c r="C41" s="2540"/>
      <c r="D41" s="2540"/>
      <c r="E41" s="2540"/>
      <c r="F41" s="2540"/>
      <c r="G41" s="2540"/>
      <c r="H41" s="2540"/>
      <c r="I41" s="2540"/>
      <c r="J41" s="4491"/>
    </row>
    <row r="42" spans="1:10" ht="12" customHeight="1">
      <c r="A42" s="4487" t="str">
        <f>F32</f>
        <v xml:space="preserve">LƯƠNG THÁNG 02/2025  - ເງິນເດືອນ 02/2025
</v>
      </c>
      <c r="B42" s="4488"/>
      <c r="C42" s="4488"/>
      <c r="D42" s="4489"/>
      <c r="E42" s="2532"/>
      <c r="F42" s="4487" t="str">
        <f>A42</f>
        <v xml:space="preserve">LƯƠNG THÁNG 02/2025  - ເງິນເດືອນ 02/2025
</v>
      </c>
      <c r="G42" s="4488"/>
      <c r="H42" s="4488"/>
      <c r="I42" s="4489"/>
      <c r="J42" s="4491"/>
    </row>
    <row r="43" spans="1:10" ht="12" customHeight="1">
      <c r="A43" s="3648" t="s">
        <v>1758</v>
      </c>
      <c r="B43" s="4490" t="str">
        <f>'BẢNG LƯƠNG KT'!C25</f>
        <v>Thảo Cợt</v>
      </c>
      <c r="C43" s="4490"/>
      <c r="D43" s="2622">
        <v>9</v>
      </c>
      <c r="E43" s="2538"/>
      <c r="F43" s="3648" t="s">
        <v>1758</v>
      </c>
      <c r="G43" s="4492" t="str">
        <f>'BẢNG LƯƠNG KT'!C26</f>
        <v>Thảo Hôm</v>
      </c>
      <c r="H43" s="4498"/>
      <c r="I43" s="2622">
        <v>10</v>
      </c>
      <c r="J43" s="4491"/>
    </row>
    <row r="44" spans="1:10" ht="12" customHeight="1">
      <c r="A44" s="3649" t="s">
        <v>1759</v>
      </c>
      <c r="B44" s="2514"/>
      <c r="C44" s="2515">
        <f>'BẢNG LƯƠNG KT'!G25</f>
        <v>0</v>
      </c>
      <c r="D44" s="2516">
        <f>C44*25000</f>
        <v>0</v>
      </c>
      <c r="E44" s="2535"/>
      <c r="F44" s="3649" t="s">
        <v>1759</v>
      </c>
      <c r="G44" s="2514"/>
      <c r="H44" s="2515">
        <f>'BẢNG LƯƠNG KT'!G26</f>
        <v>0</v>
      </c>
      <c r="I44" s="2516">
        <f>H44*25000</f>
        <v>0</v>
      </c>
      <c r="J44" s="4491"/>
    </row>
    <row r="45" spans="1:10" ht="12" customHeight="1">
      <c r="A45" s="3650" t="s">
        <v>1760</v>
      </c>
      <c r="B45" s="2519"/>
      <c r="C45" s="2520">
        <f>SUM('BẢNG LƯƠNG KT'!M25:P25)</f>
        <v>13</v>
      </c>
      <c r="D45" s="2521">
        <f>'BẢNG LƯƠNG KT'!S25</f>
        <v>1193418</v>
      </c>
      <c r="E45" s="2535"/>
      <c r="F45" s="3650" t="s">
        <v>1760</v>
      </c>
      <c r="G45" s="2519"/>
      <c r="H45" s="2520">
        <f>SUM('BẢNG LƯƠNG KT'!M26:P26)</f>
        <v>21</v>
      </c>
      <c r="I45" s="2521">
        <f>'BẢNG LƯƠNG KT'!S26</f>
        <v>1635675</v>
      </c>
      <c r="J45" s="4491"/>
    </row>
    <row r="46" spans="1:10" ht="12" customHeight="1">
      <c r="A46" s="2518" t="s">
        <v>1747</v>
      </c>
      <c r="B46" s="2519"/>
      <c r="C46" s="2520">
        <f>'BẢNG LƯƠNG KT'!J25</f>
        <v>107.90367374136225</v>
      </c>
      <c r="D46" s="2521">
        <f>'BẢNG LƯƠNG KT'!L25</f>
        <v>383500</v>
      </c>
      <c r="E46" s="2535"/>
      <c r="F46" s="2518" t="s">
        <v>1747</v>
      </c>
      <c r="G46" s="2519"/>
      <c r="H46" s="2520">
        <f>'BẢNG LƯƠNG KT'!J26</f>
        <v>201.70938005922994</v>
      </c>
      <c r="I46" s="2521">
        <f>'BẢNG LƯƠNG KT'!L26</f>
        <v>795102</v>
      </c>
      <c r="J46" s="4491"/>
    </row>
    <row r="47" spans="1:10" ht="12" customHeight="1">
      <c r="A47" s="2926" t="s">
        <v>1748</v>
      </c>
      <c r="B47" s="2519"/>
      <c r="C47" s="2519"/>
      <c r="D47" s="2523"/>
      <c r="E47" s="2540"/>
      <c r="F47" s="2926" t="s">
        <v>1748</v>
      </c>
      <c r="G47" s="2519"/>
      <c r="H47" s="2519"/>
      <c r="I47" s="2523"/>
      <c r="J47" s="4491"/>
    </row>
    <row r="48" spans="1:10" ht="12" customHeight="1">
      <c r="A48" s="3652" t="s">
        <v>1761</v>
      </c>
      <c r="B48" s="2519"/>
      <c r="C48" s="2519"/>
      <c r="D48" s="3234"/>
      <c r="E48" s="2540"/>
      <c r="F48" s="3652" t="s">
        <v>1761</v>
      </c>
      <c r="G48" s="2519"/>
      <c r="H48" s="2519"/>
      <c r="I48" s="2523"/>
      <c r="J48" s="4491"/>
    </row>
    <row r="49" spans="1:10" ht="12" customHeight="1">
      <c r="A49" s="3650" t="s">
        <v>1762</v>
      </c>
      <c r="B49" s="2519"/>
      <c r="C49" s="2526"/>
      <c r="D49" s="2521">
        <f>SUM(D48)</f>
        <v>0</v>
      </c>
      <c r="E49" s="2532"/>
      <c r="F49" s="3650" t="s">
        <v>1762</v>
      </c>
      <c r="G49" s="2519"/>
      <c r="H49" s="2526"/>
      <c r="I49" s="2521">
        <f>SUM(I48)</f>
        <v>0</v>
      </c>
      <c r="J49" s="4491"/>
    </row>
    <row r="50" spans="1:10" ht="12" customHeight="1">
      <c r="A50" s="3651" t="s">
        <v>1763</v>
      </c>
      <c r="B50" s="2528"/>
      <c r="C50" s="2529"/>
      <c r="D50" s="2530">
        <f>(D44+D45+D46)-D49</f>
        <v>1576918</v>
      </c>
      <c r="E50" s="2541"/>
      <c r="F50" s="3651" t="s">
        <v>1763</v>
      </c>
      <c r="G50" s="2528"/>
      <c r="H50" s="2529"/>
      <c r="I50" s="2530">
        <f>(I44+I45+I46)-I49</f>
        <v>2430777</v>
      </c>
      <c r="J50" s="4491"/>
    </row>
    <row r="51" spans="1:10" ht="12" customHeight="1">
      <c r="A51" s="2539"/>
      <c r="B51" s="2540"/>
      <c r="C51" s="2532"/>
      <c r="D51" s="2535"/>
      <c r="E51" s="2535"/>
      <c r="F51" s="2539"/>
      <c r="G51" s="2540"/>
      <c r="H51" s="2532"/>
      <c r="I51" s="2535"/>
      <c r="J51" s="4491"/>
    </row>
    <row r="52" spans="1:10" ht="12" customHeight="1">
      <c r="A52" s="4487" t="str">
        <f>F42</f>
        <v xml:space="preserve">LƯƠNG THÁNG 02/2025  - ເງິນເດືອນ 02/2025
</v>
      </c>
      <c r="B52" s="4488"/>
      <c r="C52" s="4488"/>
      <c r="D52" s="4489"/>
      <c r="E52" s="2535"/>
      <c r="F52" s="4487" t="str">
        <f>A52</f>
        <v xml:space="preserve">LƯƠNG THÁNG 02/2025  - ເງິນເດືອນ 02/2025
</v>
      </c>
      <c r="G52" s="4488"/>
      <c r="H52" s="4488"/>
      <c r="I52" s="4489"/>
      <c r="J52" s="4491"/>
    </row>
    <row r="53" spans="1:10" ht="12" customHeight="1">
      <c r="A53" s="3648" t="s">
        <v>1758</v>
      </c>
      <c r="B53" s="4490" t="str">
        <f>'BẢNG LƯƠNG KT'!C27</f>
        <v xml:space="preserve">Thảo Khăm  </v>
      </c>
      <c r="C53" s="4490"/>
      <c r="D53" s="2622">
        <v>11</v>
      </c>
      <c r="E53" s="2540"/>
      <c r="F53" s="3648" t="s">
        <v>1758</v>
      </c>
      <c r="G53" s="4490" t="str">
        <f>'BẢNG LƯƠNG KT'!C28</f>
        <v>Thảo Hăm</v>
      </c>
      <c r="H53" s="4490"/>
      <c r="I53" s="2622">
        <v>12</v>
      </c>
      <c r="J53" s="4491"/>
    </row>
    <row r="54" spans="1:10" ht="12" customHeight="1">
      <c r="A54" s="3649" t="s">
        <v>1759</v>
      </c>
      <c r="B54" s="2514"/>
      <c r="C54" s="2515">
        <f>'BẢNG LƯƠNG KT'!G27</f>
        <v>0</v>
      </c>
      <c r="D54" s="2516">
        <f>C54*25000</f>
        <v>0</v>
      </c>
      <c r="E54" s="2540"/>
      <c r="F54" s="3649" t="s">
        <v>1759</v>
      </c>
      <c r="G54" s="2514"/>
      <c r="H54" s="2515">
        <f>'BẢNG LƯƠNG KT'!G28</f>
        <v>0</v>
      </c>
      <c r="I54" s="2516">
        <f>H54*25000</f>
        <v>0</v>
      </c>
      <c r="J54" s="4491"/>
    </row>
    <row r="55" spans="1:10" ht="12" customHeight="1">
      <c r="A55" s="3650" t="s">
        <v>1760</v>
      </c>
      <c r="B55" s="2519"/>
      <c r="C55" s="2520">
        <f>SUM('BẢNG LƯƠNG KT'!M27:P27)</f>
        <v>10</v>
      </c>
      <c r="D55" s="2521">
        <f>'BẢNG LƯƠNG KT'!S27</f>
        <v>1022522</v>
      </c>
      <c r="E55" s="2532"/>
      <c r="F55" s="3650" t="s">
        <v>1760</v>
      </c>
      <c r="G55" s="2519"/>
      <c r="H55" s="2520">
        <f>SUM('BẢNG LƯƠNG KT'!M28:P28)</f>
        <v>16</v>
      </c>
      <c r="I55" s="2521">
        <f>'BẢNG LƯƠNG KT'!S28</f>
        <v>1344115</v>
      </c>
      <c r="J55" s="4491"/>
    </row>
    <row r="56" spans="1:10" ht="12" customHeight="1">
      <c r="A56" s="2518" t="s">
        <v>1747</v>
      </c>
      <c r="B56" s="2519"/>
      <c r="C56" s="2520">
        <f>'BẢNG LƯƠNG KT'!J27</f>
        <v>0</v>
      </c>
      <c r="D56" s="2521">
        <f>'BẢNG LƯƠNG KT'!L27</f>
        <v>0</v>
      </c>
      <c r="E56" s="2541"/>
      <c r="F56" s="2518" t="s">
        <v>1747</v>
      </c>
      <c r="G56" s="2519"/>
      <c r="H56" s="2520">
        <f>'BẢNG LƯƠNG KT'!J28</f>
        <v>0</v>
      </c>
      <c r="I56" s="2521">
        <f>'BẢNG LƯƠNG KT'!L28</f>
        <v>0</v>
      </c>
      <c r="J56" s="4491"/>
    </row>
    <row r="57" spans="1:10" ht="12" customHeight="1">
      <c r="A57" s="2926" t="s">
        <v>1748</v>
      </c>
      <c r="B57" s="2519"/>
      <c r="C57" s="2519"/>
      <c r="D57" s="2523"/>
      <c r="E57" s="2541"/>
      <c r="F57" s="2926" t="s">
        <v>1748</v>
      </c>
      <c r="G57" s="2519"/>
      <c r="H57" s="2519"/>
      <c r="I57" s="2523"/>
      <c r="J57" s="2542"/>
    </row>
    <row r="58" spans="1:10" ht="12" customHeight="1">
      <c r="A58" s="3652" t="s">
        <v>1761</v>
      </c>
      <c r="B58" s="2519"/>
      <c r="C58" s="2519"/>
      <c r="D58" s="2523"/>
      <c r="E58" s="2541"/>
      <c r="F58" s="3652" t="s">
        <v>1761</v>
      </c>
      <c r="G58" s="2519"/>
      <c r="H58" s="2519"/>
      <c r="I58" s="3234"/>
      <c r="J58" s="2542"/>
    </row>
    <row r="59" spans="1:10" ht="12" customHeight="1">
      <c r="A59" s="3650" t="s">
        <v>1762</v>
      </c>
      <c r="B59" s="2519"/>
      <c r="C59" s="2526"/>
      <c r="D59" s="2521">
        <f>SUM(D58)</f>
        <v>0</v>
      </c>
      <c r="E59" s="2541"/>
      <c r="F59" s="3650" t="s">
        <v>1762</v>
      </c>
      <c r="G59" s="2519"/>
      <c r="H59" s="2526"/>
      <c r="I59" s="2521">
        <f>SUM(I58)</f>
        <v>0</v>
      </c>
      <c r="J59" s="2542"/>
    </row>
    <row r="60" spans="1:10" ht="12" customHeight="1">
      <c r="A60" s="3651" t="s">
        <v>1763</v>
      </c>
      <c r="B60" s="2528"/>
      <c r="C60" s="2529"/>
      <c r="D60" s="2530">
        <f>(D54+D55+D56)-D59</f>
        <v>1022522</v>
      </c>
      <c r="E60" s="2541"/>
      <c r="F60" s="3651" t="s">
        <v>1763</v>
      </c>
      <c r="G60" s="2528"/>
      <c r="H60" s="2529"/>
      <c r="I60" s="2530">
        <f>(I54+I55+I56)-I59</f>
        <v>1344115</v>
      </c>
      <c r="J60" s="2542"/>
    </row>
    <row r="61" spans="1:10" ht="12" customHeight="1">
      <c r="A61" s="2535"/>
      <c r="B61" s="2549"/>
      <c r="C61" s="2550"/>
      <c r="D61" s="2541"/>
      <c r="E61" s="2541"/>
      <c r="F61" s="2535"/>
      <c r="G61" s="2549"/>
      <c r="H61" s="2550"/>
      <c r="I61" s="2541"/>
      <c r="J61" s="2962"/>
    </row>
    <row r="62" spans="1:10" ht="12" customHeight="1">
      <c r="A62" s="2535"/>
      <c r="B62" s="2549"/>
      <c r="C62" s="2550"/>
      <c r="D62" s="2541"/>
      <c r="E62" s="2541"/>
      <c r="F62" s="2535"/>
      <c r="G62" s="2549"/>
      <c r="H62" s="2550"/>
      <c r="I62" s="2541"/>
      <c r="J62" s="2962"/>
    </row>
    <row r="63" spans="1:10" ht="12" customHeight="1">
      <c r="A63" s="2535"/>
      <c r="B63" s="2549"/>
      <c r="C63" s="2550"/>
      <c r="D63" s="2541"/>
      <c r="E63" s="2541"/>
      <c r="F63" s="2535"/>
      <c r="G63" s="2549"/>
      <c r="H63" s="2550"/>
      <c r="I63" s="2541"/>
      <c r="J63" s="3643"/>
    </row>
    <row r="64" spans="1:10" ht="12" customHeight="1">
      <c r="A64" s="2535"/>
      <c r="B64" s="2549"/>
      <c r="C64" s="2550"/>
      <c r="D64" s="2541"/>
      <c r="E64" s="2541"/>
      <c r="F64" s="2535"/>
      <c r="G64" s="2549"/>
      <c r="H64" s="2550"/>
      <c r="I64" s="2541"/>
      <c r="J64" s="3643"/>
    </row>
    <row r="65" spans="1:10" ht="12" customHeight="1">
      <c r="A65" s="2535"/>
      <c r="B65" s="2549"/>
      <c r="C65" s="2550"/>
      <c r="D65" s="2541"/>
      <c r="E65" s="2541"/>
      <c r="F65" s="2535"/>
      <c r="G65" s="2549"/>
      <c r="H65" s="2550"/>
      <c r="I65" s="2541"/>
      <c r="J65" s="3643"/>
    </row>
    <row r="66" spans="1:10" ht="16.5" customHeight="1">
      <c r="A66" s="2539"/>
      <c r="B66" s="2540"/>
      <c r="C66" s="2532"/>
      <c r="D66" s="2535"/>
      <c r="E66" s="2535"/>
      <c r="F66" s="2539"/>
      <c r="G66" s="2540"/>
      <c r="H66" s="2532"/>
      <c r="I66" s="2535"/>
      <c r="J66" s="4497"/>
    </row>
    <row r="67" spans="1:10" ht="12" customHeight="1">
      <c r="A67" s="4487" t="str">
        <f>F52</f>
        <v xml:space="preserve">LƯƠNG THÁNG 02/2025  - ເງິນເດືອນ 02/2025
</v>
      </c>
      <c r="B67" s="4488"/>
      <c r="C67" s="4488"/>
      <c r="D67" s="4489"/>
      <c r="E67" s="2535"/>
      <c r="F67" s="4487" t="str">
        <f>A67</f>
        <v xml:space="preserve">LƯƠNG THÁNG 02/2025  - ເງິນເດືອນ 02/2025
</v>
      </c>
      <c r="G67" s="4488"/>
      <c r="H67" s="4488"/>
      <c r="I67" s="4489"/>
      <c r="J67" s="4497"/>
    </row>
    <row r="68" spans="1:10" ht="12" customHeight="1">
      <c r="A68" s="3648" t="s">
        <v>1758</v>
      </c>
      <c r="B68" s="4490" t="str">
        <f>'BẢNG LƯƠNG KT'!C29</f>
        <v>Nang Lon</v>
      </c>
      <c r="C68" s="4490"/>
      <c r="D68" s="2622">
        <v>13</v>
      </c>
      <c r="E68" s="2540"/>
      <c r="F68" s="3648" t="s">
        <v>1758</v>
      </c>
      <c r="G68" s="4490" t="str">
        <f>'BẢNG LƯƠNG KT'!C30</f>
        <v>Thảo Pheng</v>
      </c>
      <c r="H68" s="4490"/>
      <c r="I68" s="2622">
        <v>14</v>
      </c>
      <c r="J68" s="4497"/>
    </row>
    <row r="69" spans="1:10" ht="12" customHeight="1">
      <c r="A69" s="3649" t="s">
        <v>1759</v>
      </c>
      <c r="B69" s="2514"/>
      <c r="C69" s="2515">
        <f>'BẢNG LƯƠNG KT'!G29</f>
        <v>0</v>
      </c>
      <c r="D69" s="2516">
        <f>C69*25000</f>
        <v>0</v>
      </c>
      <c r="E69" s="2540"/>
      <c r="F69" s="3649" t="s">
        <v>1759</v>
      </c>
      <c r="G69" s="2514"/>
      <c r="H69" s="2515">
        <f>'BẢNG LƯƠNG KT'!G30</f>
        <v>0</v>
      </c>
      <c r="I69" s="2516">
        <f>H69*25000</f>
        <v>0</v>
      </c>
      <c r="J69" s="4497"/>
    </row>
    <row r="70" spans="1:10" ht="12" customHeight="1">
      <c r="A70" s="3650" t="s">
        <v>1760</v>
      </c>
      <c r="B70" s="2519"/>
      <c r="C70" s="2520">
        <f>SUM('BẢNG LƯƠNG KT'!M29:P29)</f>
        <v>16</v>
      </c>
      <c r="D70" s="2521">
        <f>'BẢNG LƯƠNG KT'!S29</f>
        <v>1344115</v>
      </c>
      <c r="E70" s="2532"/>
      <c r="F70" s="3650" t="s">
        <v>1760</v>
      </c>
      <c r="G70" s="2519"/>
      <c r="H70" s="2520">
        <f>SUM('BẢNG LƯƠNG KT'!M30:P30)</f>
        <v>16</v>
      </c>
      <c r="I70" s="2521">
        <f>'BẢNG LƯƠNG KT'!S30</f>
        <v>1344115</v>
      </c>
      <c r="J70" s="4497"/>
    </row>
    <row r="71" spans="1:10" ht="12" customHeight="1">
      <c r="A71" s="2518" t="s">
        <v>1747</v>
      </c>
      <c r="B71" s="2519"/>
      <c r="C71" s="2520">
        <f>'BẢNG LƯƠNG KT'!J29</f>
        <v>0</v>
      </c>
      <c r="D71" s="2521">
        <f>'BẢNG LƯƠNG KT'!L29</f>
        <v>0</v>
      </c>
      <c r="E71" s="2541"/>
      <c r="F71" s="2518" t="s">
        <v>1747</v>
      </c>
      <c r="G71" s="2519"/>
      <c r="H71" s="2520">
        <f>'BẢNG LƯƠNG KT'!J30</f>
        <v>55.307410661401761</v>
      </c>
      <c r="I71" s="2521">
        <f>'BẢNG LƯƠNG KT'!L30</f>
        <v>207290</v>
      </c>
      <c r="J71" s="4497"/>
    </row>
    <row r="72" spans="1:10" ht="12" customHeight="1">
      <c r="A72" s="2926" t="s">
        <v>1748</v>
      </c>
      <c r="B72" s="2519"/>
      <c r="C72" s="2519"/>
      <c r="D72" s="2523"/>
      <c r="E72" s="2541"/>
      <c r="F72" s="2926" t="s">
        <v>1748</v>
      </c>
      <c r="G72" s="2519"/>
      <c r="H72" s="2519"/>
      <c r="I72" s="2523"/>
      <c r="J72" s="2542"/>
    </row>
    <row r="73" spans="1:10" ht="12" customHeight="1">
      <c r="A73" s="3652" t="s">
        <v>1761</v>
      </c>
      <c r="B73" s="2519"/>
      <c r="C73" s="2519"/>
      <c r="D73" s="2523"/>
      <c r="E73" s="2532"/>
      <c r="F73" s="3652" t="s">
        <v>1761</v>
      </c>
      <c r="G73" s="2519"/>
      <c r="H73" s="2519"/>
      <c r="I73" s="2523"/>
      <c r="J73" s="4491"/>
    </row>
    <row r="74" spans="1:10" ht="12" customHeight="1">
      <c r="A74" s="3650" t="s">
        <v>1762</v>
      </c>
      <c r="B74" s="2519"/>
      <c r="C74" s="2526"/>
      <c r="D74" s="2521">
        <f>SUM(D73)</f>
        <v>0</v>
      </c>
      <c r="E74" s="2538"/>
      <c r="F74" s="3650" t="s">
        <v>1762</v>
      </c>
      <c r="G74" s="2519"/>
      <c r="H74" s="2526"/>
      <c r="I74" s="2521">
        <f>SUM(I73)</f>
        <v>0</v>
      </c>
      <c r="J74" s="4491"/>
    </row>
    <row r="75" spans="1:10" ht="12" customHeight="1">
      <c r="A75" s="3651" t="s">
        <v>1763</v>
      </c>
      <c r="B75" s="2528"/>
      <c r="C75" s="2529"/>
      <c r="D75" s="2530">
        <f>(D69+D70+D71)-D74</f>
        <v>1344115</v>
      </c>
      <c r="E75" s="2535"/>
      <c r="F75" s="3651" t="s">
        <v>1763</v>
      </c>
      <c r="G75" s="2528"/>
      <c r="H75" s="2529"/>
      <c r="I75" s="2530">
        <f>(I69+I70+I71)-I74</f>
        <v>1551405</v>
      </c>
      <c r="J75" s="4491"/>
    </row>
    <row r="76" spans="1:10" ht="21.75" customHeight="1">
      <c r="A76" s="2543"/>
      <c r="B76" s="2540"/>
      <c r="C76" s="2540"/>
      <c r="D76" s="2540"/>
      <c r="E76" s="2532"/>
      <c r="F76" s="2543"/>
      <c r="G76" s="2540"/>
      <c r="H76" s="2540"/>
      <c r="I76" s="2540"/>
      <c r="J76" s="4491"/>
    </row>
    <row r="77" spans="1:10" ht="12" customHeight="1">
      <c r="A77" s="4487" t="str">
        <f>F67</f>
        <v xml:space="preserve">LƯƠNG THÁNG 02/2025  - ເງິນເດືອນ 02/2025
</v>
      </c>
      <c r="B77" s="4488"/>
      <c r="C77" s="4488"/>
      <c r="D77" s="4489"/>
      <c r="E77" s="2541"/>
      <c r="F77" s="4487" t="str">
        <f>A77</f>
        <v xml:space="preserve">LƯƠNG THÁNG 02/2025  - ເງິນເດືອນ 02/2025
</v>
      </c>
      <c r="G77" s="4488"/>
      <c r="H77" s="4488"/>
      <c r="I77" s="4489"/>
      <c r="J77" s="4491"/>
    </row>
    <row r="78" spans="1:10" ht="12" customHeight="1">
      <c r="A78" s="3648" t="s">
        <v>1758</v>
      </c>
      <c r="B78" s="4490" t="str">
        <f>'BẢNG LƯƠNG KT'!C31</f>
        <v>Thảo kok</v>
      </c>
      <c r="C78" s="4490"/>
      <c r="D78" s="2622">
        <v>15</v>
      </c>
      <c r="E78" s="2541"/>
      <c r="F78" s="3648" t="s">
        <v>1758</v>
      </c>
      <c r="G78" s="4490" t="str">
        <f>'BẢNG LƯƠNG KT'!C32</f>
        <v>Nàng Sút Chay</v>
      </c>
      <c r="H78" s="4490"/>
      <c r="I78" s="2622">
        <v>16</v>
      </c>
      <c r="J78" s="4491"/>
    </row>
    <row r="79" spans="1:10" ht="12" customHeight="1">
      <c r="A79" s="3649" t="s">
        <v>1759</v>
      </c>
      <c r="B79" s="2514"/>
      <c r="C79" s="2515">
        <f>'BẢNG LƯƠNG KT'!G31</f>
        <v>0</v>
      </c>
      <c r="D79" s="2516">
        <f>C79*25000</f>
        <v>0</v>
      </c>
      <c r="E79" s="2541"/>
      <c r="F79" s="3649" t="s">
        <v>1759</v>
      </c>
      <c r="G79" s="2514"/>
      <c r="H79" s="2515">
        <f>'BẢNG LƯƠNG KT'!G32</f>
        <v>0</v>
      </c>
      <c r="I79" s="2516">
        <f>H79*25000</f>
        <v>0</v>
      </c>
      <c r="J79" s="4491"/>
    </row>
    <row r="80" spans="1:10" ht="12" customHeight="1">
      <c r="A80" s="3650" t="s">
        <v>1760</v>
      </c>
      <c r="B80" s="2519"/>
      <c r="C80" s="2520">
        <f>SUM('BẢNG LƯƠNG KT'!M31:P31)</f>
        <v>15</v>
      </c>
      <c r="D80" s="2521">
        <f>'BẢNG LƯƠNG KT'!S31</f>
        <v>1314082</v>
      </c>
      <c r="E80" s="2532"/>
      <c r="F80" s="3650" t="s">
        <v>1760</v>
      </c>
      <c r="G80" s="2519"/>
      <c r="H80" s="2520">
        <f>SUM('BẢNG LƯƠNG KT'!M32:P32)</f>
        <v>14</v>
      </c>
      <c r="I80" s="2521">
        <f>'BẢNG LƯƠNG KT'!S32</f>
        <v>1263849</v>
      </c>
      <c r="J80" s="4491"/>
    </row>
    <row r="81" spans="1:10" ht="12" customHeight="1">
      <c r="A81" s="2518" t="s">
        <v>1747</v>
      </c>
      <c r="B81" s="2519"/>
      <c r="C81" s="2520">
        <f>('BẢNG LƯƠNG KT'!J31)</f>
        <v>141.52190375123391</v>
      </c>
      <c r="D81" s="2521">
        <f>'BẢNG LƯƠNG KT'!L31</f>
        <v>557854</v>
      </c>
      <c r="E81" s="2538"/>
      <c r="F81" s="2518" t="s">
        <v>1747</v>
      </c>
      <c r="G81" s="2519"/>
      <c r="H81" s="2520">
        <f>'BẢNG LƯƠNG KT'!J32</f>
        <v>37.956066140177683</v>
      </c>
      <c r="I81" s="2521">
        <f>'BẢNG LƯƠNG KT'!L32</f>
        <v>149616</v>
      </c>
      <c r="J81" s="4491"/>
    </row>
    <row r="82" spans="1:10" ht="12" customHeight="1">
      <c r="A82" s="2926" t="s">
        <v>1748</v>
      </c>
      <c r="B82" s="2519"/>
      <c r="C82" s="2519"/>
      <c r="D82" s="2523"/>
      <c r="E82" s="2535"/>
      <c r="F82" s="2926" t="s">
        <v>1748</v>
      </c>
      <c r="G82" s="2519"/>
      <c r="H82" s="2519"/>
      <c r="I82" s="2523"/>
      <c r="J82" s="4491"/>
    </row>
    <row r="83" spans="1:10" ht="12" customHeight="1">
      <c r="A83" s="3652" t="s">
        <v>1761</v>
      </c>
      <c r="B83" s="2519"/>
      <c r="C83" s="2519"/>
      <c r="D83" s="2523"/>
      <c r="E83" s="2535"/>
      <c r="F83" s="3652" t="s">
        <v>1761</v>
      </c>
      <c r="G83" s="2519"/>
      <c r="H83" s="2519"/>
      <c r="I83" s="2523"/>
      <c r="J83" s="4491"/>
    </row>
    <row r="84" spans="1:10" ht="12" customHeight="1">
      <c r="A84" s="3650" t="s">
        <v>1762</v>
      </c>
      <c r="B84" s="2519"/>
      <c r="C84" s="2526"/>
      <c r="D84" s="2961"/>
      <c r="E84" s="2535"/>
      <c r="F84" s="3650" t="s">
        <v>1762</v>
      </c>
      <c r="G84" s="2519"/>
      <c r="H84" s="2526"/>
      <c r="I84" s="2521">
        <f>SUM(I83)</f>
        <v>0</v>
      </c>
      <c r="J84" s="4491"/>
    </row>
    <row r="85" spans="1:10" ht="12" customHeight="1">
      <c r="A85" s="3651" t="s">
        <v>1763</v>
      </c>
      <c r="B85" s="2528"/>
      <c r="C85" s="2529"/>
      <c r="D85" s="2530">
        <f>(D79+D80+D81)-D84</f>
        <v>1871936</v>
      </c>
      <c r="E85" s="2540"/>
      <c r="F85" s="3651" t="s">
        <v>1763</v>
      </c>
      <c r="G85" s="2528"/>
      <c r="H85" s="2529"/>
      <c r="I85" s="2530">
        <f>(I79+I80+I81)-I84</f>
        <v>1413465</v>
      </c>
      <c r="J85" s="4491"/>
    </row>
    <row r="86" spans="1:10" ht="12" customHeight="1">
      <c r="A86" s="4499"/>
      <c r="B86" s="4499"/>
      <c r="C86" s="4499"/>
      <c r="D86" s="4499"/>
      <c r="E86" s="2532"/>
      <c r="F86" s="4499"/>
      <c r="G86" s="4499"/>
      <c r="H86" s="4499"/>
      <c r="I86" s="4499"/>
      <c r="J86" s="4491"/>
    </row>
    <row r="87" spans="1:10" ht="12" customHeight="1">
      <c r="A87" s="4487" t="str">
        <f>F77</f>
        <v xml:space="preserve">LƯƠNG THÁNG 02/2025  - ເງິນເດືອນ 02/2025
</v>
      </c>
      <c r="B87" s="4488"/>
      <c r="C87" s="4488"/>
      <c r="D87" s="4489"/>
      <c r="E87" s="2538"/>
      <c r="F87" s="4487" t="str">
        <f>A87</f>
        <v xml:space="preserve">LƯƠNG THÁNG 02/2025  - ເງິນເດືອນ 02/2025
</v>
      </c>
      <c r="G87" s="4488"/>
      <c r="H87" s="4488"/>
      <c r="I87" s="4489"/>
      <c r="J87" s="4491"/>
    </row>
    <row r="88" spans="1:10" ht="12" customHeight="1">
      <c r="A88" s="3648" t="s">
        <v>1758</v>
      </c>
      <c r="B88" s="4492" t="str">
        <f>'BẢNG LƯƠNG KT'!C33</f>
        <v>Thảo Khăm Phay</v>
      </c>
      <c r="C88" s="4493"/>
      <c r="D88" s="2512">
        <v>17</v>
      </c>
      <c r="E88" s="2535"/>
      <c r="F88" s="3648" t="s">
        <v>1758</v>
      </c>
      <c r="G88" s="4492" t="str">
        <f>'BẢNG LƯƠNG KT'!C34</f>
        <v>Thảo Sớm</v>
      </c>
      <c r="H88" s="4493"/>
      <c r="I88" s="2512">
        <v>18</v>
      </c>
      <c r="J88" s="4491"/>
    </row>
    <row r="89" spans="1:10" ht="12" customHeight="1">
      <c r="A89" s="3649" t="s">
        <v>1759</v>
      </c>
      <c r="B89" s="2514"/>
      <c r="C89" s="2515">
        <f>'BẢNG LƯƠNG KT'!G33</f>
        <v>0</v>
      </c>
      <c r="D89" s="2516">
        <f>C89*25000</f>
        <v>0</v>
      </c>
      <c r="E89" s="2535"/>
      <c r="F89" s="3649" t="s">
        <v>1759</v>
      </c>
      <c r="G89" s="2514"/>
      <c r="H89" s="2515">
        <f>'BẢNG LƯƠNG KT'!G34</f>
        <v>0</v>
      </c>
      <c r="I89" s="2516">
        <f>H89*25000</f>
        <v>0</v>
      </c>
      <c r="J89" s="4491"/>
    </row>
    <row r="90" spans="1:10" ht="12" customHeight="1">
      <c r="A90" s="3650" t="s">
        <v>1760</v>
      </c>
      <c r="B90" s="2519"/>
      <c r="C90" s="2520">
        <f>SUM('BẢNG LƯƠNG KT'!M33:P33)</f>
        <v>14</v>
      </c>
      <c r="D90" s="2521">
        <f>'BẢNG LƯƠNG KT'!S33</f>
        <v>1263849</v>
      </c>
      <c r="E90" s="2535"/>
      <c r="F90" s="3650" t="s">
        <v>1760</v>
      </c>
      <c r="G90" s="2519"/>
      <c r="H90" s="2520">
        <f>SUM('BẢNG LƯƠNG KT'!M34:P34)</f>
        <v>15</v>
      </c>
      <c r="I90" s="2521">
        <f>'BẢNG LƯƠNG KT'!S34</f>
        <v>1314082</v>
      </c>
      <c r="J90" s="4491"/>
    </row>
    <row r="91" spans="1:10" ht="12" customHeight="1">
      <c r="A91" s="2518" t="s">
        <v>1747</v>
      </c>
      <c r="B91" s="2519"/>
      <c r="C91" s="2520">
        <f>'BẢNG LƯƠNG KT'!J33</f>
        <v>37.956066140177683</v>
      </c>
      <c r="D91" s="2521">
        <f>'BẢNG LƯƠNG KT'!L33</f>
        <v>142258</v>
      </c>
      <c r="E91" s="2535"/>
      <c r="F91" s="2518" t="s">
        <v>1747</v>
      </c>
      <c r="G91" s="2519"/>
      <c r="H91" s="2520">
        <f>'BẢNG LƯƠNG KT'!J34</f>
        <v>72.658755182625839</v>
      </c>
      <c r="I91" s="2521">
        <f>'BẢNG LƯƠNG KT'!L34</f>
        <v>286408</v>
      </c>
      <c r="J91" s="4491"/>
    </row>
    <row r="92" spans="1:10" ht="12" customHeight="1">
      <c r="A92" s="2926" t="s">
        <v>1748</v>
      </c>
      <c r="B92" s="2519"/>
      <c r="C92" s="2519"/>
      <c r="D92" s="2523"/>
      <c r="E92" s="2540"/>
      <c r="F92" s="2926" t="s">
        <v>1748</v>
      </c>
      <c r="G92" s="2519"/>
      <c r="H92" s="2519"/>
      <c r="I92" s="2523"/>
      <c r="J92" s="4491"/>
    </row>
    <row r="93" spans="1:10" ht="12" customHeight="1">
      <c r="A93" s="3652" t="s">
        <v>1761</v>
      </c>
      <c r="B93" s="2519"/>
      <c r="C93" s="2519"/>
      <c r="D93" s="2523"/>
      <c r="E93" s="2532"/>
      <c r="F93" s="3652" t="s">
        <v>1761</v>
      </c>
      <c r="G93" s="2519"/>
      <c r="H93" s="2519"/>
      <c r="I93" s="2523"/>
      <c r="J93" s="4491"/>
    </row>
    <row r="94" spans="1:10" ht="12" customHeight="1">
      <c r="A94" s="3650" t="s">
        <v>1762</v>
      </c>
      <c r="B94" s="2519"/>
      <c r="C94" s="2526"/>
      <c r="D94" s="2961"/>
      <c r="E94" s="2541"/>
      <c r="F94" s="3650" t="s">
        <v>1762</v>
      </c>
      <c r="G94" s="2519"/>
      <c r="H94" s="2526"/>
      <c r="I94" s="2961"/>
      <c r="J94" s="4491"/>
    </row>
    <row r="95" spans="1:10" ht="12" customHeight="1">
      <c r="A95" s="3651" t="s">
        <v>1763</v>
      </c>
      <c r="B95" s="2528"/>
      <c r="C95" s="2529"/>
      <c r="D95" s="2530">
        <f>(D89+D90+D91)-D94</f>
        <v>1406107</v>
      </c>
      <c r="E95" s="2541"/>
      <c r="F95" s="3651" t="s">
        <v>1763</v>
      </c>
      <c r="G95" s="2528"/>
      <c r="H95" s="2529"/>
      <c r="I95" s="2530">
        <f>(I89+I90+I91)-I94</f>
        <v>1600490</v>
      </c>
      <c r="J95" s="2542"/>
    </row>
    <row r="96" spans="1:10" ht="5.25" customHeight="1">
      <c r="A96" s="2539"/>
      <c r="B96" s="2540"/>
      <c r="C96" s="2532"/>
      <c r="D96" s="2535"/>
      <c r="E96" s="2535"/>
      <c r="F96" s="2539"/>
      <c r="G96" s="2540"/>
      <c r="H96" s="2532"/>
      <c r="I96" s="2535"/>
      <c r="J96" s="4491"/>
    </row>
    <row r="97" spans="1:10" ht="12" customHeight="1">
      <c r="A97" s="4487" t="str">
        <f>F87</f>
        <v xml:space="preserve">LƯƠNG THÁNG 02/2025  - ເງິນເດືອນ 02/2025
</v>
      </c>
      <c r="B97" s="4488"/>
      <c r="C97" s="4488"/>
      <c r="D97" s="4489"/>
      <c r="E97" s="2535"/>
      <c r="F97" s="4487" t="str">
        <f>A97</f>
        <v xml:space="preserve">LƯƠNG THÁNG 02/2025  - ເງິນເດືອນ 02/2025
</v>
      </c>
      <c r="G97" s="4488"/>
      <c r="H97" s="4488"/>
      <c r="I97" s="4489"/>
      <c r="J97" s="4491"/>
    </row>
    <row r="98" spans="1:10" ht="12" customHeight="1">
      <c r="A98" s="3648" t="s">
        <v>1758</v>
      </c>
      <c r="B98" s="4490" t="str">
        <f>'BẢNG LƯƠNG KT'!C35</f>
        <v>Pha Xúc</v>
      </c>
      <c r="C98" s="4490"/>
      <c r="D98" s="2622">
        <v>19</v>
      </c>
      <c r="E98" s="2540"/>
      <c r="F98" s="3648" t="s">
        <v>1758</v>
      </c>
      <c r="G98" s="4492" t="str">
        <f>'BẢNG LƯƠNG KT'!C36</f>
        <v>Nàng Phon</v>
      </c>
      <c r="H98" s="4493"/>
      <c r="I98" s="2512">
        <v>20</v>
      </c>
      <c r="J98" s="4491"/>
    </row>
    <row r="99" spans="1:10" ht="12" customHeight="1">
      <c r="A99" s="3649" t="s">
        <v>1759</v>
      </c>
      <c r="B99" s="2514"/>
      <c r="C99" s="2515">
        <f>'BẢNG LƯƠNG KT'!G35</f>
        <v>0</v>
      </c>
      <c r="D99" s="2516">
        <f>C99*25000</f>
        <v>0</v>
      </c>
      <c r="E99" s="2540"/>
      <c r="F99" s="3649" t="s">
        <v>1759</v>
      </c>
      <c r="G99" s="2514"/>
      <c r="H99" s="2515">
        <f>'BẢNG LƯƠNG KT'!G36</f>
        <v>0</v>
      </c>
      <c r="I99" s="2516">
        <f>H99*25000</f>
        <v>0</v>
      </c>
      <c r="J99" s="4491"/>
    </row>
    <row r="100" spans="1:10" ht="12" customHeight="1">
      <c r="A100" s="3650" t="s">
        <v>1760</v>
      </c>
      <c r="B100" s="2519"/>
      <c r="C100" s="2520">
        <f>SUM('BẢNG LƯƠNG KT'!M35:P35)</f>
        <v>13</v>
      </c>
      <c r="D100" s="2521">
        <f>'BẢNG LƯƠNG KT'!S35</f>
        <v>1193418</v>
      </c>
      <c r="E100" s="2532"/>
      <c r="F100" s="3650" t="s">
        <v>1760</v>
      </c>
      <c r="G100" s="2519"/>
      <c r="H100" s="2520">
        <f>SUM('BẢNG LƯƠNG KT'!M36:P36)</f>
        <v>17</v>
      </c>
      <c r="I100" s="2521">
        <f>'BẢNG LƯƠNG KT'!S36</f>
        <v>1434745</v>
      </c>
      <c r="J100" s="4491"/>
    </row>
    <row r="101" spans="1:10" ht="12" customHeight="1">
      <c r="A101" s="2518" t="s">
        <v>1747</v>
      </c>
      <c r="B101" s="2519"/>
      <c r="C101" s="2520">
        <f>'BẢNG LƯƠNG KT'!J35</f>
        <v>0</v>
      </c>
      <c r="D101" s="2521">
        <f>'BẢNG LƯƠNG KT'!L35</f>
        <v>0</v>
      </c>
      <c r="E101" s="2541"/>
      <c r="F101" s="2518" t="s">
        <v>1747</v>
      </c>
      <c r="G101" s="2519"/>
      <c r="H101" s="2520">
        <f>'BẢNG LƯƠNG KT'!J36</f>
        <v>21.689180651530105</v>
      </c>
      <c r="I101" s="2521">
        <f>'BẢNG LƯƠNG KT'!L36</f>
        <v>85495</v>
      </c>
      <c r="J101" s="4491"/>
    </row>
    <row r="102" spans="1:10" ht="12" customHeight="1">
      <c r="A102" s="2926" t="s">
        <v>1748</v>
      </c>
      <c r="B102" s="2519"/>
      <c r="C102" s="2519"/>
      <c r="D102" s="2523"/>
      <c r="E102" s="2540"/>
      <c r="F102" s="2926" t="s">
        <v>1748</v>
      </c>
      <c r="G102" s="2519"/>
      <c r="H102" s="2519"/>
      <c r="I102" s="2523"/>
      <c r="J102" s="4491"/>
    </row>
    <row r="103" spans="1:10" ht="12" customHeight="1">
      <c r="A103" s="3652" t="s">
        <v>1761</v>
      </c>
      <c r="B103" s="2519"/>
      <c r="C103" s="2519"/>
      <c r="D103" s="2523"/>
      <c r="E103" s="2532"/>
      <c r="F103" s="3652" t="s">
        <v>1761</v>
      </c>
      <c r="G103" s="2519"/>
      <c r="H103" s="2519"/>
      <c r="I103" s="2523"/>
      <c r="J103" s="4491"/>
    </row>
    <row r="104" spans="1:10" ht="12" customHeight="1">
      <c r="A104" s="3650" t="s">
        <v>1762</v>
      </c>
      <c r="B104" s="2519"/>
      <c r="C104" s="2526"/>
      <c r="D104" s="2961"/>
      <c r="E104" s="2538"/>
      <c r="F104" s="3650" t="s">
        <v>1762</v>
      </c>
      <c r="G104" s="2519"/>
      <c r="H104" s="2526"/>
      <c r="I104" s="2961"/>
      <c r="J104" s="4491"/>
    </row>
    <row r="105" spans="1:10" ht="12" customHeight="1">
      <c r="A105" s="3651" t="s">
        <v>1763</v>
      </c>
      <c r="B105" s="2528"/>
      <c r="C105" s="2529"/>
      <c r="D105" s="2530">
        <f>(D99+D100+D101)-D104</f>
        <v>1193418</v>
      </c>
      <c r="E105" s="2535"/>
      <c r="F105" s="3651" t="s">
        <v>1763</v>
      </c>
      <c r="G105" s="2528"/>
      <c r="H105" s="2529"/>
      <c r="I105" s="2530">
        <f>(I99+I100+I101)-I104</f>
        <v>1520240</v>
      </c>
      <c r="J105" s="4491"/>
    </row>
    <row r="106" spans="1:10" ht="7.5" customHeight="1">
      <c r="A106" s="2543"/>
      <c r="B106" s="2540"/>
      <c r="C106" s="2540"/>
      <c r="D106" s="2540"/>
      <c r="E106" s="2532"/>
      <c r="F106" s="2543"/>
      <c r="G106" s="2540"/>
      <c r="H106" s="2540"/>
      <c r="I106" s="2540"/>
      <c r="J106" s="4491"/>
    </row>
    <row r="107" spans="1:10" ht="12" customHeight="1">
      <c r="A107" s="4487" t="str">
        <f>F97</f>
        <v xml:space="preserve">LƯƠNG THÁNG 02/2025  - ເງິນເດືອນ 02/2025
</v>
      </c>
      <c r="B107" s="4488"/>
      <c r="C107" s="4488"/>
      <c r="D107" s="4489"/>
      <c r="E107" s="2541"/>
      <c r="F107" s="4487" t="str">
        <f>A107</f>
        <v xml:space="preserve">LƯƠNG THÁNG 02/2025  - ເງິນເດືອນ 02/2025
</v>
      </c>
      <c r="G107" s="4488"/>
      <c r="H107" s="4488"/>
      <c r="I107" s="4489"/>
      <c r="J107" s="4491"/>
    </row>
    <row r="108" spans="1:10" ht="12" customHeight="1">
      <c r="A108" s="3648" t="s">
        <v>1758</v>
      </c>
      <c r="B108" s="4490" t="str">
        <f>'BẢNG LƯƠNG KT'!C37</f>
        <v>Thảo Chăn</v>
      </c>
      <c r="C108" s="4490"/>
      <c r="D108" s="2622">
        <v>21</v>
      </c>
      <c r="E108" s="2541"/>
      <c r="F108" s="3648" t="s">
        <v>1758</v>
      </c>
      <c r="G108" s="4490" t="str">
        <f>'BẢNG LƯƠNG KT'!C38</f>
        <v>Thong La</v>
      </c>
      <c r="H108" s="4490"/>
      <c r="I108" s="2622">
        <v>22</v>
      </c>
      <c r="J108" s="4491"/>
    </row>
    <row r="109" spans="1:10" ht="12" customHeight="1">
      <c r="A109" s="3649" t="s">
        <v>1759</v>
      </c>
      <c r="B109" s="2514"/>
      <c r="C109" s="2515">
        <f>'BẢNG LƯƠNG KT'!G37</f>
        <v>0</v>
      </c>
      <c r="D109" s="2516">
        <f>C109*25000</f>
        <v>0</v>
      </c>
      <c r="E109" s="2541"/>
      <c r="F109" s="3649" t="s">
        <v>1759</v>
      </c>
      <c r="G109" s="2514"/>
      <c r="H109" s="2515">
        <f>'BẢNG LƯƠNG KT'!G38</f>
        <v>0</v>
      </c>
      <c r="I109" s="2516">
        <f>H109*25000</f>
        <v>0</v>
      </c>
      <c r="J109" s="4491"/>
    </row>
    <row r="110" spans="1:10" ht="12" customHeight="1">
      <c r="A110" s="3650" t="s">
        <v>1760</v>
      </c>
      <c r="B110" s="2519"/>
      <c r="C110" s="2520">
        <f>SUM('BẢNG LƯƠNG KT'!M37:P37)</f>
        <v>17</v>
      </c>
      <c r="D110" s="2521">
        <f>'BẢNG LƯƠNG KT'!S37</f>
        <v>1414546</v>
      </c>
      <c r="E110" s="2541"/>
      <c r="F110" s="3650" t="s">
        <v>1760</v>
      </c>
      <c r="G110" s="2519"/>
      <c r="H110" s="2520">
        <f>SUM('BẢNG LƯƠNG KT'!M38:P38)</f>
        <v>17</v>
      </c>
      <c r="I110" s="2521">
        <f>'BẢNG LƯƠNG KT'!S38</f>
        <v>1414546</v>
      </c>
      <c r="J110" s="2542"/>
    </row>
    <row r="111" spans="1:10" ht="12" customHeight="1">
      <c r="A111" s="2518" t="s">
        <v>1747</v>
      </c>
      <c r="B111" s="2519"/>
      <c r="C111" s="2520">
        <f>'BẢNG LƯƠNG KT'!J37</f>
        <v>142.06413326752218</v>
      </c>
      <c r="D111" s="2521">
        <f>'BẢNG LƯƠNG KT'!L37</f>
        <v>559991</v>
      </c>
      <c r="E111" s="2541"/>
      <c r="F111" s="2518" t="s">
        <v>1747</v>
      </c>
      <c r="G111" s="2519"/>
      <c r="H111" s="2520">
        <f>'BẢNG LƯƠNG KT'!J38</f>
        <v>72.116525666337594</v>
      </c>
      <c r="I111" s="2521">
        <f>'BẢNG LƯƠNG KT'!L38</f>
        <v>284270</v>
      </c>
      <c r="J111" s="2542"/>
    </row>
    <row r="112" spans="1:10" ht="12" customHeight="1">
      <c r="A112" s="2926" t="s">
        <v>1748</v>
      </c>
      <c r="B112" s="2519"/>
      <c r="C112" s="2519"/>
      <c r="D112" s="2523"/>
      <c r="E112" s="2532"/>
      <c r="F112" s="2926" t="s">
        <v>1748</v>
      </c>
      <c r="G112" s="2519"/>
      <c r="H112" s="2519"/>
      <c r="I112" s="2523"/>
      <c r="J112" s="4491"/>
    </row>
    <row r="113" spans="1:10" ht="12" customHeight="1">
      <c r="A113" s="3652" t="s">
        <v>1761</v>
      </c>
      <c r="B113" s="2519"/>
      <c r="C113" s="2519"/>
      <c r="D113" s="3234"/>
      <c r="E113" s="2534"/>
      <c r="F113" s="3652" t="s">
        <v>1761</v>
      </c>
      <c r="G113" s="2519"/>
      <c r="H113" s="2519"/>
      <c r="I113" s="2523"/>
      <c r="J113" s="4491"/>
    </row>
    <row r="114" spans="1:10" ht="12" customHeight="1">
      <c r="A114" s="3650" t="s">
        <v>1762</v>
      </c>
      <c r="B114" s="2519"/>
      <c r="C114" s="2526"/>
      <c r="D114" s="2521">
        <f>SUM(D113)</f>
        <v>0</v>
      </c>
      <c r="E114" s="2535"/>
      <c r="F114" s="3650" t="s">
        <v>1762</v>
      </c>
      <c r="G114" s="2519"/>
      <c r="H114" s="2526"/>
      <c r="I114" s="2521">
        <f>SUM(I113)</f>
        <v>0</v>
      </c>
      <c r="J114" s="4491"/>
    </row>
    <row r="115" spans="1:10" ht="12" customHeight="1">
      <c r="A115" s="3651" t="s">
        <v>1763</v>
      </c>
      <c r="B115" s="2528"/>
      <c r="C115" s="2529"/>
      <c r="D115" s="2530">
        <f>(D109+D110+D111)-D114</f>
        <v>1974537</v>
      </c>
      <c r="E115" s="2535"/>
      <c r="F115" s="3651" t="s">
        <v>1763</v>
      </c>
      <c r="G115" s="2528"/>
      <c r="H115" s="2529"/>
      <c r="I115" s="2530">
        <f>(I109+I110+I111)-I114</f>
        <v>1698816</v>
      </c>
      <c r="J115" s="4491"/>
    </row>
    <row r="116" spans="1:10" ht="12" customHeight="1">
      <c r="A116" s="2539"/>
      <c r="B116" s="2540"/>
      <c r="C116" s="2544"/>
      <c r="D116" s="2532"/>
      <c r="E116" s="2541"/>
      <c r="F116" s="2539"/>
      <c r="G116" s="2540"/>
      <c r="H116" s="2544"/>
      <c r="I116" s="2532"/>
      <c r="J116" s="4491"/>
    </row>
    <row r="117" spans="1:10" ht="12" customHeight="1">
      <c r="A117" s="4487" t="str">
        <f>F107</f>
        <v xml:space="preserve">LƯƠNG THÁNG 02/2025  - ເງິນເດືອນ 02/2025
</v>
      </c>
      <c r="B117" s="4488"/>
      <c r="C117" s="4488"/>
      <c r="D117" s="4489"/>
      <c r="E117" s="2541"/>
      <c r="F117" s="4487" t="str">
        <f>A117</f>
        <v xml:space="preserve">LƯƠNG THÁNG 02/2025  - ເງິນເດືອນ 02/2025
</v>
      </c>
      <c r="G117" s="4488"/>
      <c r="H117" s="4488"/>
      <c r="I117" s="4489"/>
      <c r="J117" s="4491"/>
    </row>
    <row r="118" spans="1:10" ht="12" customHeight="1">
      <c r="A118" s="3648" t="s">
        <v>1758</v>
      </c>
      <c r="B118" s="4490" t="str">
        <f>'BẢNG LƯƠNG KT'!C39</f>
        <v>Thảo Cum Pha</v>
      </c>
      <c r="C118" s="4490"/>
      <c r="D118" s="2622">
        <v>23</v>
      </c>
      <c r="E118" s="2541"/>
      <c r="F118" s="3648" t="s">
        <v>1758</v>
      </c>
      <c r="G118" s="4492" t="str">
        <f>'BẢNG LƯƠNG KT'!C40</f>
        <v>T Ô Vên</v>
      </c>
      <c r="H118" s="4493"/>
      <c r="I118" s="2512">
        <v>24</v>
      </c>
      <c r="J118" s="4491"/>
    </row>
    <row r="119" spans="1:10" ht="12" customHeight="1">
      <c r="A119" s="3649" t="s">
        <v>1759</v>
      </c>
      <c r="B119" s="2514"/>
      <c r="C119" s="2515">
        <f>'BẢNG LƯƠNG KT'!G39</f>
        <v>0</v>
      </c>
      <c r="D119" s="2516">
        <f>C119*25000</f>
        <v>0</v>
      </c>
      <c r="E119" s="2532"/>
      <c r="F119" s="3649" t="s">
        <v>1759</v>
      </c>
      <c r="G119" s="2514"/>
      <c r="H119" s="2515">
        <f>'BẢNG LƯƠNG KT'!G40</f>
        <v>0</v>
      </c>
      <c r="I119" s="2516">
        <f>H119*25000</f>
        <v>0</v>
      </c>
      <c r="J119" s="4491"/>
    </row>
    <row r="120" spans="1:10" ht="12" customHeight="1">
      <c r="A120" s="3650" t="s">
        <v>1760</v>
      </c>
      <c r="B120" s="2519"/>
      <c r="C120" s="2520">
        <f>SUM('BẢNG LƯƠNG KT'!M39:P39)</f>
        <v>10</v>
      </c>
      <c r="D120" s="2521">
        <f>'BẢNG LƯƠNG KT'!S39</f>
        <v>1042721</v>
      </c>
      <c r="E120" s="2538"/>
      <c r="F120" s="3650" t="s">
        <v>1760</v>
      </c>
      <c r="G120" s="2519"/>
      <c r="H120" s="2520">
        <f>SUM('BẢNG LƯƠNG KT'!M40:P40)</f>
        <v>17</v>
      </c>
      <c r="I120" s="2521">
        <f>'BẢNG LƯƠNG KT'!S40</f>
        <v>1414546</v>
      </c>
      <c r="J120" s="4491"/>
    </row>
    <row r="121" spans="1:10" ht="12" customHeight="1">
      <c r="A121" s="2518" t="s">
        <v>1747</v>
      </c>
      <c r="B121" s="2519"/>
      <c r="C121" s="2520">
        <f>'BẢNG LƯƠNG KT'!J39</f>
        <v>11.386819842053303</v>
      </c>
      <c r="D121" s="2521">
        <f>'BẢNG LƯƠNG KT'!L39</f>
        <v>42677</v>
      </c>
      <c r="E121" s="2535"/>
      <c r="F121" s="2518" t="s">
        <v>1747</v>
      </c>
      <c r="G121" s="2519"/>
      <c r="H121" s="2520">
        <f>'BẢNG LƯƠNG KT'!J40</f>
        <v>111.69928035538004</v>
      </c>
      <c r="I121" s="2521">
        <f>'BẢNG LƯƠNG KT'!L40</f>
        <v>418644</v>
      </c>
      <c r="J121" s="4491"/>
    </row>
    <row r="122" spans="1:10" ht="12" customHeight="1">
      <c r="A122" s="2926" t="s">
        <v>1748</v>
      </c>
      <c r="B122" s="2519"/>
      <c r="C122" s="2519"/>
      <c r="D122" s="2523"/>
      <c r="E122" s="2535"/>
      <c r="F122" s="2926" t="s">
        <v>1748</v>
      </c>
      <c r="G122" s="2519"/>
      <c r="H122" s="2519"/>
      <c r="I122" s="2523"/>
      <c r="J122" s="4491"/>
    </row>
    <row r="123" spans="1:10" ht="12" customHeight="1">
      <c r="A123" s="3652" t="s">
        <v>1761</v>
      </c>
      <c r="B123" s="2519"/>
      <c r="C123" s="2519"/>
      <c r="D123" s="2523"/>
      <c r="E123" s="2535"/>
      <c r="F123" s="3652" t="s">
        <v>1761</v>
      </c>
      <c r="G123" s="2519"/>
      <c r="H123" s="2519"/>
      <c r="I123" s="2523"/>
      <c r="J123" s="4491"/>
    </row>
    <row r="124" spans="1:10" ht="12" customHeight="1">
      <c r="A124" s="3650" t="s">
        <v>1762</v>
      </c>
      <c r="B124" s="2519"/>
      <c r="C124" s="2526"/>
      <c r="D124" s="2521">
        <f>SUM(D123)</f>
        <v>0</v>
      </c>
      <c r="E124" s="2540"/>
      <c r="F124" s="3650" t="s">
        <v>1762</v>
      </c>
      <c r="G124" s="2519"/>
      <c r="H124" s="2526"/>
      <c r="I124" s="2521">
        <f>SUM(I123)</f>
        <v>0</v>
      </c>
      <c r="J124" s="4491"/>
    </row>
    <row r="125" spans="1:10" ht="12" customHeight="1">
      <c r="A125" s="3651" t="s">
        <v>1763</v>
      </c>
      <c r="B125" s="2528"/>
      <c r="C125" s="2529"/>
      <c r="D125" s="2530">
        <f>(D119+D120+D121)-D124</f>
        <v>1085398</v>
      </c>
      <c r="E125" s="2540"/>
      <c r="F125" s="3651" t="s">
        <v>1763</v>
      </c>
      <c r="G125" s="2528"/>
      <c r="H125" s="2529"/>
      <c r="I125" s="2530">
        <f>(I119+I120+I121)-I124</f>
        <v>1833190</v>
      </c>
      <c r="J125" s="4491"/>
    </row>
    <row r="126" spans="1:10" ht="12" customHeight="1">
      <c r="A126" s="2535"/>
      <c r="B126" s="2549"/>
      <c r="C126" s="2550"/>
      <c r="D126" s="2541"/>
      <c r="E126" s="2540"/>
      <c r="F126" s="2535"/>
      <c r="G126" s="2549"/>
      <c r="H126" s="2550"/>
      <c r="I126" s="2541"/>
      <c r="J126" s="2962"/>
    </row>
    <row r="127" spans="1:10" ht="30" customHeight="1">
      <c r="A127" s="2535"/>
      <c r="B127" s="2549"/>
      <c r="C127" s="2550"/>
      <c r="D127" s="2541"/>
      <c r="E127" s="2540"/>
      <c r="F127" s="2535"/>
      <c r="G127" s="2549"/>
      <c r="H127" s="2550"/>
      <c r="I127" s="2541"/>
      <c r="J127" s="3643"/>
    </row>
    <row r="128" spans="1:10" ht="28.5" customHeight="1">
      <c r="A128" s="2535"/>
      <c r="B128" s="2549"/>
      <c r="C128" s="2550"/>
      <c r="D128" s="2541"/>
      <c r="E128" s="2540"/>
      <c r="F128" s="2535"/>
      <c r="G128" s="2549"/>
      <c r="H128" s="2550"/>
      <c r="I128" s="2541"/>
      <c r="J128" s="2962"/>
    </row>
    <row r="129" spans="1:10" ht="27.75" customHeight="1">
      <c r="A129" s="2539"/>
      <c r="B129" s="2545"/>
      <c r="C129" s="2546"/>
      <c r="D129" s="2547"/>
      <c r="E129" s="2538"/>
      <c r="F129" s="2539"/>
      <c r="G129" s="2545"/>
      <c r="H129" s="2546"/>
      <c r="I129" s="2547"/>
      <c r="J129" s="4491"/>
    </row>
    <row r="130" spans="1:10" ht="12" customHeight="1">
      <c r="A130" s="4487" t="str">
        <f>F117</f>
        <v xml:space="preserve">LƯƠNG THÁNG 02/2025  - ເງິນເດືອນ 02/2025
</v>
      </c>
      <c r="B130" s="4488"/>
      <c r="C130" s="4488"/>
      <c r="D130" s="4489"/>
      <c r="E130" s="2535"/>
      <c r="F130" s="4487" t="str">
        <f>A130</f>
        <v xml:space="preserve">LƯƠNG THÁNG 02/2025  - ເງິນເດືອນ 02/2025
</v>
      </c>
      <c r="G130" s="4488"/>
      <c r="H130" s="4488"/>
      <c r="I130" s="4489"/>
      <c r="J130" s="4491"/>
    </row>
    <row r="131" spans="1:10" ht="12" customHeight="1">
      <c r="A131" s="3648" t="s">
        <v>1758</v>
      </c>
      <c r="B131" s="4490" t="str">
        <f>'BẢNG LƯƠNG KT'!C41</f>
        <v>Nàng Lam</v>
      </c>
      <c r="C131" s="4490"/>
      <c r="D131" s="2622">
        <v>25</v>
      </c>
      <c r="E131" s="2535"/>
      <c r="F131" s="3648" t="s">
        <v>1758</v>
      </c>
      <c r="G131" s="4492" t="str">
        <f>'BẢNG LƯƠNG KT'!C42</f>
        <v>Nàng Hđao</v>
      </c>
      <c r="H131" s="4493"/>
      <c r="I131" s="2512">
        <v>26</v>
      </c>
      <c r="J131" s="4491"/>
    </row>
    <row r="132" spans="1:10" ht="12" customHeight="1">
      <c r="A132" s="3649" t="s">
        <v>1759</v>
      </c>
      <c r="B132" s="2514"/>
      <c r="C132" s="2515">
        <f>'BẢNG LƯƠNG KT'!G41</f>
        <v>0</v>
      </c>
      <c r="D132" s="2516">
        <f>C132*25000</f>
        <v>0</v>
      </c>
      <c r="E132" s="2535"/>
      <c r="F132" s="3649" t="s">
        <v>1759</v>
      </c>
      <c r="G132" s="2514"/>
      <c r="H132" s="2515">
        <f>'BẢNG LƯƠNG KT'!G42</f>
        <v>0</v>
      </c>
      <c r="I132" s="2516">
        <f>H132*25000</f>
        <v>0</v>
      </c>
      <c r="J132" s="4491"/>
    </row>
    <row r="133" spans="1:10" ht="12" customHeight="1">
      <c r="A133" s="3650" t="s">
        <v>1760</v>
      </c>
      <c r="B133" s="2519"/>
      <c r="C133" s="2520">
        <f>'BẢNG LƯƠNG KT'!M41+'BẢNG LƯƠNG KT'!N41+'BẢNG LƯƠNG KT'!O41+'BẢNG LƯƠNG KT'!P41</f>
        <v>22</v>
      </c>
      <c r="D133" s="2521">
        <f>'BẢNG LƯƠNG KT'!S41</f>
        <v>1685907</v>
      </c>
      <c r="E133" s="2535"/>
      <c r="F133" s="3650" t="s">
        <v>1760</v>
      </c>
      <c r="G133" s="2519"/>
      <c r="H133" s="2520">
        <f>SUM('BẢNG LƯƠNG KT'!M42:P42)</f>
        <v>16</v>
      </c>
      <c r="I133" s="2521">
        <f>'BẢNG LƯƠNG KT'!S42</f>
        <v>1364314</v>
      </c>
      <c r="J133" s="4491"/>
    </row>
    <row r="134" spans="1:10" ht="12" customHeight="1">
      <c r="A134" s="2518" t="s">
        <v>1747</v>
      </c>
      <c r="B134" s="2519"/>
      <c r="C134" s="2520">
        <f>'BẢNG LƯƠNG KT'!J41</f>
        <v>133.93069052319839</v>
      </c>
      <c r="D134" s="2521">
        <f>'BẢNG LƯƠNG KT'!L41</f>
        <v>527931</v>
      </c>
      <c r="E134" s="2540"/>
      <c r="F134" s="2518" t="s">
        <v>1747</v>
      </c>
      <c r="G134" s="2519"/>
      <c r="H134" s="2520">
        <f>'BẢNG LƯƠNG KT'!J42</f>
        <v>26.027016781836124</v>
      </c>
      <c r="I134" s="2521">
        <f>'BẢNG LƯƠNG KT'!L42</f>
        <v>97548</v>
      </c>
      <c r="J134" s="4491"/>
    </row>
    <row r="135" spans="1:10" ht="12" customHeight="1">
      <c r="A135" s="2926" t="s">
        <v>1748</v>
      </c>
      <c r="B135" s="2519"/>
      <c r="C135" s="2519"/>
      <c r="D135" s="2523"/>
      <c r="E135" s="2532"/>
      <c r="F135" s="2926" t="s">
        <v>1748</v>
      </c>
      <c r="G135" s="2519"/>
      <c r="H135" s="2519"/>
      <c r="I135" s="2523"/>
      <c r="J135" s="4491"/>
    </row>
    <row r="136" spans="1:10" ht="12" customHeight="1">
      <c r="A136" s="3652" t="s">
        <v>1761</v>
      </c>
      <c r="B136" s="2519"/>
      <c r="C136" s="2519"/>
      <c r="D136" s="2523"/>
      <c r="E136" s="2541"/>
      <c r="F136" s="3652" t="s">
        <v>1761</v>
      </c>
      <c r="G136" s="2519"/>
      <c r="H136" s="2519"/>
      <c r="I136" s="2523"/>
      <c r="J136" s="4491"/>
    </row>
    <row r="137" spans="1:10" ht="12" customHeight="1">
      <c r="A137" s="3650" t="s">
        <v>1762</v>
      </c>
      <c r="B137" s="2519"/>
      <c r="C137" s="2526"/>
      <c r="D137" s="2521">
        <f>SUM(D136)</f>
        <v>0</v>
      </c>
      <c r="E137" s="2541"/>
      <c r="F137" s="3650" t="s">
        <v>1762</v>
      </c>
      <c r="G137" s="2519"/>
      <c r="H137" s="2526"/>
      <c r="I137" s="2521">
        <f>SUM(I136)</f>
        <v>0</v>
      </c>
      <c r="J137" s="4491"/>
    </row>
    <row r="138" spans="1:10" ht="12" customHeight="1">
      <c r="A138" s="3651" t="s">
        <v>1763</v>
      </c>
      <c r="B138" s="2528"/>
      <c r="C138" s="2529"/>
      <c r="D138" s="2530">
        <f>(D132+D133+D134)-D137</f>
        <v>2213838</v>
      </c>
      <c r="E138" s="2541"/>
      <c r="F138" s="3651" t="s">
        <v>1763</v>
      </c>
      <c r="G138" s="2528"/>
      <c r="H138" s="2529"/>
      <c r="I138" s="2530">
        <f>(I132+I133+I134)-I137</f>
        <v>1461862</v>
      </c>
      <c r="J138" s="4491"/>
    </row>
    <row r="139" spans="1:10" ht="6" customHeight="1">
      <c r="A139" s="2539"/>
      <c r="B139" s="2540"/>
      <c r="C139" s="2532"/>
      <c r="D139" s="2532"/>
      <c r="E139" s="2535"/>
      <c r="F139" s="2539"/>
      <c r="G139" s="2540"/>
      <c r="H139" s="2532"/>
      <c r="I139" s="2532"/>
      <c r="J139" s="4491"/>
    </row>
    <row r="140" spans="1:10" ht="12" customHeight="1">
      <c r="A140" s="4487" t="str">
        <f>F130</f>
        <v xml:space="preserve">LƯƠNG THÁNG 02/2025  - ເງິນເດືອນ 02/2025
</v>
      </c>
      <c r="B140" s="4488"/>
      <c r="C140" s="4488"/>
      <c r="D140" s="4489"/>
      <c r="E140" s="2535"/>
      <c r="F140" s="4487" t="str">
        <f>A140</f>
        <v xml:space="preserve">LƯƠNG THÁNG 02/2025  - ເງິນເດືອນ 02/2025
</v>
      </c>
      <c r="G140" s="4488"/>
      <c r="H140" s="4488"/>
      <c r="I140" s="4489"/>
      <c r="J140" s="4491"/>
    </row>
    <row r="141" spans="1:10" ht="12" customHeight="1">
      <c r="A141" s="3648" t="s">
        <v>1758</v>
      </c>
      <c r="B141" s="4492" t="str">
        <f>'BẢNG LƯƠNG KT'!C43</f>
        <v>Thảo Tong</v>
      </c>
      <c r="C141" s="4493"/>
      <c r="D141" s="2512">
        <v>27</v>
      </c>
      <c r="E141" s="2540"/>
      <c r="F141" s="3648" t="s">
        <v>1758</v>
      </c>
      <c r="G141" s="4490" t="str">
        <f>'BẢNG LƯƠNG KT'!C44</f>
        <v>Thảo Khốc</v>
      </c>
      <c r="H141" s="4490"/>
      <c r="I141" s="2622">
        <v>28</v>
      </c>
      <c r="J141" s="4491"/>
    </row>
    <row r="142" spans="1:10" ht="12" customHeight="1">
      <c r="A142" s="3649" t="s">
        <v>1759</v>
      </c>
      <c r="B142" s="2514"/>
      <c r="C142" s="2515">
        <f>'BẢNG LƯƠNG KT'!G43</f>
        <v>0</v>
      </c>
      <c r="D142" s="2516">
        <f>C142*25000</f>
        <v>0</v>
      </c>
      <c r="E142" s="2540"/>
      <c r="F142" s="3649" t="s">
        <v>1759</v>
      </c>
      <c r="G142" s="2514"/>
      <c r="H142" s="2515">
        <f>'BẢNG LƯƠNG KT'!G44</f>
        <v>0</v>
      </c>
      <c r="I142" s="2516">
        <f>H142*25000</f>
        <v>0</v>
      </c>
      <c r="J142" s="4491"/>
    </row>
    <row r="143" spans="1:10" ht="12" customHeight="1">
      <c r="A143" s="3650" t="s">
        <v>1760</v>
      </c>
      <c r="B143" s="2519"/>
      <c r="C143" s="2520">
        <f>SUM('BẢNG LƯƠNG KT'!M43:P43)</f>
        <v>17</v>
      </c>
      <c r="D143" s="2521">
        <f>'BẢNG LƯƠNG KT'!S43</f>
        <v>1414546</v>
      </c>
      <c r="E143" s="2532"/>
      <c r="F143" s="3650" t="s">
        <v>1760</v>
      </c>
      <c r="G143" s="2519"/>
      <c r="H143" s="2520">
        <f>SUM('BẢNG LƯƠNG KT'!M44:P44)</f>
        <v>22</v>
      </c>
      <c r="I143" s="2521">
        <f>'BẢNG LƯƠNG KT'!S44</f>
        <v>1665708</v>
      </c>
      <c r="J143" s="4491"/>
    </row>
    <row r="144" spans="1:10" ht="12" customHeight="1">
      <c r="A144" s="2518" t="s">
        <v>1747</v>
      </c>
      <c r="B144" s="2519"/>
      <c r="C144" s="2520">
        <f>'BẢNG LƯƠNG KT'!J43</f>
        <v>63.9830829220138</v>
      </c>
      <c r="D144" s="2521">
        <f>'BẢNG LƯƠNG KT'!L43</f>
        <v>239806</v>
      </c>
      <c r="E144" s="2532"/>
      <c r="F144" s="2518" t="s">
        <v>1747</v>
      </c>
      <c r="G144" s="2519"/>
      <c r="H144" s="2520">
        <f>'BẢNG LƯƠNG KT'!J44</f>
        <v>231.53200345508384</v>
      </c>
      <c r="I144" s="2521">
        <f>'BẢNG LƯƠNG KT'!L44</f>
        <v>912657</v>
      </c>
      <c r="J144" s="4491"/>
    </row>
    <row r="145" spans="1:10" ht="12" customHeight="1">
      <c r="A145" s="2926" t="s">
        <v>1748</v>
      </c>
      <c r="B145" s="2519"/>
      <c r="C145" s="2519"/>
      <c r="D145" s="2523"/>
      <c r="E145" s="2548"/>
      <c r="F145" s="2926" t="s">
        <v>1748</v>
      </c>
      <c r="G145" s="2519"/>
      <c r="H145" s="2519"/>
      <c r="I145" s="2523"/>
      <c r="J145" s="4491"/>
    </row>
    <row r="146" spans="1:10" ht="12" customHeight="1">
      <c r="A146" s="3652" t="s">
        <v>1761</v>
      </c>
      <c r="B146" s="2519"/>
      <c r="C146" s="2519"/>
      <c r="D146" s="3234"/>
      <c r="E146" s="2532"/>
      <c r="F146" s="3652" t="s">
        <v>1761</v>
      </c>
      <c r="G146" s="2519"/>
      <c r="H146" s="2519"/>
      <c r="I146" s="2523"/>
      <c r="J146" s="4491"/>
    </row>
    <row r="147" spans="1:10" ht="12" customHeight="1">
      <c r="A147" s="3650" t="s">
        <v>1762</v>
      </c>
      <c r="B147" s="2519"/>
      <c r="C147" s="2526"/>
      <c r="D147" s="2521">
        <f>SUM(D146)</f>
        <v>0</v>
      </c>
      <c r="E147" s="2538"/>
      <c r="F147" s="3650" t="s">
        <v>1762</v>
      </c>
      <c r="G147" s="2519"/>
      <c r="H147" s="2526"/>
      <c r="I147" s="2521">
        <f>SUM(I146)</f>
        <v>0</v>
      </c>
      <c r="J147" s="4491"/>
    </row>
    <row r="148" spans="1:10" ht="12" customHeight="1">
      <c r="A148" s="3651" t="s">
        <v>1763</v>
      </c>
      <c r="B148" s="2528"/>
      <c r="C148" s="2529"/>
      <c r="D148" s="2530">
        <f>(D142+D143+D144)-D147</f>
        <v>1654352</v>
      </c>
      <c r="E148" s="2535"/>
      <c r="F148" s="3651" t="s">
        <v>1763</v>
      </c>
      <c r="G148" s="2528"/>
      <c r="H148" s="2529"/>
      <c r="I148" s="2530">
        <f>(I142+I143+I144)-I147</f>
        <v>2578365</v>
      </c>
      <c r="J148" s="4491"/>
    </row>
    <row r="149" spans="1:10" ht="12.75" customHeight="1">
      <c r="A149" s="2539"/>
      <c r="B149" s="2540"/>
      <c r="C149" s="2544"/>
      <c r="D149" s="2532"/>
      <c r="E149" s="2532"/>
      <c r="F149" s="2539"/>
      <c r="G149" s="2540"/>
      <c r="H149" s="2544"/>
      <c r="I149" s="2532"/>
      <c r="J149" s="4491"/>
    </row>
    <row r="150" spans="1:10" ht="12" customHeight="1">
      <c r="A150" s="4487" t="str">
        <f>F140</f>
        <v xml:space="preserve">LƯƠNG THÁNG 02/2025  - ເງິນເດືອນ 02/2025
</v>
      </c>
      <c r="B150" s="4488"/>
      <c r="C150" s="4488"/>
      <c r="D150" s="4489"/>
      <c r="E150" s="2532"/>
      <c r="F150" s="4487" t="str">
        <f>A150</f>
        <v xml:space="preserve">LƯƠNG THÁNG 02/2025  - ເງິນເດືອນ 02/2025
</v>
      </c>
      <c r="G150" s="4488"/>
      <c r="H150" s="4488"/>
      <c r="I150" s="4489"/>
      <c r="J150" s="4491"/>
    </row>
    <row r="151" spans="1:10" ht="12" customHeight="1">
      <c r="A151" s="3648" t="s">
        <v>1758</v>
      </c>
      <c r="B151" s="4492" t="str">
        <f>'BẢNG LƯƠNG KT'!C45</f>
        <v>Thảo Sợt</v>
      </c>
      <c r="C151" s="4493"/>
      <c r="D151" s="2512">
        <v>29</v>
      </c>
      <c r="E151" s="2532"/>
      <c r="F151" s="3648" t="s">
        <v>1758</v>
      </c>
      <c r="G151" s="4492" t="str">
        <f>'BẢNG LƯƠNG KT'!C46</f>
        <v>Thảo Văn</v>
      </c>
      <c r="H151" s="4493"/>
      <c r="I151" s="2512">
        <v>30</v>
      </c>
      <c r="J151" s="4491"/>
    </row>
    <row r="152" spans="1:10" ht="12" customHeight="1">
      <c r="A152" s="3649" t="s">
        <v>1759</v>
      </c>
      <c r="B152" s="2514"/>
      <c r="C152" s="2515">
        <f>'BẢNG LƯƠNG KT'!G45</f>
        <v>0</v>
      </c>
      <c r="D152" s="2516">
        <f>C152*25000</f>
        <v>0</v>
      </c>
      <c r="E152" s="2541"/>
      <c r="F152" s="3649" t="s">
        <v>1759</v>
      </c>
      <c r="G152" s="2514"/>
      <c r="H152" s="2515">
        <f>'BẢNG LƯƠNG KT'!G46</f>
        <v>0</v>
      </c>
      <c r="I152" s="2516">
        <f>H152*25000</f>
        <v>0</v>
      </c>
      <c r="J152" s="4491"/>
    </row>
    <row r="153" spans="1:10" ht="12" customHeight="1">
      <c r="A153" s="3650" t="s">
        <v>1760</v>
      </c>
      <c r="B153" s="2519"/>
      <c r="C153" s="2520">
        <f>SUM('BẢNG LƯƠNG KT'!M45:P45)</f>
        <v>22</v>
      </c>
      <c r="D153" s="2521">
        <f>'BẢNG LƯƠNG KT'!S45</f>
        <v>1665708</v>
      </c>
      <c r="E153" s="2532"/>
      <c r="F153" s="3650" t="s">
        <v>1760</v>
      </c>
      <c r="G153" s="2519"/>
      <c r="H153" s="2520">
        <f>SUM('BẢNG LƯƠNG KT'!M46:P46)</f>
        <v>15</v>
      </c>
      <c r="I153" s="2521">
        <f>'BẢNG LƯƠNG KT'!S46</f>
        <v>1293883</v>
      </c>
      <c r="J153" s="4491"/>
    </row>
    <row r="154" spans="1:10" ht="12" customHeight="1">
      <c r="A154" s="2518" t="s">
        <v>1747</v>
      </c>
      <c r="B154" s="2519"/>
      <c r="C154" s="2520">
        <f>'BẢNG LƯƠNG KT'!J45</f>
        <v>233.1586920039486</v>
      </c>
      <c r="D154" s="2521">
        <f>'BẢNG LƯƠNG KT'!L45</f>
        <v>873869</v>
      </c>
      <c r="E154" s="2538"/>
      <c r="F154" s="2518" t="s">
        <v>1747</v>
      </c>
      <c r="G154" s="2519"/>
      <c r="H154" s="2520">
        <f>'BẢNG LƯƠNG KT'!J46</f>
        <v>0</v>
      </c>
      <c r="I154" s="2521">
        <f>'BẢNG LƯƠNG KT'!L46</f>
        <v>0</v>
      </c>
      <c r="J154" s="4491"/>
    </row>
    <row r="155" spans="1:10" ht="12" customHeight="1">
      <c r="A155" s="2926" t="s">
        <v>1748</v>
      </c>
      <c r="B155" s="2519"/>
      <c r="C155" s="2519"/>
      <c r="D155" s="2523"/>
      <c r="E155" s="2535"/>
      <c r="F155" s="2926" t="s">
        <v>1748</v>
      </c>
      <c r="G155" s="2519"/>
      <c r="H155" s="2519"/>
      <c r="I155" s="2523"/>
      <c r="J155" s="4491"/>
    </row>
    <row r="156" spans="1:10" ht="12" customHeight="1">
      <c r="A156" s="3652" t="s">
        <v>1761</v>
      </c>
      <c r="B156" s="2519"/>
      <c r="C156" s="2519"/>
      <c r="D156" s="2523"/>
      <c r="E156" s="2535"/>
      <c r="F156" s="3652" t="s">
        <v>1761</v>
      </c>
      <c r="G156" s="2519"/>
      <c r="H156" s="2519"/>
      <c r="I156" s="2523"/>
      <c r="J156" s="4491"/>
    </row>
    <row r="157" spans="1:10" ht="12" customHeight="1">
      <c r="A157" s="3650" t="s">
        <v>1762</v>
      </c>
      <c r="B157" s="2519"/>
      <c r="C157" s="2526"/>
      <c r="D157" s="2521">
        <f>SUM(D156)</f>
        <v>0</v>
      </c>
      <c r="E157" s="2535"/>
      <c r="F157" s="3650" t="s">
        <v>1762</v>
      </c>
      <c r="G157" s="2519"/>
      <c r="H157" s="2526"/>
      <c r="I157" s="2521">
        <f>SUM(I156)</f>
        <v>0</v>
      </c>
      <c r="J157" s="4491"/>
    </row>
    <row r="158" spans="1:10" ht="12" customHeight="1">
      <c r="A158" s="3651" t="s">
        <v>1763</v>
      </c>
      <c r="B158" s="2528"/>
      <c r="C158" s="2529"/>
      <c r="D158" s="2530">
        <f>(D152+D153+D154)-D157</f>
        <v>2539577</v>
      </c>
      <c r="E158" s="2540"/>
      <c r="F158" s="3651" t="s">
        <v>1763</v>
      </c>
      <c r="G158" s="2528"/>
      <c r="H158" s="2529"/>
      <c r="I158" s="2530">
        <f>(I152+I153+I154)-I157</f>
        <v>1293883</v>
      </c>
      <c r="J158" s="4491"/>
    </row>
    <row r="159" spans="1:10" ht="12" customHeight="1">
      <c r="A159" s="2548"/>
      <c r="B159" s="2548"/>
      <c r="C159" s="2548"/>
      <c r="D159" s="2548"/>
      <c r="E159" s="2541"/>
      <c r="F159" s="2535"/>
      <c r="G159" s="2549"/>
      <c r="H159" s="2550"/>
      <c r="I159" s="2541"/>
      <c r="J159" s="4491"/>
    </row>
    <row r="160" spans="1:10" ht="12" customHeight="1">
      <c r="A160" s="4487" t="str">
        <f>F150</f>
        <v xml:space="preserve">LƯƠNG THÁNG 02/2025  - ເງິນເດືອນ 02/2025
</v>
      </c>
      <c r="B160" s="4488"/>
      <c r="C160" s="4488"/>
      <c r="D160" s="4489"/>
      <c r="E160" s="2541"/>
      <c r="F160" s="4487" t="str">
        <f>A160</f>
        <v xml:space="preserve">LƯƠNG THÁNG 02/2025  - ເງິນເດືອນ 02/2025
</v>
      </c>
      <c r="G160" s="4488"/>
      <c r="H160" s="4488"/>
      <c r="I160" s="4489"/>
      <c r="J160" s="4491"/>
    </row>
    <row r="161" spans="1:10" ht="12" customHeight="1">
      <c r="A161" s="3648" t="s">
        <v>1758</v>
      </c>
      <c r="B161" s="4492" t="str">
        <f>'BẢNG LƯƠNG KT'!C47</f>
        <v>Nàng Túc</v>
      </c>
      <c r="C161" s="4493"/>
      <c r="D161" s="2512">
        <v>31</v>
      </c>
      <c r="E161" s="2548"/>
      <c r="F161" s="3648" t="s">
        <v>1758</v>
      </c>
      <c r="G161" s="4490" t="str">
        <f>'BẢNG LƯƠNG KT'!C48</f>
        <v>Nàng Chon</v>
      </c>
      <c r="H161" s="4490"/>
      <c r="I161" s="2622">
        <v>32</v>
      </c>
      <c r="J161" s="4491"/>
    </row>
    <row r="162" spans="1:10" ht="12" customHeight="1">
      <c r="A162" s="3649" t="s">
        <v>1759</v>
      </c>
      <c r="B162" s="2514"/>
      <c r="C162" s="2515">
        <f>'BẢNG LƯƠNG KT'!G47</f>
        <v>0</v>
      </c>
      <c r="D162" s="2516">
        <f>C162*25000</f>
        <v>0</v>
      </c>
      <c r="E162" s="2532"/>
      <c r="F162" s="3649" t="s">
        <v>1759</v>
      </c>
      <c r="G162" s="2514"/>
      <c r="H162" s="2515">
        <f>'BẢNG LƯƠNG KT'!G48</f>
        <v>0</v>
      </c>
      <c r="I162" s="2516">
        <f>H162*25000</f>
        <v>0</v>
      </c>
      <c r="J162" s="4491"/>
    </row>
    <row r="163" spans="1:10" ht="12" customHeight="1">
      <c r="A163" s="3650" t="s">
        <v>1760</v>
      </c>
      <c r="B163" s="2519"/>
      <c r="C163" s="2520">
        <f>SUM('BẢNG LƯƠNG KT'!M47:P47)</f>
        <v>17</v>
      </c>
      <c r="D163" s="2521">
        <f>'BẢNG LƯƠNG KT'!S47</f>
        <v>1414546</v>
      </c>
      <c r="E163" s="2538"/>
      <c r="F163" s="3650" t="s">
        <v>1760</v>
      </c>
      <c r="G163" s="2519"/>
      <c r="H163" s="2520">
        <f>SUM('BẢNG LƯƠNG KT'!M48:P48)</f>
        <v>22</v>
      </c>
      <c r="I163" s="2521">
        <f>'BẢNG LƯƠNG KT'!S48</f>
        <v>1685907</v>
      </c>
      <c r="J163" s="4491"/>
    </row>
    <row r="164" spans="1:10" ht="12" customHeight="1">
      <c r="A164" s="2518" t="s">
        <v>1747</v>
      </c>
      <c r="B164" s="2519"/>
      <c r="C164" s="2520">
        <f>'BẢNG LƯƠNG KT'!J47</f>
        <v>113.32596890424479</v>
      </c>
      <c r="D164" s="2521">
        <f>'BẢNG LƯƠNG KT'!L47</f>
        <v>446711</v>
      </c>
      <c r="E164" s="2535"/>
      <c r="F164" s="2518" t="s">
        <v>1747</v>
      </c>
      <c r="G164" s="2519"/>
      <c r="H164" s="2520">
        <f>'BẢNG LƯƠNG KT'!J48</f>
        <v>165.92223198420527</v>
      </c>
      <c r="I164" s="2521">
        <f>'BẢNG LƯƠNG KT'!L48</f>
        <v>621870</v>
      </c>
      <c r="J164" s="4491"/>
    </row>
    <row r="165" spans="1:10" ht="12" customHeight="1">
      <c r="A165" s="2926" t="s">
        <v>1748</v>
      </c>
      <c r="B165" s="2519"/>
      <c r="C165" s="2519"/>
      <c r="D165" s="2523"/>
      <c r="E165" s="2535"/>
      <c r="F165" s="2926" t="s">
        <v>1748</v>
      </c>
      <c r="G165" s="2519"/>
      <c r="H165" s="2519"/>
      <c r="I165" s="2523"/>
      <c r="J165" s="4491"/>
    </row>
    <row r="166" spans="1:10" ht="12" customHeight="1">
      <c r="A166" s="3652" t="s">
        <v>1761</v>
      </c>
      <c r="B166" s="2519"/>
      <c r="C166" s="2519"/>
      <c r="D166" s="2523"/>
      <c r="E166" s="2535"/>
      <c r="F166" s="3652" t="s">
        <v>1761</v>
      </c>
      <c r="G166" s="2519"/>
      <c r="H166" s="2519"/>
      <c r="I166" s="2523"/>
      <c r="J166" s="4491"/>
    </row>
    <row r="167" spans="1:10" ht="12" customHeight="1">
      <c r="A167" s="3650" t="s">
        <v>1762</v>
      </c>
      <c r="B167" s="2519"/>
      <c r="C167" s="2526"/>
      <c r="D167" s="2521">
        <f>SUM(D166)</f>
        <v>0</v>
      </c>
      <c r="E167" s="2540"/>
      <c r="F167" s="3650" t="s">
        <v>1762</v>
      </c>
      <c r="G167" s="2519"/>
      <c r="H167" s="2526"/>
      <c r="I167" s="2521">
        <f>SUM(I166)</f>
        <v>0</v>
      </c>
      <c r="J167" s="4491"/>
    </row>
    <row r="168" spans="1:10" ht="12" customHeight="1">
      <c r="A168" s="3651" t="s">
        <v>1763</v>
      </c>
      <c r="B168" s="2528"/>
      <c r="C168" s="2529"/>
      <c r="D168" s="2530">
        <f>(D162+D163+D164)-D167</f>
        <v>1861257</v>
      </c>
      <c r="E168" s="2540"/>
      <c r="F168" s="3651" t="s">
        <v>1763</v>
      </c>
      <c r="G168" s="2528"/>
      <c r="H168" s="2529"/>
      <c r="I168" s="2530">
        <f>(I162+I163+I164)-I167</f>
        <v>2307777</v>
      </c>
      <c r="J168" s="4491"/>
    </row>
    <row r="169" spans="1:10" ht="5.25" customHeight="1">
      <c r="A169" s="2539"/>
      <c r="B169" s="2551"/>
      <c r="C169" s="2552"/>
      <c r="D169" s="2535"/>
      <c r="E169" s="2541"/>
      <c r="F169" s="2539"/>
      <c r="G169" s="2551"/>
      <c r="H169" s="2552"/>
      <c r="I169" s="2535"/>
      <c r="J169" s="4491"/>
    </row>
    <row r="170" spans="1:10" ht="12" customHeight="1">
      <c r="A170" s="4487" t="str">
        <f>F160</f>
        <v xml:space="preserve">LƯƠNG THÁNG 02/2025  - ເງິນເດືອນ 02/2025
</v>
      </c>
      <c r="B170" s="4488"/>
      <c r="C170" s="4488"/>
      <c r="D170" s="4489"/>
      <c r="E170" s="2541"/>
      <c r="F170" s="4487" t="str">
        <f>A170</f>
        <v xml:space="preserve">LƯƠNG THÁNG 02/2025  - ເງິນເດືອນ 02/2025
</v>
      </c>
      <c r="G170" s="4488"/>
      <c r="H170" s="4488"/>
      <c r="I170" s="4489"/>
      <c r="J170" s="4491"/>
    </row>
    <row r="171" spans="1:10" ht="12" customHeight="1">
      <c r="A171" s="3648" t="s">
        <v>1758</v>
      </c>
      <c r="B171" s="4492" t="str">
        <f>'BẢNG LƯƠNG KT'!C49</f>
        <v>Thảo Hơ Phơ</v>
      </c>
      <c r="C171" s="4493"/>
      <c r="D171" s="2512">
        <v>33</v>
      </c>
      <c r="E171" s="2541"/>
      <c r="F171" s="3648" t="s">
        <v>1758</v>
      </c>
      <c r="G171" s="4490" t="str">
        <f>'BẢNG LƯƠNG KT'!C50</f>
        <v>Thảo Phét</v>
      </c>
      <c r="H171" s="4490"/>
      <c r="I171" s="2622">
        <v>34</v>
      </c>
      <c r="J171" s="4491"/>
    </row>
    <row r="172" spans="1:10" ht="12" customHeight="1">
      <c r="A172" s="3649" t="s">
        <v>1759</v>
      </c>
      <c r="B172" s="2514"/>
      <c r="C172" s="2515">
        <f>'BẢNG LƯƠNG KT'!G49</f>
        <v>0</v>
      </c>
      <c r="D172" s="2516">
        <f>C172*25000</f>
        <v>0</v>
      </c>
      <c r="E172" s="2541"/>
      <c r="F172" s="3649" t="s">
        <v>1759</v>
      </c>
      <c r="G172" s="2514"/>
      <c r="H172" s="2515">
        <f>'BẢNG LƯƠNG KT'!G50</f>
        <v>0</v>
      </c>
      <c r="I172" s="2516">
        <f>H172*25000</f>
        <v>0</v>
      </c>
      <c r="J172" s="4491"/>
    </row>
    <row r="173" spans="1:10" ht="12" customHeight="1">
      <c r="A173" s="3650" t="s">
        <v>1760</v>
      </c>
      <c r="B173" s="2519"/>
      <c r="C173" s="2520">
        <f>SUM('BẢNG LƯƠNG KT'!M49:P49)</f>
        <v>20</v>
      </c>
      <c r="D173" s="2521">
        <f>'BẢNG LƯƠNG KT'!S49</f>
        <v>1565244</v>
      </c>
      <c r="E173" s="2541"/>
      <c r="F173" s="3650" t="s">
        <v>1760</v>
      </c>
      <c r="G173" s="2519"/>
      <c r="H173" s="2520">
        <f>SUM('BẢNG LƯƠNG KT'!M50:P50)</f>
        <v>23</v>
      </c>
      <c r="I173" s="2521">
        <f>'BẢNG LƯƠNG KT'!S50</f>
        <v>1715941</v>
      </c>
      <c r="J173" s="4491"/>
    </row>
    <row r="174" spans="1:10" ht="12" customHeight="1">
      <c r="A174" s="2518" t="s">
        <v>1747</v>
      </c>
      <c r="B174" s="2519"/>
      <c r="C174" s="2520">
        <f>'BẢNG LƯƠNG KT'!J49</f>
        <v>166.46446150049351</v>
      </c>
      <c r="D174" s="2521">
        <f>'BẢNG LƯƠNG KT'!L49</f>
        <v>656173</v>
      </c>
      <c r="E174" s="2541"/>
      <c r="F174" s="2518" t="s">
        <v>1747</v>
      </c>
      <c r="G174" s="2519"/>
      <c r="H174" s="2520">
        <f>'BẢNG LƯƠNG KT'!J50</f>
        <v>168.63337956564655</v>
      </c>
      <c r="I174" s="2521">
        <f>'BẢNG LƯƠNG KT'!L50</f>
        <v>664722</v>
      </c>
      <c r="J174" s="4491"/>
    </row>
    <row r="175" spans="1:10" ht="12" customHeight="1">
      <c r="A175" s="2926" t="s">
        <v>1748</v>
      </c>
      <c r="B175" s="2519"/>
      <c r="C175" s="2519"/>
      <c r="D175" s="2523"/>
      <c r="E175" s="2541"/>
      <c r="F175" s="2926" t="s">
        <v>1748</v>
      </c>
      <c r="G175" s="2519"/>
      <c r="H175" s="2519"/>
      <c r="I175" s="2523"/>
      <c r="J175" s="4491"/>
    </row>
    <row r="176" spans="1:10" ht="12" customHeight="1">
      <c r="A176" s="3652" t="s">
        <v>1761</v>
      </c>
      <c r="B176" s="2519"/>
      <c r="C176" s="2519"/>
      <c r="D176" s="2523"/>
      <c r="E176" s="2541"/>
      <c r="F176" s="3652" t="s">
        <v>1761</v>
      </c>
      <c r="G176" s="2519"/>
      <c r="H176" s="2519"/>
      <c r="I176" s="2523"/>
      <c r="J176" s="2542"/>
    </row>
    <row r="177" spans="1:11" ht="12" customHeight="1">
      <c r="A177" s="3650" t="s">
        <v>1762</v>
      </c>
      <c r="B177" s="2519"/>
      <c r="C177" s="2526"/>
      <c r="D177" s="2521">
        <f>SUM(D176)</f>
        <v>0</v>
      </c>
      <c r="E177" s="2541"/>
      <c r="F177" s="3650" t="s">
        <v>1762</v>
      </c>
      <c r="G177" s="2519"/>
      <c r="H177" s="2526"/>
      <c r="I177" s="2521">
        <f>SUM(I176)</f>
        <v>0</v>
      </c>
      <c r="J177" s="2553"/>
    </row>
    <row r="178" spans="1:11" ht="12" customHeight="1">
      <c r="A178" s="3651" t="s">
        <v>1763</v>
      </c>
      <c r="B178" s="2528"/>
      <c r="C178" s="2529"/>
      <c r="D178" s="2530">
        <f>(D172+D173+D174)-D177</f>
        <v>2221417</v>
      </c>
      <c r="E178" s="2541"/>
      <c r="F178" s="3651" t="s">
        <v>1763</v>
      </c>
      <c r="G178" s="2528"/>
      <c r="H178" s="2529"/>
      <c r="I178" s="2530">
        <f>(I172+I173+I174)-I177</f>
        <v>2380663</v>
      </c>
      <c r="J178" s="2553"/>
    </row>
    <row r="179" spans="1:11" ht="4.5" customHeight="1">
      <c r="A179" s="2539"/>
      <c r="B179" s="2540"/>
      <c r="C179" s="2532"/>
      <c r="D179" s="2532"/>
      <c r="E179" s="2535"/>
      <c r="F179" s="2539"/>
      <c r="G179" s="2540"/>
      <c r="H179" s="2532"/>
      <c r="I179" s="2532"/>
      <c r="J179" s="4491"/>
    </row>
    <row r="180" spans="1:11" ht="12" customHeight="1">
      <c r="A180" s="4487" t="str">
        <f>F170</f>
        <v xml:space="preserve">LƯƠNG THÁNG 02/2025  - ເງິນເດືອນ 02/2025
</v>
      </c>
      <c r="B180" s="4488"/>
      <c r="C180" s="4488"/>
      <c r="D180" s="4489"/>
      <c r="E180" s="2540"/>
      <c r="F180" s="4487" t="str">
        <f>A180</f>
        <v xml:space="preserve">LƯƠNG THÁNG 02/2025  - ເງິນເດືອນ 02/2025
</v>
      </c>
      <c r="G180" s="4488"/>
      <c r="H180" s="4488"/>
      <c r="I180" s="4489"/>
      <c r="J180" s="4491"/>
    </row>
    <row r="181" spans="1:11" s="2212" customFormat="1" ht="12" customHeight="1">
      <c r="A181" s="3648" t="s">
        <v>1758</v>
      </c>
      <c r="B181" s="4492" t="str">
        <f>'BẢNG LƯƠNG KT'!C51</f>
        <v>Hăn</v>
      </c>
      <c r="C181" s="4498"/>
      <c r="D181" s="2626">
        <v>35</v>
      </c>
      <c r="E181" s="2621"/>
      <c r="F181" s="3648" t="s">
        <v>1758</v>
      </c>
      <c r="G181" s="4492" t="str">
        <f>'BẢNG LƯƠNG KT'!C52</f>
        <v>Thảo Tuỳ</v>
      </c>
      <c r="H181" s="4498"/>
      <c r="I181" s="2627">
        <v>36</v>
      </c>
      <c r="J181" s="4491"/>
    </row>
    <row r="182" spans="1:11" ht="12" customHeight="1">
      <c r="A182" s="3649" t="s">
        <v>1759</v>
      </c>
      <c r="B182" s="2514"/>
      <c r="C182" s="2515">
        <f>'BẢNG LƯƠNG KT'!G51</f>
        <v>0</v>
      </c>
      <c r="D182" s="2516">
        <f>C182*25000</f>
        <v>0</v>
      </c>
      <c r="E182" s="2532"/>
      <c r="F182" s="3649" t="s">
        <v>1759</v>
      </c>
      <c r="G182" s="2514"/>
      <c r="H182" s="2515">
        <f>'BẢNG LƯƠNG KT'!G52</f>
        <v>0</v>
      </c>
      <c r="I182" s="2516">
        <f>H182*25000</f>
        <v>0</v>
      </c>
      <c r="J182" s="4491"/>
    </row>
    <row r="183" spans="1:11" ht="12" customHeight="1">
      <c r="A183" s="3650" t="s">
        <v>1760</v>
      </c>
      <c r="B183" s="2519"/>
      <c r="C183" s="2520">
        <f>SUM('BẢNG LƯƠNG KT'!M51:P51)</f>
        <v>20</v>
      </c>
      <c r="D183" s="2521">
        <f>'BẢNG LƯƠNG KT'!S51</f>
        <v>1565244</v>
      </c>
      <c r="E183" s="2532"/>
      <c r="F183" s="3650" t="s">
        <v>1760</v>
      </c>
      <c r="G183" s="2519"/>
      <c r="H183" s="2520">
        <f>SUM('BẢNG LƯƠNG KT'!M52:P52)</f>
        <v>23</v>
      </c>
      <c r="I183" s="2521">
        <f>'BẢNG LƯƠNG KT'!S52</f>
        <v>1736139</v>
      </c>
      <c r="J183" s="4491"/>
    </row>
    <row r="184" spans="1:11" ht="12" customHeight="1">
      <c r="A184" s="2518" t="s">
        <v>1747</v>
      </c>
      <c r="B184" s="2519"/>
      <c r="C184" s="2520">
        <f>'BẢNG LƯƠNG KT'!J51</f>
        <v>25.484787265547869</v>
      </c>
      <c r="D184" s="2521">
        <f>'BẢNG LƯƠNG KT'!L51</f>
        <v>100456</v>
      </c>
      <c r="E184" s="2541"/>
      <c r="F184" s="2518" t="s">
        <v>1747</v>
      </c>
      <c r="G184" s="2519"/>
      <c r="H184" s="2520">
        <f>'BẢNG LƯƠNG KT'!J52</f>
        <v>188.6958716683119</v>
      </c>
      <c r="I184" s="2521">
        <f>'BẢNG LƯƠNG KT'!L52</f>
        <v>743805</v>
      </c>
      <c r="J184" s="4491"/>
    </row>
    <row r="185" spans="1:11" ht="12" customHeight="1">
      <c r="A185" s="2926" t="s">
        <v>1748</v>
      </c>
      <c r="B185" s="2519"/>
      <c r="C185" s="2519"/>
      <c r="D185" s="2523"/>
      <c r="E185" s="2532"/>
      <c r="F185" s="2926" t="s">
        <v>1748</v>
      </c>
      <c r="G185" s="2519"/>
      <c r="H185" s="2519"/>
      <c r="I185" s="2523"/>
      <c r="J185" s="4491"/>
    </row>
    <row r="186" spans="1:11" ht="12" customHeight="1">
      <c r="A186" s="3652" t="s">
        <v>1761</v>
      </c>
      <c r="B186" s="2519"/>
      <c r="C186" s="2519"/>
      <c r="D186" s="2523"/>
      <c r="E186" s="2538"/>
      <c r="F186" s="3652" t="s">
        <v>1761</v>
      </c>
      <c r="G186" s="2519"/>
      <c r="H186" s="2519"/>
      <c r="I186" s="2523"/>
      <c r="J186" s="4491"/>
    </row>
    <row r="187" spans="1:11" ht="12" customHeight="1">
      <c r="A187" s="3650" t="s">
        <v>1762</v>
      </c>
      <c r="B187" s="2519"/>
      <c r="C187" s="2526"/>
      <c r="D187" s="2521">
        <f>SUM(D186)</f>
        <v>0</v>
      </c>
      <c r="E187" s="2535"/>
      <c r="F187" s="3650" t="s">
        <v>1762</v>
      </c>
      <c r="G187" s="2519"/>
      <c r="H187" s="2526"/>
      <c r="I187" s="2521">
        <f>SUM(I186)</f>
        <v>0</v>
      </c>
      <c r="J187" s="4491"/>
    </row>
    <row r="188" spans="1:11" ht="12" customHeight="1">
      <c r="A188" s="3651" t="s">
        <v>1763</v>
      </c>
      <c r="B188" s="2528"/>
      <c r="C188" s="2529"/>
      <c r="D188" s="2530">
        <f>(D182+D183+D184)-D187</f>
        <v>1665700</v>
      </c>
      <c r="E188" s="2535"/>
      <c r="F188" s="3651" t="s">
        <v>1763</v>
      </c>
      <c r="G188" s="2528"/>
      <c r="H188" s="2529"/>
      <c r="I188" s="2530">
        <f>(I182+I183+I184)-I187</f>
        <v>2479944</v>
      </c>
      <c r="J188" s="4491"/>
    </row>
    <row r="189" spans="1:11" ht="30" customHeight="1">
      <c r="A189" s="2535"/>
      <c r="B189" s="2549"/>
      <c r="C189" s="2550"/>
      <c r="D189" s="2541"/>
      <c r="E189" s="2532"/>
      <c r="F189" s="2535"/>
      <c r="G189" s="2549"/>
      <c r="H189" s="2550"/>
      <c r="I189" s="2541"/>
      <c r="J189" s="4491"/>
      <c r="K189" s="2628" t="s">
        <v>322</v>
      </c>
    </row>
    <row r="190" spans="1:11" ht="30" customHeight="1">
      <c r="A190" s="2535"/>
      <c r="B190" s="2549"/>
      <c r="C190" s="2550"/>
      <c r="D190" s="2541"/>
      <c r="E190" s="2964"/>
      <c r="F190" s="2535"/>
      <c r="G190" s="2549"/>
      <c r="H190" s="2550"/>
      <c r="I190" s="2541"/>
      <c r="J190" s="2962"/>
      <c r="K190" s="2628"/>
    </row>
    <row r="191" spans="1:11" ht="30" customHeight="1">
      <c r="A191" s="2535"/>
      <c r="B191" s="2549"/>
      <c r="C191" s="2550"/>
      <c r="D191" s="2541"/>
      <c r="E191" s="3644"/>
      <c r="F191" s="2535"/>
      <c r="G191" s="2549"/>
      <c r="H191" s="2550"/>
      <c r="I191" s="2541"/>
      <c r="J191" s="3643"/>
      <c r="K191" s="2628"/>
    </row>
    <row r="192" spans="1:11" ht="30" customHeight="1">
      <c r="A192" s="2535"/>
      <c r="B192" s="2549"/>
      <c r="C192" s="2550"/>
      <c r="D192" s="2541"/>
      <c r="E192" s="2621"/>
      <c r="F192" s="2535"/>
      <c r="G192" s="2549"/>
      <c r="H192" s="2550"/>
      <c r="I192" s="2541"/>
      <c r="J192" s="2620"/>
      <c r="K192" s="2686">
        <f>D201+I201+D211+I211+D221+I221+D231+I231+D241+I241+D251+I251+D262+I262+D272+'BẢNG LƯƠNG KT'!V75</f>
        <v>26137821</v>
      </c>
    </row>
    <row r="193" spans="1:11" s="2533" customFormat="1" ht="12" customHeight="1">
      <c r="A193" s="4487" t="str">
        <f>A170</f>
        <v xml:space="preserve">LƯƠNG THÁNG 02/2025  - ເງິນເດືອນ 02/2025
</v>
      </c>
      <c r="B193" s="4488"/>
      <c r="C193" s="4488"/>
      <c r="D193" s="4489"/>
      <c r="E193" s="2621"/>
      <c r="F193" s="4487" t="str">
        <f>A193</f>
        <v xml:space="preserve">LƯƠNG THÁNG 02/2025  - ເງິນເດືອນ 02/2025
</v>
      </c>
      <c r="G193" s="4488"/>
      <c r="H193" s="4488"/>
      <c r="I193" s="4489"/>
      <c r="J193" s="2620"/>
    </row>
    <row r="194" spans="1:11" ht="18" customHeight="1">
      <c r="A194" s="3648" t="s">
        <v>1758</v>
      </c>
      <c r="B194" s="4492" t="str">
        <f>'BẢNG LƯƠNG KT'!C56</f>
        <v>Thảo Xa Đết</v>
      </c>
      <c r="C194" s="4493"/>
      <c r="D194" s="2512">
        <v>1</v>
      </c>
      <c r="E194" s="2623"/>
      <c r="F194" s="3648" t="s">
        <v>1758</v>
      </c>
      <c r="G194" s="4490" t="str">
        <f>'BẢNG LƯƠNG KT'!C57</f>
        <v>Thảo Sột</v>
      </c>
      <c r="H194" s="4490"/>
      <c r="I194" s="2512">
        <v>2</v>
      </c>
    </row>
    <row r="195" spans="1:11" ht="12" customHeight="1">
      <c r="A195" s="3649" t="s">
        <v>1759</v>
      </c>
      <c r="B195" s="2514"/>
      <c r="C195" s="2515">
        <f>'BẢNG LƯƠNG KT'!G56</f>
        <v>0</v>
      </c>
      <c r="D195" s="2624">
        <f>C195*25000</f>
        <v>0</v>
      </c>
      <c r="E195" s="2517"/>
      <c r="F195" s="3649" t="s">
        <v>1759</v>
      </c>
      <c r="G195" s="2514"/>
      <c r="H195" s="2515">
        <f>'BẢNG LƯƠNG KT'!G57</f>
        <v>0</v>
      </c>
      <c r="I195" s="2516">
        <f>H195*25000</f>
        <v>0</v>
      </c>
    </row>
    <row r="196" spans="1:11" ht="13.5" customHeight="1">
      <c r="A196" s="3650" t="s">
        <v>1760</v>
      </c>
      <c r="B196" s="2519"/>
      <c r="C196" s="2684">
        <f>SUM('BẢNG LƯƠNG KT'!M56:N56)</f>
        <v>13</v>
      </c>
      <c r="D196" s="2521">
        <f>'BẢNG LƯƠNG KT'!S56</f>
        <v>1173220</v>
      </c>
      <c r="E196" s="2517"/>
      <c r="F196" s="3650" t="s">
        <v>1760</v>
      </c>
      <c r="G196" s="2519"/>
      <c r="H196" s="2520">
        <f>'BẢNG LƯƠNG KT'!M57+'BẢNG LƯƠNG KT'!N57</f>
        <v>20</v>
      </c>
      <c r="I196" s="2521">
        <f>'BẢNG LƯƠNG KT'!S57</f>
        <v>1545045</v>
      </c>
    </row>
    <row r="197" spans="1:11" ht="12" customHeight="1">
      <c r="A197" s="2518" t="s">
        <v>1747</v>
      </c>
      <c r="B197" s="2519"/>
      <c r="C197" s="2520">
        <f>'BẢNG LƯƠNG KT'!J56</f>
        <v>42.057470517448856</v>
      </c>
      <c r="D197" s="2521">
        <f>'BẢNG LƯƠNG KT'!L56</f>
        <v>157630</v>
      </c>
      <c r="E197" s="2517"/>
      <c r="F197" s="2518" t="s">
        <v>1747</v>
      </c>
      <c r="G197" s="2519"/>
      <c r="H197" s="2520">
        <f>'BẢNG LƯƠNG KT'!J57</f>
        <v>167.16513598074604</v>
      </c>
      <c r="I197" s="2521">
        <f>'BẢNG LƯƠNG KT'!L57</f>
        <v>658935</v>
      </c>
      <c r="K197" s="3639">
        <v>72766525</v>
      </c>
    </row>
    <row r="198" spans="1:11" ht="12" customHeight="1">
      <c r="A198" s="2926" t="s">
        <v>1748</v>
      </c>
      <c r="B198" s="2519"/>
      <c r="C198" s="2519"/>
      <c r="D198" s="2523"/>
      <c r="E198" s="2517"/>
      <c r="F198" s="2926" t="s">
        <v>1748</v>
      </c>
      <c r="G198" s="2519"/>
      <c r="H198" s="2519"/>
      <c r="I198" s="2523"/>
    </row>
    <row r="199" spans="1:11" ht="12" customHeight="1">
      <c r="A199" s="3652" t="s">
        <v>1761</v>
      </c>
      <c r="B199" s="2519"/>
      <c r="C199" s="2519"/>
      <c r="D199" s="2523"/>
      <c r="E199" s="2517"/>
      <c r="F199" s="3652" t="s">
        <v>1761</v>
      </c>
      <c r="G199" s="2519"/>
      <c r="H199" s="2519"/>
      <c r="I199" s="2523"/>
    </row>
    <row r="200" spans="1:11" ht="12" customHeight="1">
      <c r="A200" s="3650" t="s">
        <v>1762</v>
      </c>
      <c r="B200" s="2519"/>
      <c r="C200" s="2526"/>
      <c r="D200" s="2521">
        <f>SUM(D199)</f>
        <v>0</v>
      </c>
      <c r="E200" s="2517"/>
      <c r="F200" s="3650" t="s">
        <v>1762</v>
      </c>
      <c r="G200" s="2519"/>
      <c r="H200" s="2526"/>
      <c r="I200" s="2521">
        <f>SUM(I199)</f>
        <v>0</v>
      </c>
      <c r="K200" s="3640">
        <f>D201+I201+D211+I211+D221+I221+D231+I231+D241+I241+D251+I251+D262+I262+D272</f>
        <v>26137821</v>
      </c>
    </row>
    <row r="201" spans="1:11" ht="12" customHeight="1">
      <c r="A201" s="3651" t="s">
        <v>1763</v>
      </c>
      <c r="B201" s="2528"/>
      <c r="C201" s="2529"/>
      <c r="D201" s="2530">
        <f>(D195+D196+D197)-D200</f>
        <v>1330850</v>
      </c>
      <c r="E201" s="2531"/>
      <c r="F201" s="3651" t="s">
        <v>1763</v>
      </c>
      <c r="G201" s="2528"/>
      <c r="H201" s="2529"/>
      <c r="I201" s="2530">
        <f>(I195+I196+I197)-I200</f>
        <v>2203980</v>
      </c>
    </row>
    <row r="202" spans="1:11" ht="12" customHeight="1"/>
    <row r="203" spans="1:11" s="2533" customFormat="1" ht="12" customHeight="1">
      <c r="A203" s="4487" t="str">
        <f>A180</f>
        <v xml:space="preserve">LƯƠNG THÁNG 02/2025  - ເງິນເດືອນ 02/2025
</v>
      </c>
      <c r="B203" s="4488"/>
      <c r="C203" s="4488"/>
      <c r="D203" s="4489"/>
      <c r="E203" s="2621"/>
      <c r="F203" s="4487" t="str">
        <f>A203</f>
        <v xml:space="preserve">LƯƠNG THÁNG 02/2025  - ເງິນເດືອນ 02/2025
</v>
      </c>
      <c r="G203" s="4488"/>
      <c r="H203" s="4488"/>
      <c r="I203" s="4489"/>
      <c r="J203" s="4491"/>
    </row>
    <row r="204" spans="1:11" s="2533" customFormat="1" ht="12" customHeight="1">
      <c r="A204" s="3648" t="s">
        <v>1758</v>
      </c>
      <c r="B204" s="4490" t="str">
        <f>'BẢNG LƯƠNG KT'!C58</f>
        <v>Stoong</v>
      </c>
      <c r="C204" s="4490"/>
      <c r="D204" s="2622">
        <v>3</v>
      </c>
      <c r="E204" s="2534"/>
      <c r="F204" s="3648" t="s">
        <v>1758</v>
      </c>
      <c r="G204" s="4490" t="str">
        <f>'BẢNG LƯƠNG KT'!C59</f>
        <v>Nàng Phắt</v>
      </c>
      <c r="H204" s="4490"/>
      <c r="I204" s="2622">
        <v>4</v>
      </c>
      <c r="J204" s="4491"/>
    </row>
    <row r="205" spans="1:11" s="2533" customFormat="1" ht="12" customHeight="1">
      <c r="A205" s="3649" t="s">
        <v>1759</v>
      </c>
      <c r="B205" s="2514"/>
      <c r="C205" s="2515">
        <f>'BẢNG LƯƠNG KT'!G58</f>
        <v>0</v>
      </c>
      <c r="D205" s="2516">
        <f>C205*25000</f>
        <v>0</v>
      </c>
      <c r="E205" s="2535"/>
      <c r="F205" s="3649" t="s">
        <v>1759</v>
      </c>
      <c r="G205" s="2514"/>
      <c r="H205" s="2515">
        <f>'BẢNG LƯƠNG KT'!G59</f>
        <v>0</v>
      </c>
      <c r="I205" s="2516">
        <f>H205*25000</f>
        <v>0</v>
      </c>
      <c r="J205" s="4491"/>
    </row>
    <row r="206" spans="1:11" s="2533" customFormat="1" ht="12" customHeight="1">
      <c r="A206" s="3650" t="s">
        <v>1760</v>
      </c>
      <c r="B206" s="2519"/>
      <c r="C206" s="2520">
        <f>'BẢNG LƯƠNG KT'!M58+'BẢNG LƯƠNG KT'!N58</f>
        <v>16</v>
      </c>
      <c r="D206" s="2521">
        <f>'BẢNG LƯƠNG KT'!S58</f>
        <v>1344115</v>
      </c>
      <c r="E206" s="2535"/>
      <c r="F206" s="3650" t="s">
        <v>1760</v>
      </c>
      <c r="G206" s="2519"/>
      <c r="H206" s="2520">
        <f>'BẢNG LƯƠNG KT'!M59+'BẢNG LƯƠNG KT'!N59</f>
        <v>16</v>
      </c>
      <c r="I206" s="2521">
        <f>'BẢNG LƯƠNG KT'!S59</f>
        <v>1344115</v>
      </c>
      <c r="J206" s="4491"/>
    </row>
    <row r="207" spans="1:11" ht="12" customHeight="1">
      <c r="A207" s="2518" t="s">
        <v>1747</v>
      </c>
      <c r="B207" s="2519"/>
      <c r="C207" s="2520">
        <f>'BẢNG LƯƠNG KT'!J58</f>
        <v>108.07172803850781</v>
      </c>
      <c r="D207" s="2521">
        <f>'BẢNG LƯƠNG KT'!L58</f>
        <v>425999</v>
      </c>
      <c r="E207" s="2621"/>
      <c r="F207" s="2518" t="s">
        <v>1747</v>
      </c>
      <c r="G207" s="2519"/>
      <c r="H207" s="2520">
        <f>'BẢNG LƯƠNG KT'!J59</f>
        <v>108.60410108303248</v>
      </c>
      <c r="I207" s="2521">
        <f>'BẢNG LƯƠNG KT'!L59</f>
        <v>407044</v>
      </c>
      <c r="J207" s="4491"/>
    </row>
    <row r="208" spans="1:11" s="2533" customFormat="1" ht="12" customHeight="1">
      <c r="A208" s="2926" t="s">
        <v>1748</v>
      </c>
      <c r="B208" s="2519"/>
      <c r="C208" s="2519"/>
      <c r="D208" s="2523"/>
      <c r="E208" s="2536"/>
      <c r="F208" s="2926" t="s">
        <v>1748</v>
      </c>
      <c r="G208" s="2519"/>
      <c r="H208" s="2519"/>
      <c r="I208" s="2523"/>
      <c r="J208" s="4491"/>
    </row>
    <row r="209" spans="1:12" s="2537" customFormat="1" ht="12" customHeight="1">
      <c r="A209" s="3652" t="s">
        <v>1761</v>
      </c>
      <c r="B209" s="2519"/>
      <c r="C209" s="2519"/>
      <c r="D209" s="2523"/>
      <c r="E209" s="2621"/>
      <c r="F209" s="3652" t="s">
        <v>1761</v>
      </c>
      <c r="G209" s="2519"/>
      <c r="H209" s="2519"/>
      <c r="I209" s="2523"/>
      <c r="J209" s="4491"/>
    </row>
    <row r="210" spans="1:12" s="2533" customFormat="1" ht="12" customHeight="1">
      <c r="A210" s="3650" t="s">
        <v>1762</v>
      </c>
      <c r="B210" s="2519"/>
      <c r="C210" s="2526"/>
      <c r="D210" s="2521">
        <f>SUM(D209)</f>
        <v>0</v>
      </c>
      <c r="E210" s="2538"/>
      <c r="F210" s="3650" t="s">
        <v>1762</v>
      </c>
      <c r="G210" s="2519"/>
      <c r="H210" s="2526"/>
      <c r="I210" s="2521">
        <f>SUM(I209)</f>
        <v>0</v>
      </c>
      <c r="J210" s="4491"/>
    </row>
    <row r="211" spans="1:12" s="2533" customFormat="1" ht="12" customHeight="1">
      <c r="A211" s="3651" t="s">
        <v>1763</v>
      </c>
      <c r="B211" s="2528"/>
      <c r="C211" s="2529"/>
      <c r="D211" s="2530">
        <f>(D205+D206+D207)-D210</f>
        <v>1770114</v>
      </c>
      <c r="E211" s="2535"/>
      <c r="F211" s="3651" t="s">
        <v>1763</v>
      </c>
      <c r="G211" s="2528"/>
      <c r="H211" s="2529"/>
      <c r="I211" s="2530">
        <f>(I205+I206+I207)-I210</f>
        <v>1751159</v>
      </c>
      <c r="J211" s="4491"/>
    </row>
    <row r="212" spans="1:12" ht="6.75" customHeight="1">
      <c r="A212" s="2539"/>
      <c r="B212" s="2540"/>
      <c r="C212" s="2621"/>
      <c r="D212" s="2535"/>
      <c r="E212" s="2535"/>
      <c r="F212" s="2539"/>
      <c r="G212" s="2540"/>
      <c r="H212" s="2621"/>
      <c r="I212" s="2535"/>
      <c r="J212" s="4491"/>
    </row>
    <row r="213" spans="1:12" ht="12" customHeight="1">
      <c r="A213" s="4487" t="str">
        <f>F203</f>
        <v xml:space="preserve">LƯƠNG THÁNG 02/2025  - ເງິນເດືອນ 02/2025
</v>
      </c>
      <c r="B213" s="4488"/>
      <c r="C213" s="4488"/>
      <c r="D213" s="4489"/>
      <c r="E213" s="2535"/>
      <c r="F213" s="4487" t="str">
        <f>F203</f>
        <v xml:space="preserve">LƯƠNG THÁNG 02/2025  - ເງິນເດືອນ 02/2025
</v>
      </c>
      <c r="G213" s="4488"/>
      <c r="H213" s="4488"/>
      <c r="I213" s="4489"/>
      <c r="J213" s="4491"/>
    </row>
    <row r="214" spans="1:12" ht="12" customHeight="1">
      <c r="A214" s="3648" t="s">
        <v>1758</v>
      </c>
      <c r="B214" s="4492" t="str">
        <f>'BẢNG LƯƠNG KT'!C60</f>
        <v>Nàng May</v>
      </c>
      <c r="C214" s="4493"/>
      <c r="D214" s="2512">
        <v>5</v>
      </c>
      <c r="E214" s="2535"/>
      <c r="F214" s="3648" t="s">
        <v>1758</v>
      </c>
      <c r="G214" s="4490" t="str">
        <f>'BẢNG LƯƠNG KT'!C61</f>
        <v>Thảo Bênh</v>
      </c>
      <c r="H214" s="4490"/>
      <c r="I214" s="2622">
        <v>6</v>
      </c>
      <c r="J214" s="4491"/>
      <c r="K214" s="2682"/>
    </row>
    <row r="215" spans="1:12" ht="12" customHeight="1">
      <c r="A215" s="3649" t="s">
        <v>1759</v>
      </c>
      <c r="B215" s="2514"/>
      <c r="C215" s="2515">
        <f>'BẢNG LƯƠNG KT'!G60</f>
        <v>0</v>
      </c>
      <c r="D215" s="2516">
        <f>C215*25000</f>
        <v>0</v>
      </c>
      <c r="E215" s="2540"/>
      <c r="F215" s="3649" t="s">
        <v>1759</v>
      </c>
      <c r="G215" s="2514"/>
      <c r="H215" s="2515">
        <f>'BẢNG LƯƠNG KT'!G61</f>
        <v>0</v>
      </c>
      <c r="I215" s="2516">
        <f>H215*25000</f>
        <v>0</v>
      </c>
      <c r="J215" s="4491"/>
    </row>
    <row r="216" spans="1:12" ht="12" customHeight="1">
      <c r="A216" s="3650" t="s">
        <v>1760</v>
      </c>
      <c r="B216" s="2519"/>
      <c r="C216" s="2520">
        <f>'BẢNG LƯƠNG KT'!M60+'BẢNG LƯƠNG KT'!N60</f>
        <v>17</v>
      </c>
      <c r="D216" s="2521">
        <f>'BẢNG LƯƠNG KT'!S60</f>
        <v>1394348</v>
      </c>
      <c r="E216" s="2540"/>
      <c r="F216" s="3650" t="s">
        <v>1760</v>
      </c>
      <c r="G216" s="2519"/>
      <c r="H216" s="2520">
        <f>'BẢNG LƯƠNG KT'!M61+'BẢNG LƯƠNG KT'!N61</f>
        <v>17</v>
      </c>
      <c r="I216" s="2521">
        <f>'BẢNG LƯƠNG KT'!S61</f>
        <v>1394348</v>
      </c>
      <c r="J216" s="4491"/>
      <c r="K216" s="2682"/>
    </row>
    <row r="217" spans="1:12" ht="12" customHeight="1">
      <c r="A217" s="2518" t="s">
        <v>1747</v>
      </c>
      <c r="B217" s="2519"/>
      <c r="C217" s="2520">
        <f>'BẢNG LƯƠNG KT'!J60</f>
        <v>44.719335740072204</v>
      </c>
      <c r="D217" s="2521">
        <f>'BẢNG LƯƠNG KT'!L60</f>
        <v>167606</v>
      </c>
      <c r="E217" s="2621"/>
      <c r="F217" s="2518" t="s">
        <v>1747</v>
      </c>
      <c r="G217" s="2519"/>
      <c r="H217" s="2520">
        <f>'BẢNG LƯƠNG KT'!J61</f>
        <v>45.251708784596865</v>
      </c>
      <c r="I217" s="2521">
        <f>'BẢNG LƯƠNG KT'!L61</f>
        <v>178374</v>
      </c>
      <c r="J217" s="4491"/>
    </row>
    <row r="218" spans="1:12" ht="12" customHeight="1">
      <c r="A218" s="2926" t="s">
        <v>1748</v>
      </c>
      <c r="B218" s="2519"/>
      <c r="C218" s="2519"/>
      <c r="D218" s="2523"/>
      <c r="E218" s="2541"/>
      <c r="F218" s="2926" t="s">
        <v>1748</v>
      </c>
      <c r="G218" s="2519"/>
      <c r="H218" s="2519"/>
      <c r="I218" s="2523"/>
      <c r="J218" s="2620"/>
    </row>
    <row r="219" spans="1:12" ht="12" customHeight="1">
      <c r="A219" s="3652" t="s">
        <v>1761</v>
      </c>
      <c r="B219" s="2519"/>
      <c r="C219" s="2519"/>
      <c r="D219" s="2523"/>
      <c r="E219" s="2540"/>
      <c r="F219" s="3652" t="s">
        <v>1761</v>
      </c>
      <c r="G219" s="2519"/>
      <c r="H219" s="2519"/>
      <c r="I219" s="2523"/>
      <c r="J219" s="4491"/>
      <c r="L219" s="2682"/>
    </row>
    <row r="220" spans="1:12" ht="12" customHeight="1">
      <c r="A220" s="3650" t="s">
        <v>1762</v>
      </c>
      <c r="B220" s="2519"/>
      <c r="C220" s="2526"/>
      <c r="D220" s="2521">
        <f>SUM(D219)</f>
        <v>0</v>
      </c>
      <c r="E220" s="2621"/>
      <c r="F220" s="3650" t="s">
        <v>1762</v>
      </c>
      <c r="G220" s="2519"/>
      <c r="H220" s="2526"/>
      <c r="I220" s="2521">
        <f>SUM(I219)</f>
        <v>0</v>
      </c>
      <c r="J220" s="4491"/>
    </row>
    <row r="221" spans="1:12" ht="12" customHeight="1">
      <c r="A221" s="3651" t="s">
        <v>1763</v>
      </c>
      <c r="B221" s="2528"/>
      <c r="C221" s="2529"/>
      <c r="D221" s="2530">
        <f>(D215+D216+D217)-D220</f>
        <v>1561954</v>
      </c>
      <c r="E221" s="2538"/>
      <c r="F221" s="3651" t="s">
        <v>1763</v>
      </c>
      <c r="G221" s="2528"/>
      <c r="H221" s="2529"/>
      <c r="I221" s="2530">
        <f>(I215+I216+I217)-I220</f>
        <v>1572722</v>
      </c>
      <c r="J221" s="4491"/>
    </row>
    <row r="222" spans="1:12" ht="8.25" customHeight="1">
      <c r="A222" s="2535"/>
      <c r="B222" s="2540"/>
      <c r="C222" s="2540"/>
      <c r="D222" s="2540"/>
      <c r="E222" s="2540"/>
      <c r="F222" s="2535"/>
      <c r="G222" s="2540"/>
      <c r="H222" s="2540"/>
      <c r="I222" s="2540"/>
      <c r="J222" s="4491"/>
    </row>
    <row r="223" spans="1:12" ht="12" customHeight="1">
      <c r="A223" s="4487" t="str">
        <f>F213</f>
        <v xml:space="preserve">LƯƠNG THÁNG 02/2025  - ເງິນເດືອນ 02/2025
</v>
      </c>
      <c r="B223" s="4488"/>
      <c r="C223" s="4488"/>
      <c r="D223" s="4489"/>
      <c r="E223" s="2621"/>
      <c r="F223" s="4487" t="str">
        <f>F213</f>
        <v xml:space="preserve">LƯƠNG THÁNG 02/2025  - ເງິນເດືອນ 02/2025
</v>
      </c>
      <c r="G223" s="4488"/>
      <c r="H223" s="4488"/>
      <c r="I223" s="4489"/>
      <c r="J223" s="4491"/>
    </row>
    <row r="224" spans="1:12" ht="12" customHeight="1">
      <c r="A224" s="3648" t="s">
        <v>1758</v>
      </c>
      <c r="B224" s="4490" t="str">
        <f>'BẢNG LƯƠNG KT'!C62</f>
        <v>Thảo Đinh</v>
      </c>
      <c r="C224" s="4490"/>
      <c r="D224" s="2622">
        <v>7</v>
      </c>
      <c r="E224" s="2541"/>
      <c r="F224" s="3648" t="s">
        <v>1758</v>
      </c>
      <c r="G224" s="4490" t="str">
        <f>'BẢNG LƯƠNG KT'!C63</f>
        <v>Thảo Vi</v>
      </c>
      <c r="H224" s="4490"/>
      <c r="I224" s="2622">
        <v>8</v>
      </c>
      <c r="J224" s="4491"/>
    </row>
    <row r="225" spans="1:10" ht="12" customHeight="1">
      <c r="A225" s="3649" t="s">
        <v>1759</v>
      </c>
      <c r="B225" s="2514"/>
      <c r="C225" s="2515">
        <f>'BẢNG LƯƠNG KT'!G62</f>
        <v>0</v>
      </c>
      <c r="D225" s="2516">
        <f>C225*25000</f>
        <v>0</v>
      </c>
      <c r="E225" s="2541"/>
      <c r="F225" s="3649" t="s">
        <v>1759</v>
      </c>
      <c r="G225" s="2514"/>
      <c r="H225" s="2515">
        <f>'BẢNG LƯƠNG KT'!G63</f>
        <v>0</v>
      </c>
      <c r="I225" s="2516">
        <f>H225*25000</f>
        <v>0</v>
      </c>
      <c r="J225" s="2620"/>
    </row>
    <row r="226" spans="1:10" ht="12" customHeight="1">
      <c r="A226" s="3650" t="s">
        <v>1760</v>
      </c>
      <c r="B226" s="2519"/>
      <c r="C226" s="2684">
        <f>'BẢNG LƯƠNG KT'!M62+'BẢNG LƯƠNG KT'!N61</f>
        <v>22</v>
      </c>
      <c r="D226" s="2685">
        <f>'BẢNG LƯƠNG KT'!S62</f>
        <v>1786372</v>
      </c>
      <c r="E226" s="2540"/>
      <c r="F226" s="3650" t="s">
        <v>1760</v>
      </c>
      <c r="G226" s="2519"/>
      <c r="H226" s="2520">
        <f>'BẢNG LƯƠNG KT'!M63+'BẢNG LƯƠNG KT'!N63</f>
        <v>16</v>
      </c>
      <c r="I226" s="2521">
        <f>'BẢNG LƯƠNG KT'!S63</f>
        <v>1323917</v>
      </c>
      <c r="J226" s="4491"/>
    </row>
    <row r="227" spans="1:10" ht="12" customHeight="1">
      <c r="A227" s="2518" t="s">
        <v>1747</v>
      </c>
      <c r="B227" s="2519"/>
      <c r="C227" s="2520">
        <f>'BẢNG LƯƠNG KT'!J62</f>
        <v>135.22275330926593</v>
      </c>
      <c r="D227" s="2521">
        <f>'BẢNG LƯƠNG KT'!L62</f>
        <v>533024</v>
      </c>
      <c r="E227" s="2621"/>
      <c r="F227" s="2518" t="s">
        <v>1747</v>
      </c>
      <c r="G227" s="2519"/>
      <c r="H227" s="2520">
        <f>'BẢNG LƯƠNG KT'!J63</f>
        <v>53.769677496991569</v>
      </c>
      <c r="I227" s="2521">
        <f>'BẢNG LƯƠNG KT'!L63</f>
        <v>201527</v>
      </c>
      <c r="J227" s="4491"/>
    </row>
    <row r="228" spans="1:10" ht="12" customHeight="1">
      <c r="A228" s="2926" t="s">
        <v>1748</v>
      </c>
      <c r="B228" s="2519"/>
      <c r="C228" s="2519"/>
      <c r="D228" s="2523"/>
      <c r="E228" s="2535"/>
      <c r="F228" s="2926" t="s">
        <v>1748</v>
      </c>
      <c r="G228" s="2519"/>
      <c r="H228" s="2519"/>
      <c r="I228" s="2523"/>
      <c r="J228" s="4491"/>
    </row>
    <row r="229" spans="1:10" ht="12" customHeight="1">
      <c r="A229" s="3652" t="s">
        <v>1761</v>
      </c>
      <c r="B229" s="2519"/>
      <c r="C229" s="2519"/>
      <c r="D229" s="2523"/>
      <c r="E229" s="2535"/>
      <c r="F229" s="3652" t="s">
        <v>1761</v>
      </c>
      <c r="G229" s="2519"/>
      <c r="H229" s="2519"/>
      <c r="I229" s="2523"/>
      <c r="J229" s="4491"/>
    </row>
    <row r="230" spans="1:10" ht="12" customHeight="1">
      <c r="A230" s="3650" t="s">
        <v>1762</v>
      </c>
      <c r="B230" s="2519"/>
      <c r="C230" s="2526"/>
      <c r="D230" s="2521">
        <f>SUM(D229)</f>
        <v>0</v>
      </c>
      <c r="E230" s="2535"/>
      <c r="F230" s="3650" t="s">
        <v>1762</v>
      </c>
      <c r="G230" s="2519"/>
      <c r="H230" s="2526"/>
      <c r="I230" s="2521">
        <f>SUM(I229)</f>
        <v>0</v>
      </c>
      <c r="J230" s="4491"/>
    </row>
    <row r="231" spans="1:10" ht="12" customHeight="1">
      <c r="A231" s="3651" t="s">
        <v>1763</v>
      </c>
      <c r="B231" s="2528"/>
      <c r="C231" s="2529"/>
      <c r="D231" s="2530">
        <f>(D225+D226+D227)-D230</f>
        <v>2319396</v>
      </c>
      <c r="E231" s="2535"/>
      <c r="F231" s="3651" t="s">
        <v>1763</v>
      </c>
      <c r="G231" s="2528"/>
      <c r="H231" s="2529"/>
      <c r="I231" s="2530">
        <f>(I225+I226+I227)-I230</f>
        <v>1525444</v>
      </c>
      <c r="J231" s="4491"/>
    </row>
    <row r="232" spans="1:10" ht="12" customHeight="1">
      <c r="A232" s="2540"/>
      <c r="B232" s="2540"/>
      <c r="C232" s="2540"/>
      <c r="D232" s="2540"/>
      <c r="E232" s="2540"/>
      <c r="F232" s="2540"/>
      <c r="G232" s="2540"/>
      <c r="H232" s="2540"/>
      <c r="I232" s="2540"/>
      <c r="J232" s="4491"/>
    </row>
    <row r="233" spans="1:10" ht="12" customHeight="1">
      <c r="A233" s="4487" t="str">
        <f>F223</f>
        <v xml:space="preserve">LƯƠNG THÁNG 02/2025  - ເງິນເດືອນ 02/2025
</v>
      </c>
      <c r="B233" s="4488"/>
      <c r="C233" s="4488"/>
      <c r="D233" s="4489"/>
      <c r="E233" s="2621"/>
      <c r="F233" s="4487" t="str">
        <f>A233</f>
        <v xml:space="preserve">LƯƠNG THÁNG 02/2025  - ເງິນເດືອນ 02/2025
</v>
      </c>
      <c r="G233" s="4488"/>
      <c r="H233" s="4488"/>
      <c r="I233" s="4489"/>
      <c r="J233" s="4491"/>
    </row>
    <row r="234" spans="1:10" ht="12" customHeight="1">
      <c r="A234" s="3648" t="s">
        <v>1758</v>
      </c>
      <c r="B234" s="4490" t="str">
        <f>'BẢNG LƯƠNG KT'!C64</f>
        <v>Thảo Văn</v>
      </c>
      <c r="C234" s="4490"/>
      <c r="D234" s="2622">
        <v>9</v>
      </c>
      <c r="E234" s="2538"/>
      <c r="F234" s="3648" t="s">
        <v>1758</v>
      </c>
      <c r="G234" s="4492" t="str">
        <f>'BẢNG LƯƠNG KT'!C65</f>
        <v>Nàng Phìn</v>
      </c>
      <c r="H234" s="4498"/>
      <c r="I234" s="2622">
        <v>10</v>
      </c>
      <c r="J234" s="4491"/>
    </row>
    <row r="235" spans="1:10" ht="12" customHeight="1">
      <c r="A235" s="3649" t="s">
        <v>1759</v>
      </c>
      <c r="B235" s="2514"/>
      <c r="C235" s="2515">
        <f>'BẢNG LƯƠNG KT'!G64</f>
        <v>0</v>
      </c>
      <c r="D235" s="2516">
        <f>C235*25000</f>
        <v>0</v>
      </c>
      <c r="E235" s="2535"/>
      <c r="F235" s="3649" t="s">
        <v>1759</v>
      </c>
      <c r="G235" s="2514"/>
      <c r="H235" s="2515">
        <f>'BẢNG LƯƠNG KT'!G65</f>
        <v>0</v>
      </c>
      <c r="I235" s="2516">
        <f>H235*25000</f>
        <v>0</v>
      </c>
      <c r="J235" s="4491"/>
    </row>
    <row r="236" spans="1:10" ht="12" customHeight="1">
      <c r="A236" s="3650" t="s">
        <v>1760</v>
      </c>
      <c r="B236" s="2519"/>
      <c r="C236" s="2520">
        <f>'BẢNG LƯƠNG KT'!M64+'BẢNG LƯƠNG KT'!N64</f>
        <v>22</v>
      </c>
      <c r="D236" s="2521">
        <f>'BẢNG LƯƠNG KT'!S64</f>
        <v>1645510</v>
      </c>
      <c r="E236" s="2535"/>
      <c r="F236" s="3650" t="s">
        <v>1760</v>
      </c>
      <c r="G236" s="2519"/>
      <c r="H236" s="2520">
        <f>'BẢNG LƯƠNG KT'!M65+'BẢNG LƯƠNG KT'!N65</f>
        <v>19</v>
      </c>
      <c r="I236" s="2521">
        <f>'BẢNG LƯƠNG KT'!S65</f>
        <v>1494813</v>
      </c>
      <c r="J236" s="4491"/>
    </row>
    <row r="237" spans="1:10" ht="12" customHeight="1">
      <c r="A237" s="2518" t="s">
        <v>1747</v>
      </c>
      <c r="B237" s="2519"/>
      <c r="C237" s="2520">
        <f>'BẢNG LƯƠNG KT'!J64</f>
        <v>128.83427677496991</v>
      </c>
      <c r="D237" s="2521">
        <f>'BẢNG LƯƠNG KT'!L64</f>
        <v>482866</v>
      </c>
      <c r="E237" s="2535"/>
      <c r="F237" s="2518" t="s">
        <v>1747</v>
      </c>
      <c r="G237" s="2519"/>
      <c r="H237" s="2520">
        <f>'BẢNG LƯƠNG KT'!J65</f>
        <v>123.51054632972323</v>
      </c>
      <c r="I237" s="2521">
        <f>'BẢNG LƯƠNG KT'!L65</f>
        <v>486856</v>
      </c>
      <c r="J237" s="4491"/>
    </row>
    <row r="238" spans="1:10" ht="12" customHeight="1">
      <c r="A238" s="2926" t="s">
        <v>1748</v>
      </c>
      <c r="B238" s="2519"/>
      <c r="C238" s="2519"/>
      <c r="D238" s="2523"/>
      <c r="E238" s="2540"/>
      <c r="F238" s="2926" t="s">
        <v>1748</v>
      </c>
      <c r="G238" s="2519"/>
      <c r="H238" s="2519"/>
      <c r="I238" s="2523"/>
      <c r="J238" s="4491"/>
    </row>
    <row r="239" spans="1:10" ht="12" customHeight="1">
      <c r="A239" s="3652" t="s">
        <v>1761</v>
      </c>
      <c r="B239" s="2519"/>
      <c r="C239" s="2519"/>
      <c r="D239" s="2523"/>
      <c r="E239" s="2540"/>
      <c r="F239" s="3652" t="s">
        <v>1761</v>
      </c>
      <c r="G239" s="2519"/>
      <c r="H239" s="2519"/>
      <c r="I239" s="2523"/>
      <c r="J239" s="4491"/>
    </row>
    <row r="240" spans="1:10" ht="12" customHeight="1">
      <c r="A240" s="3650" t="s">
        <v>1762</v>
      </c>
      <c r="B240" s="2519"/>
      <c r="C240" s="2526"/>
      <c r="D240" s="2521">
        <f>SUM(D239)</f>
        <v>0</v>
      </c>
      <c r="E240" s="2621"/>
      <c r="F240" s="3650" t="s">
        <v>1762</v>
      </c>
      <c r="G240" s="2519"/>
      <c r="H240" s="2526"/>
      <c r="I240" s="2521">
        <f>SUM(I239)</f>
        <v>0</v>
      </c>
      <c r="J240" s="4491"/>
    </row>
    <row r="241" spans="1:10" ht="12" customHeight="1">
      <c r="A241" s="3651" t="s">
        <v>1763</v>
      </c>
      <c r="B241" s="2528"/>
      <c r="C241" s="2529"/>
      <c r="D241" s="2530">
        <f>(D235+D236+D237)-D240</f>
        <v>2128376</v>
      </c>
      <c r="E241" s="2541"/>
      <c r="F241" s="3651" t="s">
        <v>1763</v>
      </c>
      <c r="G241" s="2528"/>
      <c r="H241" s="2529"/>
      <c r="I241" s="2530">
        <f>(I235+I236+I237)-I240</f>
        <v>1981669</v>
      </c>
      <c r="J241" s="4491"/>
    </row>
    <row r="242" spans="1:10" ht="12" customHeight="1">
      <c r="A242" s="2539"/>
      <c r="B242" s="2540"/>
      <c r="C242" s="2621"/>
      <c r="D242" s="2535"/>
      <c r="E242" s="2535"/>
      <c r="F242" s="2539"/>
      <c r="G242" s="2540"/>
      <c r="H242" s="2621"/>
      <c r="I242" s="2535"/>
      <c r="J242" s="4491"/>
    </row>
    <row r="243" spans="1:10" ht="12" customHeight="1">
      <c r="A243" s="4487" t="str">
        <f>F233</f>
        <v xml:space="preserve">LƯƠNG THÁNG 02/2025  - ເງິນເດືອນ 02/2025
</v>
      </c>
      <c r="B243" s="4488"/>
      <c r="C243" s="4488"/>
      <c r="D243" s="4489"/>
      <c r="E243" s="2535"/>
      <c r="F243" s="4487" t="str">
        <f>A243</f>
        <v xml:space="preserve">LƯƠNG THÁNG 02/2025  - ເງິນເດືອນ 02/2025
</v>
      </c>
      <c r="G243" s="4488"/>
      <c r="H243" s="4488"/>
      <c r="I243" s="4489"/>
      <c r="J243" s="4491"/>
    </row>
    <row r="244" spans="1:10" ht="12" customHeight="1">
      <c r="A244" s="3648" t="s">
        <v>1758</v>
      </c>
      <c r="B244" s="4490" t="str">
        <f>'BẢNG LƯƠNG KT'!C66</f>
        <v>Mẹ Sột</v>
      </c>
      <c r="C244" s="4490"/>
      <c r="D244" s="2622">
        <v>11</v>
      </c>
      <c r="E244" s="2540"/>
      <c r="F244" s="3648" t="s">
        <v>1758</v>
      </c>
      <c r="G244" s="4490" t="str">
        <f>'BẢNG LƯƠNG KT'!C67</f>
        <v>Nàng Heo</v>
      </c>
      <c r="H244" s="4490"/>
      <c r="I244" s="2622">
        <v>12</v>
      </c>
      <c r="J244" s="4491"/>
    </row>
    <row r="245" spans="1:10" ht="12" customHeight="1">
      <c r="A245" s="3649" t="s">
        <v>1759</v>
      </c>
      <c r="B245" s="2514"/>
      <c r="C245" s="2515">
        <f>'BẢNG LƯƠNG KT'!G66</f>
        <v>0</v>
      </c>
      <c r="D245" s="2516">
        <f>C245*25000</f>
        <v>0</v>
      </c>
      <c r="E245" s="2540"/>
      <c r="F245" s="3649" t="s">
        <v>1759</v>
      </c>
      <c r="G245" s="2514"/>
      <c r="H245" s="2515">
        <f>'BẢNG LƯƠNG KT'!G67</f>
        <v>0</v>
      </c>
      <c r="I245" s="2516">
        <f>H245*25000</f>
        <v>0</v>
      </c>
      <c r="J245" s="4491"/>
    </row>
    <row r="246" spans="1:10" ht="12" customHeight="1">
      <c r="A246" s="3650" t="s">
        <v>1760</v>
      </c>
      <c r="B246" s="2519"/>
      <c r="C246" s="2520">
        <f>'BẢNG LƯƠNG KT'!M66+'BẢNG LƯƠNG KT'!N66</f>
        <v>19</v>
      </c>
      <c r="D246" s="2521">
        <f>'BẢNG LƯƠNG KT'!S66</f>
        <v>1494813</v>
      </c>
      <c r="E246" s="2621"/>
      <c r="F246" s="3650" t="s">
        <v>1760</v>
      </c>
      <c r="G246" s="2519"/>
      <c r="H246" s="2520">
        <f>'BẢNG LƯƠNG KT'!M67+'BẢNG LƯƠNG KT'!N67</f>
        <v>16</v>
      </c>
      <c r="I246" s="2521">
        <f>'BẢNG LƯƠNG KT'!S67</f>
        <v>1323917</v>
      </c>
      <c r="J246" s="4491"/>
    </row>
    <row r="247" spans="1:10" ht="12" customHeight="1">
      <c r="A247" s="2518" t="s">
        <v>1747</v>
      </c>
      <c r="B247" s="2519"/>
      <c r="C247" s="2520">
        <f>'BẢNG LƯƠNG KT'!J66</f>
        <v>114.99257761732849</v>
      </c>
      <c r="D247" s="2521">
        <f>'BẢNG LƯƠNG KT'!L66</f>
        <v>408695</v>
      </c>
      <c r="E247" s="2541"/>
      <c r="F247" s="2518" t="s">
        <v>1747</v>
      </c>
      <c r="G247" s="2519"/>
      <c r="H247" s="2520">
        <f>'BẢNG LƯƠNG KT'!J67</f>
        <v>54.302050541516238</v>
      </c>
      <c r="I247" s="2521">
        <f>'BẢNG LƯƠNG KT'!L67</f>
        <v>214049</v>
      </c>
      <c r="J247" s="4491"/>
    </row>
    <row r="248" spans="1:10" ht="12" customHeight="1">
      <c r="A248" s="2926" t="s">
        <v>1748</v>
      </c>
      <c r="B248" s="2519"/>
      <c r="C248" s="2519"/>
      <c r="D248" s="2523"/>
      <c r="E248" s="2541"/>
      <c r="F248" s="2926" t="s">
        <v>1748</v>
      </c>
      <c r="G248" s="2519"/>
      <c r="H248" s="2519"/>
      <c r="I248" s="2523"/>
      <c r="J248" s="2620"/>
    </row>
    <row r="249" spans="1:10" ht="12" customHeight="1">
      <c r="A249" s="3652" t="s">
        <v>1761</v>
      </c>
      <c r="B249" s="2519"/>
      <c r="C249" s="2519"/>
      <c r="D249" s="2523"/>
      <c r="E249" s="2541"/>
      <c r="F249" s="3652" t="s">
        <v>1761</v>
      </c>
      <c r="G249" s="2519"/>
      <c r="H249" s="2519"/>
      <c r="I249" s="2523"/>
      <c r="J249" s="2620"/>
    </row>
    <row r="250" spans="1:10" ht="12" customHeight="1">
      <c r="A250" s="3650" t="s">
        <v>1762</v>
      </c>
      <c r="B250" s="2519"/>
      <c r="C250" s="2526"/>
      <c r="D250" s="2521">
        <f>SUM(D249)</f>
        <v>0</v>
      </c>
      <c r="E250" s="2541"/>
      <c r="F250" s="3650" t="s">
        <v>1762</v>
      </c>
      <c r="G250" s="2519"/>
      <c r="H250" s="2526"/>
      <c r="I250" s="2521">
        <f>SUM(I249)</f>
        <v>0</v>
      </c>
      <c r="J250" s="2620"/>
    </row>
    <row r="251" spans="1:10" ht="12" customHeight="1">
      <c r="A251" s="3651" t="s">
        <v>1763</v>
      </c>
      <c r="B251" s="2528"/>
      <c r="C251" s="2529"/>
      <c r="D251" s="2530">
        <f>(D245+D246+D247)-D250</f>
        <v>1903508</v>
      </c>
      <c r="E251" s="2541"/>
      <c r="F251" s="3651" t="s">
        <v>1763</v>
      </c>
      <c r="G251" s="2528"/>
      <c r="H251" s="2529"/>
      <c r="I251" s="2530">
        <f>(I245+I246+I247)-I250</f>
        <v>1537966</v>
      </c>
      <c r="J251" s="2620"/>
    </row>
    <row r="252" spans="1:10" ht="67.5" customHeight="1">
      <c r="A252" s="3653"/>
      <c r="B252" s="2549"/>
      <c r="C252" s="2550"/>
      <c r="D252" s="2541"/>
      <c r="E252" s="2541"/>
      <c r="F252" s="3653"/>
      <c r="G252" s="2549"/>
      <c r="H252" s="2550"/>
      <c r="I252" s="2541"/>
      <c r="J252" s="3643"/>
    </row>
    <row r="253" spans="1:10" ht="35.25" customHeight="1">
      <c r="A253" s="2539"/>
      <c r="B253" s="2540"/>
      <c r="C253" s="2621"/>
      <c r="D253" s="2535"/>
      <c r="E253" s="2535"/>
      <c r="F253" s="2539"/>
      <c r="G253" s="2540"/>
      <c r="H253" s="2621"/>
      <c r="I253" s="2535"/>
      <c r="J253" s="4497"/>
    </row>
    <row r="254" spans="1:10" ht="12" customHeight="1">
      <c r="A254" s="4487" t="str">
        <f>F243</f>
        <v xml:space="preserve">LƯƠNG THÁNG 02/2025  - ເງິນເດືອນ 02/2025
</v>
      </c>
      <c r="B254" s="4488"/>
      <c r="C254" s="4488"/>
      <c r="D254" s="4489"/>
      <c r="E254" s="2535"/>
      <c r="F254" s="4487" t="str">
        <f>A254</f>
        <v xml:space="preserve">LƯƠNG THÁNG 02/2025  - ເງິນເດືອນ 02/2025
</v>
      </c>
      <c r="G254" s="4488"/>
      <c r="H254" s="4488"/>
      <c r="I254" s="4489"/>
      <c r="J254" s="4497"/>
    </row>
    <row r="255" spans="1:10" ht="12" customHeight="1">
      <c r="A255" s="3648" t="s">
        <v>1758</v>
      </c>
      <c r="B255" s="4490" t="str">
        <f>'BẢNG LƯƠNG KT'!C68</f>
        <v>Thảo Chăn Ti</v>
      </c>
      <c r="C255" s="4490"/>
      <c r="D255" s="2622">
        <v>13</v>
      </c>
      <c r="E255" s="2540"/>
      <c r="F255" s="3648" t="s">
        <v>1758</v>
      </c>
      <c r="G255" s="4490" t="str">
        <f>'BẢNG LƯƠNG KT'!C69</f>
        <v>Nàng Ve</v>
      </c>
      <c r="H255" s="4490"/>
      <c r="I255" s="2622">
        <v>14</v>
      </c>
      <c r="J255" s="4497"/>
    </row>
    <row r="256" spans="1:10" ht="12" customHeight="1">
      <c r="A256" s="3649" t="s">
        <v>1759</v>
      </c>
      <c r="B256" s="2514"/>
      <c r="C256" s="2515">
        <f>'BẢNG LƯƠNG KT'!G68</f>
        <v>0</v>
      </c>
      <c r="D256" s="2516">
        <f>C256*25000</f>
        <v>0</v>
      </c>
      <c r="E256" s="2540"/>
      <c r="F256" s="3649" t="s">
        <v>1759</v>
      </c>
      <c r="G256" s="2514"/>
      <c r="H256" s="2515">
        <f>'BẢNG LƯƠNG KT'!G69</f>
        <v>0</v>
      </c>
      <c r="I256" s="2516">
        <f>H256*25000</f>
        <v>0</v>
      </c>
      <c r="J256" s="4497"/>
    </row>
    <row r="257" spans="1:10" ht="12" customHeight="1">
      <c r="A257" s="3650" t="s">
        <v>1760</v>
      </c>
      <c r="B257" s="2519"/>
      <c r="C257" s="2520">
        <f>'BẢNG LƯƠNG KT'!M68+'BẢNG LƯƠNG KT'!N68</f>
        <v>13</v>
      </c>
      <c r="D257" s="2521">
        <f>'BẢNG LƯƠNG KT'!S68</f>
        <v>1173220</v>
      </c>
      <c r="E257" s="2621"/>
      <c r="F257" s="3650" t="s">
        <v>1760</v>
      </c>
      <c r="G257" s="2519"/>
      <c r="H257" s="2520">
        <f>'BẢNG LƯƠNG KT'!M69+'BẢNG LƯƠNG KT'!N69</f>
        <v>18</v>
      </c>
      <c r="I257" s="2521">
        <f>'BẢNG LƯƠNG KT'!S69</f>
        <v>1444580</v>
      </c>
      <c r="J257" s="4497"/>
    </row>
    <row r="258" spans="1:10" ht="12" customHeight="1">
      <c r="A258" s="2518" t="s">
        <v>1747</v>
      </c>
      <c r="B258" s="2519"/>
      <c r="C258" s="2520">
        <f>'BẢNG LƯƠNG KT'!J68</f>
        <v>37.798486161251496</v>
      </c>
      <c r="D258" s="2521">
        <f>'BẢNG LƯƠNG KT'!L68</f>
        <v>141667</v>
      </c>
      <c r="E258" s="2541"/>
      <c r="F258" s="2518" t="s">
        <v>1747</v>
      </c>
      <c r="G258" s="2519"/>
      <c r="H258" s="2520">
        <f>'BẢNG LƯƠNG KT'!J69</f>
        <v>124.57529241877255</v>
      </c>
      <c r="I258" s="2521">
        <f>'BẢNG LƯƠNG KT'!L69</f>
        <v>466903</v>
      </c>
      <c r="J258" s="4497"/>
    </row>
    <row r="259" spans="1:10" ht="12" customHeight="1">
      <c r="A259" s="2926" t="s">
        <v>1748</v>
      </c>
      <c r="B259" s="2519"/>
      <c r="C259" s="2519"/>
      <c r="D259" s="2523"/>
      <c r="E259" s="2541"/>
      <c r="F259" s="2926" t="s">
        <v>1748</v>
      </c>
      <c r="G259" s="2519"/>
      <c r="H259" s="2519"/>
      <c r="I259" s="2523"/>
      <c r="J259" s="2620"/>
    </row>
    <row r="260" spans="1:10" ht="12" customHeight="1">
      <c r="A260" s="3652" t="s">
        <v>1761</v>
      </c>
      <c r="B260" s="2519"/>
      <c r="C260" s="2519"/>
      <c r="D260" s="2523"/>
      <c r="E260" s="2621"/>
      <c r="F260" s="3652" t="s">
        <v>1761</v>
      </c>
      <c r="G260" s="2519"/>
      <c r="H260" s="2519"/>
      <c r="I260" s="2523"/>
      <c r="J260" s="4491"/>
    </row>
    <row r="261" spans="1:10" ht="12" customHeight="1">
      <c r="A261" s="3650" t="s">
        <v>1762</v>
      </c>
      <c r="B261" s="2519"/>
      <c r="C261" s="2526"/>
      <c r="D261" s="2521">
        <f>SUM(D260)</f>
        <v>0</v>
      </c>
      <c r="E261" s="2538"/>
      <c r="F261" s="3650" t="s">
        <v>1762</v>
      </c>
      <c r="G261" s="2519"/>
      <c r="H261" s="2526"/>
      <c r="I261" s="2521">
        <f>SUM(I260)</f>
        <v>0</v>
      </c>
      <c r="J261" s="4491"/>
    </row>
    <row r="262" spans="1:10" ht="12" customHeight="1">
      <c r="A262" s="3651" t="s">
        <v>1763</v>
      </c>
      <c r="B262" s="2528"/>
      <c r="C262" s="2529"/>
      <c r="D262" s="2530">
        <f>(D256+D257+D258)-D261</f>
        <v>1314887</v>
      </c>
      <c r="E262" s="2535"/>
      <c r="F262" s="3651" t="s">
        <v>1763</v>
      </c>
      <c r="G262" s="2528"/>
      <c r="H262" s="2529"/>
      <c r="I262" s="2530">
        <f>(I256+I257+I258)-I261</f>
        <v>1911483</v>
      </c>
      <c r="J262" s="4491"/>
    </row>
    <row r="263" spans="1:10" ht="21.75" customHeight="1">
      <c r="A263" s="2543"/>
      <c r="B263" s="2540"/>
      <c r="C263" s="2540"/>
      <c r="D263" s="2540"/>
      <c r="E263" s="2621"/>
      <c r="F263" s="2543"/>
      <c r="G263" s="2540"/>
      <c r="H263" s="2540"/>
      <c r="I263" s="2540"/>
      <c r="J263" s="4491"/>
    </row>
    <row r="264" spans="1:10" ht="12" customHeight="1">
      <c r="A264" s="4487" t="str">
        <f>F254</f>
        <v xml:space="preserve">LƯƠNG THÁNG 02/2025  - ເງິນເດືອນ 02/2025
</v>
      </c>
      <c r="B264" s="4488"/>
      <c r="C264" s="4488"/>
      <c r="D264" s="4489"/>
      <c r="E264" s="2541"/>
      <c r="F264" s="4487"/>
      <c r="G264" s="4488"/>
      <c r="H264" s="4488"/>
      <c r="I264" s="4489"/>
      <c r="J264" s="4491"/>
    </row>
    <row r="265" spans="1:10" ht="12" customHeight="1">
      <c r="A265" s="3648" t="s">
        <v>1758</v>
      </c>
      <c r="B265" s="4490" t="str">
        <f>'BẢNG LƯƠNG KT'!C70</f>
        <v>Nàng Phết</v>
      </c>
      <c r="C265" s="4490"/>
      <c r="D265" s="2622">
        <v>15</v>
      </c>
      <c r="E265" s="2541"/>
      <c r="F265" s="2511"/>
      <c r="G265" s="4490"/>
      <c r="H265" s="4490"/>
      <c r="I265" s="2622"/>
      <c r="J265" s="4491"/>
    </row>
    <row r="266" spans="1:10" ht="12" customHeight="1">
      <c r="A266" s="3649" t="s">
        <v>1759</v>
      </c>
      <c r="B266" s="2514"/>
      <c r="C266" s="2515">
        <f>'BẢNG LƯƠNG KT'!G70</f>
        <v>0</v>
      </c>
      <c r="D266" s="2516">
        <f>C266*25000</f>
        <v>0</v>
      </c>
      <c r="E266" s="2541"/>
      <c r="F266" s="2513"/>
      <c r="G266" s="2514"/>
      <c r="H266" s="2515"/>
      <c r="I266" s="2516"/>
      <c r="J266" s="4491"/>
    </row>
    <row r="267" spans="1:10" ht="12" customHeight="1">
      <c r="A267" s="3650" t="s">
        <v>1760</v>
      </c>
      <c r="B267" s="2519"/>
      <c r="C267" s="2520">
        <f>'BẢNG LƯƠNG KT'!M70+'BẢNG LƯƠNG KT'!N70</f>
        <v>13</v>
      </c>
      <c r="D267" s="2521">
        <f>'BẢNG LƯƠNG KT'!S70</f>
        <v>1173220</v>
      </c>
      <c r="E267" s="2621"/>
      <c r="F267" s="2518"/>
      <c r="G267" s="2519"/>
      <c r="H267" s="2520"/>
      <c r="I267" s="2521"/>
      <c r="J267" s="4491"/>
    </row>
    <row r="268" spans="1:10" ht="12" customHeight="1">
      <c r="A268" s="2518" t="s">
        <v>1747</v>
      </c>
      <c r="B268" s="2519"/>
      <c r="C268" s="2520">
        <f>'BẢNG LƯƠNG KT'!J70</f>
        <v>38.330859205776171</v>
      </c>
      <c r="D268" s="2521">
        <f>'BẢNG LƯƠNG KT'!L70</f>
        <v>151093</v>
      </c>
      <c r="E268" s="2538"/>
      <c r="F268" s="2518"/>
      <c r="G268" s="2519"/>
      <c r="H268" s="2520"/>
      <c r="I268" s="2521"/>
      <c r="J268" s="4491"/>
    </row>
    <row r="269" spans="1:10" ht="12" customHeight="1">
      <c r="A269" s="2926" t="s">
        <v>1748</v>
      </c>
      <c r="B269" s="2519"/>
      <c r="C269" s="2519"/>
      <c r="D269" s="2523"/>
      <c r="E269" s="2535"/>
      <c r="F269" s="2522"/>
      <c r="G269" s="2519"/>
      <c r="H269" s="2519"/>
      <c r="I269" s="2523"/>
      <c r="J269" s="4491"/>
    </row>
    <row r="270" spans="1:10" ht="12" customHeight="1">
      <c r="A270" s="3652" t="s">
        <v>1761</v>
      </c>
      <c r="B270" s="2519"/>
      <c r="C270" s="2519"/>
      <c r="D270" s="2523"/>
      <c r="E270" s="2535"/>
      <c r="F270" s="2524"/>
      <c r="G270" s="2519"/>
      <c r="H270" s="2519"/>
      <c r="I270" s="2523"/>
      <c r="J270" s="4491"/>
    </row>
    <row r="271" spans="1:10" ht="12" customHeight="1">
      <c r="A271" s="3650" t="s">
        <v>1762</v>
      </c>
      <c r="B271" s="2519"/>
      <c r="C271" s="2526"/>
      <c r="D271" s="2521">
        <f>SUM(D270)</f>
        <v>0</v>
      </c>
      <c r="E271" s="2535"/>
      <c r="F271" s="2525"/>
      <c r="G271" s="2519"/>
      <c r="H271" s="2526"/>
      <c r="I271" s="2521"/>
      <c r="J271" s="4491"/>
    </row>
    <row r="272" spans="1:10" ht="12" customHeight="1">
      <c r="A272" s="3651" t="s">
        <v>1763</v>
      </c>
      <c r="B272" s="2528"/>
      <c r="C272" s="2529"/>
      <c r="D272" s="2530">
        <f>(D266+D267+D268)-D271</f>
        <v>1324313</v>
      </c>
      <c r="E272" s="2540"/>
      <c r="F272" s="2527"/>
      <c r="G272" s="2528"/>
      <c r="H272" s="2529"/>
      <c r="I272" s="2530"/>
      <c r="J272" s="4491"/>
    </row>
    <row r="273" spans="1:12" ht="45" customHeight="1">
      <c r="K273" s="2628" t="s">
        <v>371</v>
      </c>
    </row>
    <row r="274" spans="1:12" ht="12" customHeight="1">
      <c r="A274" s="4487" t="str">
        <f>A264</f>
        <v xml:space="preserve">LƯƠNG THÁNG 02/2025  - ເງິນເດືອນ 02/2025
</v>
      </c>
      <c r="B274" s="4488"/>
      <c r="C274" s="4488"/>
      <c r="D274" s="4489"/>
      <c r="E274" s="2541"/>
      <c r="F274" s="4487" t="str">
        <f>A274</f>
        <v xml:space="preserve">LƯƠNG THÁNG 02/2025  - ເງິນເດືອນ 02/2025
</v>
      </c>
      <c r="G274" s="4488"/>
      <c r="H274" s="4488"/>
      <c r="I274" s="4489"/>
      <c r="K274" s="2683">
        <f>D282+I282+D292+I292+D302+I302+D312+I312+D323+I323+D333+I333+D343+I343+D353+I353+'BẢNG LƯƠNG KT'!V93</f>
        <v>33986621</v>
      </c>
    </row>
    <row r="275" spans="1:12" ht="18" customHeight="1">
      <c r="A275" s="3648" t="s">
        <v>1758</v>
      </c>
      <c r="B275" s="4492" t="str">
        <f>'BẢNG LƯƠNG KT'!C77</f>
        <v>Thảo Bun</v>
      </c>
      <c r="C275" s="4493"/>
      <c r="D275" s="2512">
        <v>1</v>
      </c>
      <c r="E275" s="2623"/>
      <c r="F275" s="3648" t="s">
        <v>1758</v>
      </c>
      <c r="G275" s="4490" t="str">
        <f>'BẢNG LƯƠNG KT'!C78</f>
        <v>Thảo Nga</v>
      </c>
      <c r="H275" s="4490"/>
      <c r="I275" s="2512">
        <v>2</v>
      </c>
    </row>
    <row r="276" spans="1:12" ht="12" customHeight="1">
      <c r="A276" s="3649" t="s">
        <v>1759</v>
      </c>
      <c r="B276" s="2514"/>
      <c r="C276" s="2515">
        <f>'BẢNG LƯƠNG KT'!G77</f>
        <v>0</v>
      </c>
      <c r="D276" s="2624">
        <f>C276*25000</f>
        <v>0</v>
      </c>
      <c r="E276" s="2517"/>
      <c r="F276" s="3649" t="s">
        <v>1759</v>
      </c>
      <c r="G276" s="2514"/>
      <c r="H276" s="2515">
        <f>'BẢNG LƯƠNG KT'!G78</f>
        <v>0</v>
      </c>
      <c r="I276" s="2516">
        <f>H276*25000</f>
        <v>0</v>
      </c>
      <c r="L276" s="3175"/>
    </row>
    <row r="277" spans="1:12" ht="13.5" customHeight="1">
      <c r="A277" s="3650" t="s">
        <v>1760</v>
      </c>
      <c r="B277" s="2519"/>
      <c r="C277" s="2684">
        <f>'BẢNG LƯƠNG KT'!M77+'BẢNG LƯƠNG KT'!N77</f>
        <v>23</v>
      </c>
      <c r="D277" s="2521">
        <f>'BẢNG LƯƠNG KT'!S77</f>
        <v>2800000</v>
      </c>
      <c r="E277" s="2517"/>
      <c r="F277" s="3650" t="s">
        <v>1760</v>
      </c>
      <c r="G277" s="2519"/>
      <c r="H277" s="2520">
        <f>'BẢNG LƯƠNG KT'!M78+'BẢNG LƯƠNG KT'!N78</f>
        <v>18</v>
      </c>
      <c r="I277" s="2521">
        <f>'BẢNG LƯƠNG KT'!S78</f>
        <v>2300000</v>
      </c>
      <c r="L277" s="3232">
        <v>59741414</v>
      </c>
    </row>
    <row r="278" spans="1:12" ht="12" customHeight="1">
      <c r="A278" s="2518" t="s">
        <v>1747</v>
      </c>
      <c r="B278" s="2519"/>
      <c r="C278" s="2520">
        <f>'BẢNG LƯƠNG KT'!J77</f>
        <v>134.48461493411421</v>
      </c>
      <c r="D278" s="2521">
        <f>'BẢNG LƯƠNG KT'!L77</f>
        <v>556185</v>
      </c>
      <c r="E278" s="2517"/>
      <c r="F278" s="2518" t="s">
        <v>1747</v>
      </c>
      <c r="G278" s="2519"/>
      <c r="H278" s="2520">
        <f>'BẢNG LƯƠNG KT'!J78</f>
        <v>116.5944597364568</v>
      </c>
      <c r="I278" s="2521">
        <f>'BẢNG LƯƠNG KT'!L78</f>
        <v>504800</v>
      </c>
    </row>
    <row r="279" spans="1:12" ht="12" customHeight="1">
      <c r="A279" s="2926" t="s">
        <v>1748</v>
      </c>
      <c r="B279" s="2519"/>
      <c r="C279" s="2519"/>
      <c r="D279" s="2523">
        <f>'BẢNG LƯƠNG KT'!T77</f>
        <v>0</v>
      </c>
      <c r="E279" s="2517"/>
      <c r="F279" s="2926" t="s">
        <v>1748</v>
      </c>
      <c r="G279" s="2519"/>
      <c r="H279" s="2519"/>
      <c r="I279" s="2523">
        <f>'BẢNG LƯƠNG KT'!T78</f>
        <v>0</v>
      </c>
      <c r="K279" s="2208"/>
      <c r="L279" s="3175"/>
    </row>
    <row r="280" spans="1:12" ht="12" customHeight="1">
      <c r="A280" s="3652" t="s">
        <v>1761</v>
      </c>
      <c r="B280" s="2519"/>
      <c r="C280" s="2519"/>
      <c r="D280" s="2523"/>
      <c r="E280" s="2517"/>
      <c r="F280" s="3652" t="s">
        <v>1761</v>
      </c>
      <c r="G280" s="2519"/>
      <c r="H280" s="2519"/>
      <c r="I280" s="2523"/>
      <c r="K280" s="2682"/>
      <c r="L280" s="3175"/>
    </row>
    <row r="281" spans="1:12" ht="12" customHeight="1">
      <c r="A281" s="3650" t="s">
        <v>1762</v>
      </c>
      <c r="B281" s="2519"/>
      <c r="C281" s="2526"/>
      <c r="D281" s="2521"/>
      <c r="E281" s="2517"/>
      <c r="F281" s="3650" t="s">
        <v>1762</v>
      </c>
      <c r="G281" s="2519"/>
      <c r="H281" s="2526"/>
      <c r="I281" s="2521"/>
      <c r="K281" s="2208"/>
    </row>
    <row r="282" spans="1:12" ht="12" customHeight="1">
      <c r="A282" s="3651" t="s">
        <v>1763</v>
      </c>
      <c r="B282" s="2528"/>
      <c r="C282" s="2529"/>
      <c r="D282" s="2530">
        <f>(D276+D277+D278+D279)+D280</f>
        <v>3356185</v>
      </c>
      <c r="E282" s="2531"/>
      <c r="F282" s="3651" t="s">
        <v>1763</v>
      </c>
      <c r="G282" s="2528"/>
      <c r="H282" s="2529"/>
      <c r="I282" s="2530">
        <f>(I276+I277+I278+I279)+I280</f>
        <v>2804800</v>
      </c>
      <c r="K282" s="2208"/>
    </row>
    <row r="283" spans="1:12" ht="12" customHeight="1">
      <c r="K283" s="3232">
        <f>D282+I282+D292+I292+D302+I302+D312+I312+D323+I323+D333+I333+D353+I353</f>
        <v>31186621</v>
      </c>
      <c r="L283" s="3175"/>
    </row>
    <row r="284" spans="1:12" s="2533" customFormat="1" ht="12" customHeight="1">
      <c r="A284" s="4487" t="str">
        <f>F274</f>
        <v xml:space="preserve">LƯƠNG THÁNG 02/2025  - ເງິນເດືອນ 02/2025
</v>
      </c>
      <c r="B284" s="4488"/>
      <c r="C284" s="4488"/>
      <c r="D284" s="4489"/>
      <c r="E284" s="2621"/>
      <c r="F284" s="4487" t="str">
        <f>A284</f>
        <v xml:space="preserve">LƯƠNG THÁNG 02/2025  - ເງິນເດືອນ 02/2025
</v>
      </c>
      <c r="G284" s="4488"/>
      <c r="H284" s="4488"/>
      <c r="I284" s="4489"/>
      <c r="J284" s="4491"/>
      <c r="K284" s="3231"/>
    </row>
    <row r="285" spans="1:12" s="2533" customFormat="1" ht="12" customHeight="1">
      <c r="A285" s="3648" t="s">
        <v>1758</v>
      </c>
      <c r="B285" s="4490" t="str">
        <f>'BẢNG LƯƠNG KT'!C79</f>
        <v>Thảo Tia</v>
      </c>
      <c r="C285" s="4490"/>
      <c r="D285" s="2622">
        <v>3</v>
      </c>
      <c r="E285" s="2534"/>
      <c r="F285" s="3648" t="s">
        <v>1758</v>
      </c>
      <c r="G285" s="4490" t="str">
        <f>'BẢNG LƯƠNG KT'!C80</f>
        <v>Thảo Nuy</v>
      </c>
      <c r="H285" s="4490"/>
      <c r="I285" s="2622">
        <v>4</v>
      </c>
      <c r="J285" s="4491"/>
      <c r="K285" s="3231"/>
    </row>
    <row r="286" spans="1:12" s="2533" customFormat="1" ht="12" customHeight="1">
      <c r="A286" s="3649" t="s">
        <v>1759</v>
      </c>
      <c r="B286" s="2514"/>
      <c r="C286" s="2515">
        <f>'BẢNG LƯƠNG KT'!G79</f>
        <v>0</v>
      </c>
      <c r="D286" s="2516">
        <f>C286*25000</f>
        <v>0</v>
      </c>
      <c r="E286" s="2535"/>
      <c r="F286" s="3649" t="s">
        <v>1759</v>
      </c>
      <c r="G286" s="2514"/>
      <c r="H286" s="2515">
        <f>'BẢNG LƯƠNG KT'!G80</f>
        <v>0</v>
      </c>
      <c r="I286" s="2516">
        <f>H286*25000</f>
        <v>0</v>
      </c>
      <c r="J286" s="4491"/>
    </row>
    <row r="287" spans="1:12" s="2533" customFormat="1" ht="12" customHeight="1">
      <c r="A287" s="3650" t="s">
        <v>1760</v>
      </c>
      <c r="B287" s="2519"/>
      <c r="C287" s="2520">
        <f>'BẢNG LƯƠNG KT'!M79+'BẢNG LƯƠNG KT'!N79</f>
        <v>19</v>
      </c>
      <c r="D287" s="2521">
        <f>'BẢNG LƯƠNG KT'!S79</f>
        <v>2400000</v>
      </c>
      <c r="E287" s="2535"/>
      <c r="F287" s="3650" t="s">
        <v>1760</v>
      </c>
      <c r="G287" s="2519"/>
      <c r="H287" s="2520">
        <f>'BẢNG LƯƠNG KT'!M80+'BẢNG LƯƠNG KT'!N80</f>
        <v>18</v>
      </c>
      <c r="I287" s="2521">
        <f>'BẢNG LƯƠNG KT'!S80</f>
        <v>2300000</v>
      </c>
      <c r="J287" s="4491"/>
    </row>
    <row r="288" spans="1:12" ht="12" customHeight="1">
      <c r="A288" s="2518" t="s">
        <v>1747</v>
      </c>
      <c r="B288" s="2519"/>
      <c r="C288" s="2520">
        <f>'BẢNG LƯƠNG KT'!J79</f>
        <v>130.16630161054172</v>
      </c>
      <c r="D288" s="2521">
        <f>'BẢNG LƯƠNG KT'!L79</f>
        <v>563560</v>
      </c>
      <c r="E288" s="2621"/>
      <c r="F288" s="2518" t="s">
        <v>1747</v>
      </c>
      <c r="G288" s="2519"/>
      <c r="H288" s="2520">
        <f>'BẢNG LƯƠNG KT'!J80</f>
        <v>130.16630161054172</v>
      </c>
      <c r="I288" s="2521">
        <f>'BẢNG LƯƠNG KT'!L80</f>
        <v>538326</v>
      </c>
      <c r="J288" s="4491"/>
    </row>
    <row r="289" spans="1:10" s="2533" customFormat="1" ht="12" customHeight="1">
      <c r="A289" s="2926" t="s">
        <v>1748</v>
      </c>
      <c r="B289" s="2519"/>
      <c r="C289" s="2519"/>
      <c r="D289" s="2523">
        <f>'BẢNG LƯƠNG KT'!T79</f>
        <v>0</v>
      </c>
      <c r="E289" s="2536"/>
      <c r="F289" s="2926" t="s">
        <v>1748</v>
      </c>
      <c r="G289" s="2519"/>
      <c r="H289" s="2519"/>
      <c r="I289" s="2523">
        <f>'BẢNG LƯƠNG KT'!T80</f>
        <v>0</v>
      </c>
      <c r="J289" s="4491"/>
    </row>
    <row r="290" spans="1:10" s="2537" customFormat="1" ht="12" customHeight="1">
      <c r="A290" s="3652" t="s">
        <v>1761</v>
      </c>
      <c r="B290" s="2519"/>
      <c r="C290" s="2519"/>
      <c r="D290" s="2523"/>
      <c r="E290" s="2621"/>
      <c r="F290" s="3652" t="s">
        <v>1761</v>
      </c>
      <c r="G290" s="2519"/>
      <c r="H290" s="2519"/>
      <c r="I290" s="2523"/>
      <c r="J290" s="4491"/>
    </row>
    <row r="291" spans="1:10" s="2533" customFormat="1" ht="12" customHeight="1">
      <c r="A291" s="3650" t="s">
        <v>1762</v>
      </c>
      <c r="B291" s="2519"/>
      <c r="C291" s="2526"/>
      <c r="D291" s="2521"/>
      <c r="E291" s="2538"/>
      <c r="F291" s="3650" t="s">
        <v>1762</v>
      </c>
      <c r="G291" s="2519"/>
      <c r="H291" s="2526"/>
      <c r="I291" s="2521"/>
      <c r="J291" s="4491"/>
    </row>
    <row r="292" spans="1:10" s="2533" customFormat="1" ht="12" customHeight="1">
      <c r="A292" s="3651" t="s">
        <v>1763</v>
      </c>
      <c r="B292" s="2528"/>
      <c r="C292" s="2529"/>
      <c r="D292" s="2530">
        <f>(D286+D287+D288+D289)+D290</f>
        <v>2963560</v>
      </c>
      <c r="E292" s="2535"/>
      <c r="F292" s="3651" t="s">
        <v>1763</v>
      </c>
      <c r="G292" s="2528"/>
      <c r="H292" s="2529"/>
      <c r="I292" s="2530">
        <f>(I286+I287+I288+I289)+I290</f>
        <v>2838326</v>
      </c>
      <c r="J292" s="4491"/>
    </row>
    <row r="293" spans="1:10" ht="6.75" customHeight="1">
      <c r="A293" s="2539"/>
      <c r="B293" s="2540"/>
      <c r="C293" s="2621"/>
      <c r="D293" s="2535"/>
      <c r="E293" s="2535"/>
      <c r="F293" s="2539"/>
      <c r="G293" s="2540"/>
      <c r="H293" s="2621"/>
      <c r="I293" s="2535"/>
      <c r="J293" s="4491"/>
    </row>
    <row r="294" spans="1:10" ht="12" customHeight="1">
      <c r="A294" s="4487" t="str">
        <f>F284</f>
        <v xml:space="preserve">LƯƠNG THÁNG 02/2025  - ເງິນເດືອນ 02/2025
</v>
      </c>
      <c r="B294" s="4488"/>
      <c r="C294" s="4488"/>
      <c r="D294" s="4489"/>
      <c r="E294" s="2535"/>
      <c r="F294" s="4487" t="str">
        <f>F284</f>
        <v xml:space="preserve">LƯƠNG THÁNG 02/2025  - ເງິນເດືອນ 02/2025
</v>
      </c>
      <c r="G294" s="4488"/>
      <c r="H294" s="4488"/>
      <c r="I294" s="4489"/>
      <c r="J294" s="4491"/>
    </row>
    <row r="295" spans="1:10" ht="12" customHeight="1">
      <c r="A295" s="3648" t="s">
        <v>1758</v>
      </c>
      <c r="B295" s="4492" t="str">
        <f>'BẢNG LƯƠNG KT'!C81</f>
        <v>Thảo Xay</v>
      </c>
      <c r="C295" s="4493"/>
      <c r="D295" s="2512">
        <v>5</v>
      </c>
      <c r="E295" s="2535"/>
      <c r="F295" s="3648" t="s">
        <v>1758</v>
      </c>
      <c r="G295" s="4490" t="str">
        <f>'BẢNG LƯƠNG KT'!C82</f>
        <v>Nàng Nọi</v>
      </c>
      <c r="H295" s="4490"/>
      <c r="I295" s="2622">
        <v>6</v>
      </c>
      <c r="J295" s="4491"/>
    </row>
    <row r="296" spans="1:10" ht="12" customHeight="1">
      <c r="A296" s="3649" t="s">
        <v>1759</v>
      </c>
      <c r="B296" s="2514"/>
      <c r="C296" s="2515">
        <f>'BẢNG LƯƠNG KT'!G81</f>
        <v>0</v>
      </c>
      <c r="D296" s="2516">
        <f>C296*25000</f>
        <v>0</v>
      </c>
      <c r="E296" s="2540"/>
      <c r="F296" s="3649" t="s">
        <v>1759</v>
      </c>
      <c r="G296" s="2514"/>
      <c r="H296" s="2515">
        <f>'BẢNG LƯƠNG KT'!G82</f>
        <v>0</v>
      </c>
      <c r="I296" s="2516">
        <f>H296*25000</f>
        <v>0</v>
      </c>
      <c r="J296" s="4491"/>
    </row>
    <row r="297" spans="1:10" ht="12" customHeight="1">
      <c r="A297" s="3650" t="s">
        <v>1760</v>
      </c>
      <c r="B297" s="2519"/>
      <c r="C297" s="2520">
        <f>'BẢNG LƯƠNG KT'!M81+'BẢNG LƯƠNG KT'!N81</f>
        <v>12</v>
      </c>
      <c r="D297" s="2521">
        <f>'BẢNG LƯƠNG KT'!S81</f>
        <v>1700000</v>
      </c>
      <c r="E297" s="2540"/>
      <c r="F297" s="3650" t="s">
        <v>1760</v>
      </c>
      <c r="G297" s="2519"/>
      <c r="H297" s="2520">
        <f>'BẢNG LƯƠNG KT'!M82+'BẢNG LƯƠNG KT'!N82</f>
        <v>11</v>
      </c>
      <c r="I297" s="2521">
        <f>'BẢNG LƯƠNG KT'!S82</f>
        <v>1600000</v>
      </c>
      <c r="J297" s="4491"/>
    </row>
    <row r="298" spans="1:10" ht="12" customHeight="1">
      <c r="A298" s="2518" t="s">
        <v>1747</v>
      </c>
      <c r="B298" s="2519"/>
      <c r="C298" s="2520">
        <f>'BẢNG LƯƠNG KT'!J81</f>
        <v>40.098623718887261</v>
      </c>
      <c r="D298" s="2521">
        <f>'BẢNG LƯƠNG KT'!L81</f>
        <v>165835</v>
      </c>
      <c r="E298" s="2621"/>
      <c r="F298" s="2518" t="s">
        <v>1747</v>
      </c>
      <c r="G298" s="2519"/>
      <c r="H298" s="2520">
        <f>'BẢNG LƯƠNG KT'!J82</f>
        <v>0</v>
      </c>
      <c r="I298" s="2521">
        <f>'BẢNG LƯƠNG KT'!L82</f>
        <v>0</v>
      </c>
      <c r="J298" s="4491"/>
    </row>
    <row r="299" spans="1:10" ht="12" customHeight="1">
      <c r="A299" s="2926" t="s">
        <v>1748</v>
      </c>
      <c r="B299" s="2519"/>
      <c r="C299" s="2519"/>
      <c r="D299" s="2523">
        <f>'BẢNG LƯƠNG KT'!T81</f>
        <v>0</v>
      </c>
      <c r="E299" s="2541"/>
      <c r="F299" s="2926" t="s">
        <v>1748</v>
      </c>
      <c r="G299" s="2519"/>
      <c r="H299" s="2519"/>
      <c r="I299" s="2523"/>
      <c r="J299" s="2620"/>
    </row>
    <row r="300" spans="1:10" ht="12" customHeight="1">
      <c r="A300" s="3652" t="s">
        <v>1761</v>
      </c>
      <c r="B300" s="2519"/>
      <c r="C300" s="2519"/>
      <c r="D300" s="2523"/>
      <c r="E300" s="2540"/>
      <c r="F300" s="3652" t="s">
        <v>1761</v>
      </c>
      <c r="G300" s="2519"/>
      <c r="H300" s="2519"/>
      <c r="I300" s="2523"/>
      <c r="J300" s="4491"/>
    </row>
    <row r="301" spans="1:10" ht="12" customHeight="1">
      <c r="A301" s="3650" t="s">
        <v>1762</v>
      </c>
      <c r="B301" s="2519"/>
      <c r="C301" s="2526"/>
      <c r="D301" s="2521"/>
      <c r="E301" s="2621"/>
      <c r="F301" s="3650" t="s">
        <v>1762</v>
      </c>
      <c r="G301" s="2519"/>
      <c r="H301" s="2526"/>
      <c r="I301" s="2521"/>
      <c r="J301" s="4491"/>
    </row>
    <row r="302" spans="1:10" ht="12" customHeight="1">
      <c r="A302" s="3651" t="s">
        <v>1763</v>
      </c>
      <c r="B302" s="2528"/>
      <c r="C302" s="2529"/>
      <c r="D302" s="2530">
        <f>(D296+D297+D298+D299)+D300</f>
        <v>1865835</v>
      </c>
      <c r="E302" s="2538"/>
      <c r="F302" s="3651" t="s">
        <v>1763</v>
      </c>
      <c r="G302" s="2528"/>
      <c r="H302" s="2529"/>
      <c r="I302" s="2530">
        <f>(I296+I297+I298)+I300</f>
        <v>1600000</v>
      </c>
      <c r="J302" s="4491"/>
    </row>
    <row r="303" spans="1:10" ht="8.25" customHeight="1">
      <c r="A303" s="2535"/>
      <c r="B303" s="2540"/>
      <c r="C303" s="2540"/>
      <c r="D303" s="2540"/>
      <c r="E303" s="2540"/>
      <c r="F303" s="2535"/>
      <c r="G303" s="2540"/>
      <c r="H303" s="2540"/>
      <c r="I303" s="2540"/>
      <c r="J303" s="4491"/>
    </row>
    <row r="304" spans="1:10" ht="12" customHeight="1">
      <c r="A304" s="4487" t="str">
        <f>F294</f>
        <v xml:space="preserve">LƯƠNG THÁNG 02/2025  - ເງິນເດືອນ 02/2025
</v>
      </c>
      <c r="B304" s="4488"/>
      <c r="C304" s="4488"/>
      <c r="D304" s="4489"/>
      <c r="E304" s="2621"/>
      <c r="F304" s="4487" t="str">
        <f>F294</f>
        <v xml:space="preserve">LƯƠNG THÁNG 02/2025  - ເງິນເດືອນ 02/2025
</v>
      </c>
      <c r="G304" s="4488"/>
      <c r="H304" s="4488"/>
      <c r="I304" s="4489"/>
      <c r="J304" s="4491"/>
    </row>
    <row r="305" spans="1:10" ht="12" customHeight="1">
      <c r="A305" s="3648" t="s">
        <v>1758</v>
      </c>
      <c r="B305" s="4490" t="str">
        <f>'BẢNG LƯƠNG KT'!C83</f>
        <v>Thảo Khon</v>
      </c>
      <c r="C305" s="4490"/>
      <c r="D305" s="2622">
        <v>7</v>
      </c>
      <c r="E305" s="2541"/>
      <c r="F305" s="3648" t="s">
        <v>1758</v>
      </c>
      <c r="G305" s="4490" t="str">
        <f>'BẢNG LƯƠNG KT'!C84</f>
        <v>Thảo Tưng</v>
      </c>
      <c r="H305" s="4490"/>
      <c r="I305" s="2622">
        <v>8</v>
      </c>
      <c r="J305" s="4491"/>
    </row>
    <row r="306" spans="1:10" ht="12" customHeight="1">
      <c r="A306" s="3649" t="s">
        <v>1759</v>
      </c>
      <c r="B306" s="2514"/>
      <c r="C306" s="2684">
        <f>'BẢNG LƯƠNG KT'!G83</f>
        <v>0</v>
      </c>
      <c r="D306" s="2687">
        <f>C306*25000</f>
        <v>0</v>
      </c>
      <c r="E306" s="2541"/>
      <c r="F306" s="3649" t="s">
        <v>1759</v>
      </c>
      <c r="G306" s="2514"/>
      <c r="H306" s="2515">
        <f>'BẢNG LƯƠNG KT'!G84</f>
        <v>0</v>
      </c>
      <c r="I306" s="2516">
        <f>H306*25000</f>
        <v>0</v>
      </c>
      <c r="J306" s="2620"/>
    </row>
    <row r="307" spans="1:10" ht="12" customHeight="1">
      <c r="A307" s="3650" t="s">
        <v>1760</v>
      </c>
      <c r="B307" s="2519"/>
      <c r="C307" s="2689">
        <f>'BẢNG LƯƠNG KT'!M83+'BẢNG LƯƠNG KT'!N83</f>
        <v>18</v>
      </c>
      <c r="D307" s="2690">
        <f>'BẢNG LƯƠNG KT'!S83</f>
        <v>2300000</v>
      </c>
      <c r="E307" s="2540"/>
      <c r="F307" s="3650" t="s">
        <v>1760</v>
      </c>
      <c r="G307" s="2519"/>
      <c r="H307" s="2520">
        <f>'BẢNG LƯƠNG KT'!M84+'BẢNG LƯƠNG KT'!N84</f>
        <v>15</v>
      </c>
      <c r="I307" s="2521">
        <f>'BẢNG LƯƠNG KT'!S84</f>
        <v>2000000</v>
      </c>
      <c r="J307" s="4491"/>
    </row>
    <row r="308" spans="1:10" ht="12" customHeight="1">
      <c r="A308" s="2518" t="s">
        <v>1747</v>
      </c>
      <c r="B308" s="2519"/>
      <c r="C308" s="2520">
        <f>'BẢNG LƯƠNG KT'!J83</f>
        <v>130.7832035139092</v>
      </c>
      <c r="D308" s="2688">
        <f>'BẢNG LƯƠNG KT'!L83</f>
        <v>566231</v>
      </c>
      <c r="E308" s="2621"/>
      <c r="F308" s="2518" t="s">
        <v>1747</v>
      </c>
      <c r="G308" s="2519"/>
      <c r="H308" s="2520">
        <f>'BẢNG LƯƠNG KT'!J84</f>
        <v>14.188743777452414</v>
      </c>
      <c r="I308" s="2521">
        <f>'BẢNG LƯƠNG KT'!L84</f>
        <v>58680</v>
      </c>
      <c r="J308" s="4491"/>
    </row>
    <row r="309" spans="1:10" ht="12" customHeight="1">
      <c r="A309" s="2926" t="s">
        <v>1748</v>
      </c>
      <c r="B309" s="2519"/>
      <c r="C309" s="2519"/>
      <c r="D309" s="2523"/>
      <c r="E309" s="2535"/>
      <c r="F309" s="2926" t="s">
        <v>1748</v>
      </c>
      <c r="G309" s="2519"/>
      <c r="H309" s="2519"/>
      <c r="I309" s="2523"/>
      <c r="J309" s="4491"/>
    </row>
    <row r="310" spans="1:10" ht="12" customHeight="1">
      <c r="A310" s="3652" t="s">
        <v>1761</v>
      </c>
      <c r="B310" s="2519"/>
      <c r="C310" s="2519"/>
      <c r="D310" s="2523"/>
      <c r="E310" s="2535"/>
      <c r="F310" s="3652" t="s">
        <v>1761</v>
      </c>
      <c r="G310" s="2519"/>
      <c r="H310" s="2519"/>
      <c r="I310" s="2523"/>
      <c r="J310" s="4491"/>
    </row>
    <row r="311" spans="1:10" ht="12" customHeight="1">
      <c r="A311" s="3650" t="s">
        <v>1762</v>
      </c>
      <c r="B311" s="2519"/>
      <c r="C311" s="2526"/>
      <c r="D311" s="2521"/>
      <c r="E311" s="2535"/>
      <c r="F311" s="3650" t="s">
        <v>1762</v>
      </c>
      <c r="G311" s="2519"/>
      <c r="H311" s="2526"/>
      <c r="I311" s="2521">
        <f>I310</f>
        <v>0</v>
      </c>
      <c r="J311" s="4491"/>
    </row>
    <row r="312" spans="1:10" ht="12" customHeight="1">
      <c r="A312" s="3651" t="s">
        <v>1763</v>
      </c>
      <c r="B312" s="2528"/>
      <c r="C312" s="2529"/>
      <c r="D312" s="2530">
        <f>(D306+D307+D308)+D310</f>
        <v>2866231</v>
      </c>
      <c r="E312" s="2535"/>
      <c r="F312" s="3651" t="s">
        <v>1763</v>
      </c>
      <c r="G312" s="2528"/>
      <c r="H312" s="2529"/>
      <c r="I312" s="2530">
        <f>(I306+I307+I308)+I311</f>
        <v>2058680</v>
      </c>
      <c r="J312" s="4491"/>
    </row>
    <row r="313" spans="1:10" ht="48.75" customHeight="1">
      <c r="A313" s="3653"/>
      <c r="B313" s="2549"/>
      <c r="C313" s="2550"/>
      <c r="D313" s="2541"/>
      <c r="E313" s="2535"/>
      <c r="F313" s="3653"/>
      <c r="G313" s="2549"/>
      <c r="H313" s="2550"/>
      <c r="I313" s="2541"/>
      <c r="J313" s="3643"/>
    </row>
    <row r="314" spans="1:10" ht="12" customHeight="1">
      <c r="A314" s="2540"/>
      <c r="B314" s="2540"/>
      <c r="C314" s="2540"/>
      <c r="D314" s="2540"/>
      <c r="E314" s="2540"/>
      <c r="F314" s="2540"/>
      <c r="G314" s="2540"/>
      <c r="H314" s="2540"/>
      <c r="I314" s="2540"/>
      <c r="J314" s="4491"/>
    </row>
    <row r="315" spans="1:10" ht="12" customHeight="1">
      <c r="A315" s="4487" t="str">
        <f>F304</f>
        <v xml:space="preserve">LƯƠNG THÁNG 02/2025  - ເງິນເດືອນ 02/2025
</v>
      </c>
      <c r="B315" s="4488"/>
      <c r="C315" s="4488"/>
      <c r="D315" s="4489"/>
      <c r="E315" s="2621"/>
      <c r="F315" s="4487" t="str">
        <f>A315</f>
        <v xml:space="preserve">LƯƠNG THÁNG 02/2025  - ເງິນເດືອນ 02/2025
</v>
      </c>
      <c r="G315" s="4488"/>
      <c r="H315" s="4488"/>
      <c r="I315" s="4489"/>
      <c r="J315" s="4491"/>
    </row>
    <row r="316" spans="1:10" ht="12" customHeight="1">
      <c r="A316" s="3648" t="s">
        <v>1758</v>
      </c>
      <c r="B316" s="4490" t="str">
        <f>'BẢNG LƯƠNG KT'!C85</f>
        <v>Thảo Bắt</v>
      </c>
      <c r="C316" s="4490"/>
      <c r="D316" s="2622">
        <v>9</v>
      </c>
      <c r="E316" s="2538"/>
      <c r="F316" s="3648" t="s">
        <v>1758</v>
      </c>
      <c r="G316" s="4492" t="str">
        <f>'BẢNG LƯƠNG KT'!C86</f>
        <v>Thảo Lay</v>
      </c>
      <c r="H316" s="4498"/>
      <c r="I316" s="2622">
        <v>10</v>
      </c>
      <c r="J316" s="4491"/>
    </row>
    <row r="317" spans="1:10" ht="12" customHeight="1">
      <c r="A317" s="3649" t="s">
        <v>1759</v>
      </c>
      <c r="B317" s="2514"/>
      <c r="C317" s="2515">
        <f>'BẢNG LƯƠNG KT'!G85</f>
        <v>0</v>
      </c>
      <c r="D317" s="2516">
        <f>C317*25000</f>
        <v>0</v>
      </c>
      <c r="E317" s="2535"/>
      <c r="F317" s="3649" t="s">
        <v>1759</v>
      </c>
      <c r="G317" s="2514"/>
      <c r="H317" s="2515">
        <f>'BẢNG LƯƠNG KT'!G86</f>
        <v>0</v>
      </c>
      <c r="I317" s="2516">
        <f>H317*25000</f>
        <v>0</v>
      </c>
      <c r="J317" s="4491"/>
    </row>
    <row r="318" spans="1:10" ht="12" customHeight="1">
      <c r="A318" s="3650" t="s">
        <v>1760</v>
      </c>
      <c r="B318" s="2519"/>
      <c r="C318" s="2520">
        <f>'BẢNG LƯƠNG KT'!M85+'BẢNG LƯƠNG KT'!N85</f>
        <v>21</v>
      </c>
      <c r="D318" s="2521">
        <f>'BẢNG LƯƠNG KT'!S85</f>
        <v>2600000</v>
      </c>
      <c r="E318" s="2535"/>
      <c r="F318" s="3650" t="s">
        <v>1760</v>
      </c>
      <c r="G318" s="2519"/>
      <c r="H318" s="2520">
        <f>'BẢNG LƯƠNG KT'!M86+'BẢNG LƯƠNG KT'!N86</f>
        <v>0</v>
      </c>
      <c r="I318" s="2521">
        <f>'BẢNG LƯƠNG KT'!S86</f>
        <v>500000</v>
      </c>
      <c r="J318" s="4491"/>
    </row>
    <row r="319" spans="1:10" ht="12" customHeight="1">
      <c r="A319" s="2518" t="s">
        <v>1747</v>
      </c>
      <c r="B319" s="2519"/>
      <c r="C319" s="2520">
        <f>'BẢNG LƯƠNG KT'!J85</f>
        <v>104.25642166910687</v>
      </c>
      <c r="D319" s="2521">
        <f>'BẢNG LƯƠNG KT'!L85</f>
        <v>451382</v>
      </c>
      <c r="E319" s="2535"/>
      <c r="F319" s="2518" t="s">
        <v>1747</v>
      </c>
      <c r="G319" s="2519"/>
      <c r="H319" s="2520">
        <f>'BẢNG LƯƠNG KT'!J86</f>
        <v>0</v>
      </c>
      <c r="I319" s="2521">
        <f>'BẢNG LƯƠNG KT'!L86</f>
        <v>0</v>
      </c>
      <c r="J319" s="4491"/>
    </row>
    <row r="320" spans="1:10" ht="12" customHeight="1">
      <c r="A320" s="2926" t="s">
        <v>1748</v>
      </c>
      <c r="B320" s="2519"/>
      <c r="C320" s="2519"/>
      <c r="D320" s="2523"/>
      <c r="E320" s="2540"/>
      <c r="F320" s="2926" t="s">
        <v>1748</v>
      </c>
      <c r="G320" s="2519"/>
      <c r="H320" s="2519"/>
      <c r="I320" s="2523"/>
      <c r="J320" s="4491"/>
    </row>
    <row r="321" spans="1:10" ht="12" customHeight="1">
      <c r="A321" s="3652" t="s">
        <v>1761</v>
      </c>
      <c r="B321" s="2519"/>
      <c r="C321" s="2519"/>
      <c r="D321" s="2523"/>
      <c r="E321" s="2540"/>
      <c r="F321" s="3652" t="s">
        <v>1761</v>
      </c>
      <c r="G321" s="2519"/>
      <c r="H321" s="2519"/>
      <c r="I321" s="2523"/>
      <c r="J321" s="4491"/>
    </row>
    <row r="322" spans="1:10" ht="12" customHeight="1">
      <c r="A322" s="3650" t="s">
        <v>1762</v>
      </c>
      <c r="B322" s="2519"/>
      <c r="C322" s="2526"/>
      <c r="D322" s="2521"/>
      <c r="E322" s="2621"/>
      <c r="F322" s="3650" t="s">
        <v>1762</v>
      </c>
      <c r="G322" s="2519"/>
      <c r="H322" s="2526"/>
      <c r="I322" s="2521"/>
      <c r="J322" s="4491"/>
    </row>
    <row r="323" spans="1:10" ht="12" customHeight="1">
      <c r="A323" s="3651" t="s">
        <v>1763</v>
      </c>
      <c r="B323" s="2528"/>
      <c r="C323" s="2529"/>
      <c r="D323" s="2530">
        <f>(D317+D318+D319)+D321</f>
        <v>3051382</v>
      </c>
      <c r="E323" s="2541"/>
      <c r="F323" s="3651" t="s">
        <v>1763</v>
      </c>
      <c r="G323" s="2528"/>
      <c r="H323" s="2529"/>
      <c r="I323" s="2530">
        <f>(I317+I318+I319)+I321</f>
        <v>500000</v>
      </c>
      <c r="J323" s="4491"/>
    </row>
    <row r="324" spans="1:10" ht="12" customHeight="1">
      <c r="A324" s="2539"/>
      <c r="B324" s="2540"/>
      <c r="C324" s="2621"/>
      <c r="D324" s="2535"/>
      <c r="E324" s="2535"/>
      <c r="F324" s="2539"/>
      <c r="G324" s="2540"/>
      <c r="H324" s="2621"/>
      <c r="I324" s="2535"/>
      <c r="J324" s="4491"/>
    </row>
    <row r="325" spans="1:10" ht="12" customHeight="1">
      <c r="A325" s="4487" t="str">
        <f>F315</f>
        <v xml:space="preserve">LƯƠNG THÁNG 02/2025  - ເງິນເດືອນ 02/2025
</v>
      </c>
      <c r="B325" s="4488"/>
      <c r="C325" s="4488"/>
      <c r="D325" s="4489"/>
      <c r="E325" s="2535"/>
      <c r="F325" s="4487" t="str">
        <f>A325</f>
        <v xml:space="preserve">LƯƠNG THÁNG 02/2025  - ເງິນເດືອນ 02/2025
</v>
      </c>
      <c r="G325" s="4488"/>
      <c r="H325" s="4488"/>
      <c r="I325" s="4489"/>
      <c r="J325" s="4491"/>
    </row>
    <row r="326" spans="1:10" ht="12" customHeight="1">
      <c r="A326" s="3648" t="s">
        <v>1758</v>
      </c>
      <c r="B326" s="4490" t="str">
        <f>'BẢNG LƯƠNG KT'!C87</f>
        <v>Thảo Chăn</v>
      </c>
      <c r="C326" s="4490"/>
      <c r="D326" s="2622">
        <v>11</v>
      </c>
      <c r="E326" s="2540"/>
      <c r="F326" s="3648" t="s">
        <v>1758</v>
      </c>
      <c r="G326" s="4490" t="str">
        <f>'BẢNG LƯƠNG KT'!C88</f>
        <v>Thảo Lăm Ma</v>
      </c>
      <c r="H326" s="4490"/>
      <c r="I326" s="2622">
        <v>12</v>
      </c>
      <c r="J326" s="4491"/>
    </row>
    <row r="327" spans="1:10" ht="12" customHeight="1">
      <c r="A327" s="3649" t="s">
        <v>1759</v>
      </c>
      <c r="B327" s="2514"/>
      <c r="C327" s="2515">
        <f>'BẢNG LƯƠNG KT'!G87</f>
        <v>0</v>
      </c>
      <c r="D327" s="2516">
        <f>C327*25000</f>
        <v>0</v>
      </c>
      <c r="E327" s="2540"/>
      <c r="F327" s="3649" t="s">
        <v>1759</v>
      </c>
      <c r="G327" s="2514"/>
      <c r="H327" s="2515">
        <f>'BẢNG LƯƠNG KT'!G88</f>
        <v>0</v>
      </c>
      <c r="I327" s="2516">
        <f>H327*25000</f>
        <v>0</v>
      </c>
      <c r="J327" s="4491"/>
    </row>
    <row r="328" spans="1:10" ht="12" customHeight="1">
      <c r="A328" s="3650" t="s">
        <v>1760</v>
      </c>
      <c r="B328" s="2519"/>
      <c r="C328" s="2520">
        <f>'BẢNG LƯƠNG KT'!M87+'BẢNG LƯƠNG KT'!N87</f>
        <v>15</v>
      </c>
      <c r="D328" s="2521">
        <f>'BẢNG LƯƠNG KT'!S87</f>
        <v>2000000</v>
      </c>
      <c r="E328" s="2621"/>
      <c r="F328" s="3650" t="s">
        <v>1760</v>
      </c>
      <c r="G328" s="2519"/>
      <c r="H328" s="2520">
        <f>'BẢNG LƯƠNG KT'!M88+'BẢNG LƯƠNG KT'!N88</f>
        <v>1</v>
      </c>
      <c r="I328" s="2521">
        <f>'BẢNG LƯƠNG KT'!S88</f>
        <v>600000</v>
      </c>
      <c r="J328" s="4491"/>
    </row>
    <row r="329" spans="1:10" ht="12" customHeight="1">
      <c r="A329" s="2518" t="s">
        <v>1747</v>
      </c>
      <c r="B329" s="2519"/>
      <c r="C329" s="2520">
        <f>'BẢNG LƯƠNG KT'!J87</f>
        <v>12.338038067349926</v>
      </c>
      <c r="D329" s="2521">
        <f>'BẢNG LƯƠNG KT'!L87</f>
        <v>53418</v>
      </c>
      <c r="E329" s="2541"/>
      <c r="F329" s="2518" t="s">
        <v>1747</v>
      </c>
      <c r="G329" s="2519"/>
      <c r="H329" s="2520">
        <f>'BẢNG LƯƠNG KT'!J88</f>
        <v>0</v>
      </c>
      <c r="I329" s="2521">
        <f>'BẢNG LƯƠNG KT'!L88</f>
        <v>0</v>
      </c>
      <c r="J329" s="4491"/>
    </row>
    <row r="330" spans="1:10" ht="12" customHeight="1">
      <c r="A330" s="2926" t="s">
        <v>1748</v>
      </c>
      <c r="B330" s="2519"/>
      <c r="C330" s="2519"/>
      <c r="D330" s="2523"/>
      <c r="E330" s="2541"/>
      <c r="F330" s="2926" t="s">
        <v>1748</v>
      </c>
      <c r="G330" s="2519"/>
      <c r="H330" s="2519"/>
      <c r="I330" s="2523"/>
      <c r="J330" s="2620"/>
    </row>
    <row r="331" spans="1:10" ht="12" customHeight="1">
      <c r="A331" s="3652" t="s">
        <v>1761</v>
      </c>
      <c r="B331" s="2519"/>
      <c r="C331" s="2519"/>
      <c r="D331" s="2523"/>
      <c r="E331" s="2541"/>
      <c r="F331" s="3652" t="s">
        <v>1761</v>
      </c>
      <c r="G331" s="2519"/>
      <c r="H331" s="2519"/>
      <c r="I331" s="2523"/>
      <c r="J331" s="2620"/>
    </row>
    <row r="332" spans="1:10" ht="12" customHeight="1">
      <c r="A332" s="3650" t="s">
        <v>1762</v>
      </c>
      <c r="B332" s="2519"/>
      <c r="C332" s="2526"/>
      <c r="D332" s="2521">
        <f>SUM(D331)</f>
        <v>0</v>
      </c>
      <c r="E332" s="2541"/>
      <c r="F332" s="3650" t="s">
        <v>1762</v>
      </c>
      <c r="G332" s="2519"/>
      <c r="H332" s="2526"/>
      <c r="I332" s="2521">
        <f>SUM(I331)</f>
        <v>0</v>
      </c>
      <c r="J332" s="2620"/>
    </row>
    <row r="333" spans="1:10" ht="12" customHeight="1">
      <c r="A333" s="3651" t="s">
        <v>1763</v>
      </c>
      <c r="B333" s="2528"/>
      <c r="C333" s="2529"/>
      <c r="D333" s="2530">
        <f>(D327+D328+D329)+D331</f>
        <v>2053418</v>
      </c>
      <c r="E333" s="2541"/>
      <c r="F333" s="3651" t="s">
        <v>1763</v>
      </c>
      <c r="G333" s="2528"/>
      <c r="H333" s="2529"/>
      <c r="I333" s="2530">
        <f>(I327+I328+I329)+I331</f>
        <v>600000</v>
      </c>
      <c r="J333" s="2620"/>
    </row>
    <row r="334" spans="1:10" ht="16.5" customHeight="1">
      <c r="A334" s="2539"/>
      <c r="B334" s="2540"/>
      <c r="C334" s="2621"/>
      <c r="D334" s="2535"/>
      <c r="E334" s="2535"/>
      <c r="F334" s="2539"/>
      <c r="G334" s="2540"/>
      <c r="H334" s="2621"/>
      <c r="I334" s="2535"/>
      <c r="J334" s="4497"/>
    </row>
    <row r="335" spans="1:10" ht="12" customHeight="1">
      <c r="A335" s="4487" t="str">
        <f>F325</f>
        <v xml:space="preserve">LƯƠNG THÁNG 02/2025  - ເງິນເດືອນ 02/2025
</v>
      </c>
      <c r="B335" s="4488"/>
      <c r="C335" s="4488"/>
      <c r="D335" s="4489"/>
      <c r="E335" s="2535"/>
      <c r="F335" s="4487" t="str">
        <f>A335</f>
        <v xml:space="preserve">LƯƠNG THÁNG 02/2025  - ເງິນເດືອນ 02/2025
</v>
      </c>
      <c r="G335" s="4488"/>
      <c r="H335" s="4488"/>
      <c r="I335" s="4489"/>
      <c r="J335" s="4497"/>
    </row>
    <row r="336" spans="1:10" ht="12" customHeight="1">
      <c r="A336" s="3648" t="s">
        <v>1758</v>
      </c>
      <c r="B336" s="4490" t="str">
        <f>'BẢNG LƯƠNG KT'!C89</f>
        <v>Phò Đăm</v>
      </c>
      <c r="C336" s="4490"/>
      <c r="D336" s="2622">
        <v>13</v>
      </c>
      <c r="E336" s="2540"/>
      <c r="F336" s="3648" t="s">
        <v>1758</v>
      </c>
      <c r="G336" s="4490" t="str">
        <f>'BẢNG LƯƠNG KT'!C90</f>
        <v>Thảo Đăm Đi</v>
      </c>
      <c r="H336" s="4490"/>
      <c r="I336" s="2622">
        <v>14</v>
      </c>
      <c r="J336" s="4497"/>
    </row>
    <row r="337" spans="1:10" ht="12" customHeight="1">
      <c r="A337" s="3649" t="s">
        <v>1759</v>
      </c>
      <c r="B337" s="2514"/>
      <c r="C337" s="2515">
        <f>'BẢNG LƯƠNG KT'!G89</f>
        <v>0</v>
      </c>
      <c r="D337" s="2516">
        <f>C337*25000</f>
        <v>0</v>
      </c>
      <c r="E337" s="2540"/>
      <c r="F337" s="3649" t="s">
        <v>1759</v>
      </c>
      <c r="G337" s="2514"/>
      <c r="H337" s="2515">
        <f>'BẢNG LƯƠNG KT'!G90</f>
        <v>0</v>
      </c>
      <c r="I337" s="2516">
        <f>H337*25000</f>
        <v>0</v>
      </c>
      <c r="J337" s="4497"/>
    </row>
    <row r="338" spans="1:10" ht="12" customHeight="1">
      <c r="A338" s="3650" t="s">
        <v>1760</v>
      </c>
      <c r="B338" s="2519"/>
      <c r="C338" s="2520">
        <f>'BẢNG LƯƠNG KT'!M89+'BẢNG LƯƠNG KT'!N89</f>
        <v>17</v>
      </c>
      <c r="D338" s="2521">
        <f>'BẢNG LƯƠNG KT'!S89</f>
        <v>2200000</v>
      </c>
      <c r="E338" s="2621"/>
      <c r="F338" s="3650" t="s">
        <v>1760</v>
      </c>
      <c r="G338" s="2519"/>
      <c r="H338" s="2520">
        <f>'BẢNG LƯƠNG KT'!M90+'BẢNG LƯƠNG KT'!N90</f>
        <v>1</v>
      </c>
      <c r="I338" s="2521">
        <f>'BẢNG LƯƠNG KT'!S90</f>
        <v>600000</v>
      </c>
      <c r="J338" s="4497"/>
    </row>
    <row r="339" spans="1:10" ht="12" customHeight="1">
      <c r="A339" s="2518" t="s">
        <v>1747</v>
      </c>
      <c r="B339" s="2519"/>
      <c r="C339" s="2520">
        <f>'BẢNG LƯƠNG KT'!J89</f>
        <v>0</v>
      </c>
      <c r="D339" s="2521">
        <f>'BẢNG LƯƠNG KT'!L89</f>
        <v>0</v>
      </c>
      <c r="E339" s="2541"/>
      <c r="F339" s="2518" t="s">
        <v>1747</v>
      </c>
      <c r="G339" s="2519"/>
      <c r="H339" s="2520">
        <f>'BẢNG LƯƠNG KT'!J90</f>
        <v>0</v>
      </c>
      <c r="I339" s="2521">
        <f>'BẢNG LƯƠNG KT'!L90</f>
        <v>0</v>
      </c>
      <c r="J339" s="4497"/>
    </row>
    <row r="340" spans="1:10" ht="12" customHeight="1">
      <c r="A340" s="2926" t="s">
        <v>1748</v>
      </c>
      <c r="B340" s="2519"/>
      <c r="C340" s="2519"/>
      <c r="D340" s="2523"/>
      <c r="E340" s="2541"/>
      <c r="F340" s="2926" t="s">
        <v>1748</v>
      </c>
      <c r="G340" s="2519"/>
      <c r="H340" s="2519"/>
      <c r="I340" s="2523"/>
      <c r="J340" s="2620"/>
    </row>
    <row r="341" spans="1:10" ht="12" customHeight="1">
      <c r="A341" s="3652" t="s">
        <v>1761</v>
      </c>
      <c r="B341" s="2519"/>
      <c r="C341" s="2519"/>
      <c r="D341" s="2523"/>
      <c r="E341" s="2621"/>
      <c r="F341" s="3652" t="s">
        <v>1761</v>
      </c>
      <c r="G341" s="2519"/>
      <c r="H341" s="2519"/>
      <c r="I341" s="2523"/>
      <c r="J341" s="4491"/>
    </row>
    <row r="342" spans="1:10" ht="12" customHeight="1">
      <c r="A342" s="3650" t="s">
        <v>1762</v>
      </c>
      <c r="B342" s="2519"/>
      <c r="C342" s="2526"/>
      <c r="D342" s="2521">
        <f>SUM(D341)</f>
        <v>0</v>
      </c>
      <c r="E342" s="2538"/>
      <c r="F342" s="3650" t="s">
        <v>1762</v>
      </c>
      <c r="G342" s="2519"/>
      <c r="H342" s="2526"/>
      <c r="I342" s="2521"/>
      <c r="J342" s="4491"/>
    </row>
    <row r="343" spans="1:10" ht="12" customHeight="1">
      <c r="A343" s="3651" t="s">
        <v>1763</v>
      </c>
      <c r="B343" s="2528"/>
      <c r="C343" s="2529"/>
      <c r="D343" s="2530">
        <f>(D337+D338+D339)+D341</f>
        <v>2200000</v>
      </c>
      <c r="E343" s="2535"/>
      <c r="F343" s="3651" t="s">
        <v>1763</v>
      </c>
      <c r="G343" s="2528"/>
      <c r="H343" s="2529"/>
      <c r="I343" s="2530">
        <f>(I337+I338+I339)+I341</f>
        <v>600000</v>
      </c>
      <c r="J343" s="4491"/>
    </row>
    <row r="344" spans="1:10" ht="21.75" customHeight="1">
      <c r="A344" s="2543"/>
      <c r="B344" s="2540"/>
      <c r="C344" s="2540"/>
      <c r="D344" s="2540"/>
      <c r="E344" s="2621"/>
      <c r="F344" s="2543"/>
      <c r="G344" s="2540"/>
      <c r="H344" s="2540"/>
      <c r="I344" s="2540"/>
      <c r="J344" s="4491"/>
    </row>
    <row r="345" spans="1:10" ht="12" customHeight="1">
      <c r="A345" s="4487" t="str">
        <f>F335</f>
        <v xml:space="preserve">LƯƠNG THÁNG 02/2025  - ເງິນເດືອນ 02/2025
</v>
      </c>
      <c r="B345" s="4488"/>
      <c r="C345" s="4488"/>
      <c r="D345" s="4489"/>
      <c r="E345" s="2541"/>
      <c r="F345" s="4487" t="str">
        <f>A345</f>
        <v xml:space="preserve">LƯƠNG THÁNG 02/2025  - ເງິນເດືອນ 02/2025
</v>
      </c>
      <c r="G345" s="4488"/>
      <c r="H345" s="4488"/>
      <c r="I345" s="4489"/>
      <c r="J345" s="4491"/>
    </row>
    <row r="346" spans="1:10" ht="12" customHeight="1">
      <c r="A346" s="3648" t="s">
        <v>1758</v>
      </c>
      <c r="B346" s="4490" t="str">
        <f>'BẢNG LƯƠNG KT'!C91</f>
        <v xml:space="preserve"> Thảo Khên </v>
      </c>
      <c r="C346" s="4490"/>
      <c r="D346" s="2622">
        <v>15</v>
      </c>
      <c r="E346" s="2541"/>
      <c r="F346" s="3648" t="s">
        <v>1758</v>
      </c>
      <c r="G346" s="4490" t="str">
        <f>'BẢNG LƯƠNG KT'!C92</f>
        <v xml:space="preserve"> Thảo Đăm </v>
      </c>
      <c r="H346" s="4490"/>
      <c r="I346" s="2622">
        <v>16</v>
      </c>
      <c r="J346" s="4491"/>
    </row>
    <row r="347" spans="1:10" ht="12" customHeight="1">
      <c r="A347" s="3649" t="s">
        <v>1759</v>
      </c>
      <c r="B347" s="2514"/>
      <c r="C347" s="2515">
        <f>'BẢNG LƯƠNG KT'!G91</f>
        <v>0</v>
      </c>
      <c r="D347" s="2516">
        <f>'BẢNG LƯƠNG KT'!H91</f>
        <v>0</v>
      </c>
      <c r="E347" s="2541"/>
      <c r="F347" s="3649" t="s">
        <v>1759</v>
      </c>
      <c r="G347" s="2514"/>
      <c r="H347" s="2515">
        <f>'BẢNG LƯƠNG KT'!G92</f>
        <v>0</v>
      </c>
      <c r="I347" s="2516">
        <f>H347*25000</f>
        <v>0</v>
      </c>
      <c r="J347" s="4491"/>
    </row>
    <row r="348" spans="1:10" ht="12" customHeight="1">
      <c r="A348" s="3650" t="s">
        <v>1760</v>
      </c>
      <c r="B348" s="2519"/>
      <c r="C348" s="2520">
        <f>'BẢNG LƯƠNG KT'!M91+'BẢNG LƯƠNG KT'!N91</f>
        <v>15</v>
      </c>
      <c r="D348" s="2521">
        <f>'BẢNG LƯƠNG KT'!S91</f>
        <v>2000000</v>
      </c>
      <c r="E348" s="2621"/>
      <c r="F348" s="3650" t="s">
        <v>1760</v>
      </c>
      <c r="G348" s="2519"/>
      <c r="H348" s="2520">
        <f>'BẢNG LƯƠNG KT'!M92+'BẢNG LƯƠNG KT'!N92</f>
        <v>20</v>
      </c>
      <c r="I348" s="2521">
        <f>'BẢNG LƯƠNG KT'!S92</f>
        <v>2500000</v>
      </c>
      <c r="J348" s="4491"/>
    </row>
    <row r="349" spans="1:10" ht="12" customHeight="1">
      <c r="A349" s="2518" t="s">
        <v>1747</v>
      </c>
      <c r="B349" s="2519"/>
      <c r="C349" s="2520">
        <f>'BẢNG LƯƠNG KT'!I91</f>
        <v>13</v>
      </c>
      <c r="D349" s="2521">
        <f>'BẢNG LƯƠNG KT'!L91</f>
        <v>34722</v>
      </c>
      <c r="E349" s="2538"/>
      <c r="F349" s="2518" t="s">
        <v>1747</v>
      </c>
      <c r="G349" s="2519"/>
      <c r="H349" s="2520">
        <f>'BẢNG LƯƠNG KT'!J92</f>
        <v>21.591566617862373</v>
      </c>
      <c r="I349" s="2521">
        <f>'BẢNG LƯƠNG KT'!L92</f>
        <v>93482</v>
      </c>
      <c r="J349" s="4491"/>
    </row>
    <row r="350" spans="1:10" ht="12" customHeight="1">
      <c r="A350" s="2926" t="s">
        <v>1748</v>
      </c>
      <c r="B350" s="2519"/>
      <c r="C350" s="2519"/>
      <c r="D350" s="2523"/>
      <c r="E350" s="2535"/>
      <c r="F350" s="2926" t="s">
        <v>1748</v>
      </c>
      <c r="G350" s="2519"/>
      <c r="H350" s="2519"/>
      <c r="I350" s="2523"/>
      <c r="J350" s="4491"/>
    </row>
    <row r="351" spans="1:10" ht="12" customHeight="1">
      <c r="A351" s="3652" t="s">
        <v>1761</v>
      </c>
      <c r="B351" s="2519"/>
      <c r="C351" s="2519"/>
      <c r="D351" s="2523"/>
      <c r="E351" s="2535"/>
      <c r="F351" s="3652" t="s">
        <v>1761</v>
      </c>
      <c r="G351" s="2519"/>
      <c r="H351" s="2519"/>
      <c r="I351" s="2523"/>
      <c r="J351" s="4491"/>
    </row>
    <row r="352" spans="1:10" ht="12" customHeight="1">
      <c r="A352" s="3650" t="s">
        <v>1762</v>
      </c>
      <c r="B352" s="2519"/>
      <c r="C352" s="2526"/>
      <c r="D352" s="2521">
        <f>SUM(D351)</f>
        <v>0</v>
      </c>
      <c r="E352" s="2535"/>
      <c r="F352" s="3650" t="s">
        <v>1762</v>
      </c>
      <c r="G352" s="2519"/>
      <c r="H352" s="2526"/>
      <c r="I352" s="2521">
        <f>SUM(I351)</f>
        <v>0</v>
      </c>
      <c r="J352" s="4491"/>
    </row>
    <row r="353" spans="1:10" ht="12" customHeight="1">
      <c r="A353" s="3651" t="s">
        <v>1763</v>
      </c>
      <c r="B353" s="2528"/>
      <c r="C353" s="2529"/>
      <c r="D353" s="2530">
        <f>(D347+D348+D349)-D352</f>
        <v>2034722</v>
      </c>
      <c r="E353" s="2540"/>
      <c r="F353" s="3651" t="s">
        <v>1763</v>
      </c>
      <c r="G353" s="2528"/>
      <c r="H353" s="2529"/>
      <c r="I353" s="2530">
        <f>(I347+I348+I349)-I352</f>
        <v>2593482</v>
      </c>
      <c r="J353" s="4491"/>
    </row>
    <row r="357" spans="1:10">
      <c r="A357" s="4487" t="str">
        <f>F347</f>
        <v xml:space="preserve">Công sản xuất -ການຜະລິດ
</v>
      </c>
      <c r="B357" s="4488"/>
      <c r="C357" s="4488"/>
      <c r="D357" s="4489"/>
      <c r="F357" s="4487">
        <f>K347</f>
        <v>0</v>
      </c>
      <c r="G357" s="4488"/>
      <c r="H357" s="4488"/>
      <c r="I357" s="4489"/>
    </row>
    <row r="358" spans="1:10" ht="15.75">
      <c r="A358" s="2511" t="s">
        <v>20</v>
      </c>
      <c r="B358" s="4490">
        <f>'BẢNG LƯƠNG KT'!C103</f>
        <v>0</v>
      </c>
      <c r="C358" s="4490"/>
      <c r="D358" s="2963">
        <v>15</v>
      </c>
      <c r="F358" s="2511" t="s">
        <v>20</v>
      </c>
      <c r="G358" s="4490">
        <f>'BẢNG LƯƠNG KT'!H103</f>
        <v>0</v>
      </c>
      <c r="H358" s="4490"/>
      <c r="I358" s="2963">
        <v>15</v>
      </c>
    </row>
    <row r="359" spans="1:10" ht="18">
      <c r="A359" s="2513" t="s">
        <v>1270</v>
      </c>
      <c r="B359" s="2514"/>
      <c r="C359" s="2515">
        <f>'BẢNG LƯƠNG KT'!G103</f>
        <v>0</v>
      </c>
      <c r="D359" s="2516">
        <f>'BẢNG LƯƠNG KT'!H103</f>
        <v>0</v>
      </c>
      <c r="F359" s="2513" t="s">
        <v>1270</v>
      </c>
      <c r="G359" s="2514"/>
      <c r="H359" s="2515">
        <f>'BẢNG LƯƠNG KT'!L103</f>
        <v>0</v>
      </c>
      <c r="I359" s="2516">
        <f>'BẢNG LƯƠNG KT'!M103</f>
        <v>0</v>
      </c>
    </row>
    <row r="360" spans="1:10">
      <c r="A360" s="2518" t="s">
        <v>1271</v>
      </c>
      <c r="B360" s="2519"/>
      <c r="C360" s="2520">
        <f>'BẢNG LƯƠNG KT'!M103+'BẢNG LƯƠNG KT'!N103</f>
        <v>0</v>
      </c>
      <c r="D360" s="2521">
        <f>'BẢNG LƯƠNG KT'!S103</f>
        <v>320</v>
      </c>
      <c r="F360" s="2518" t="s">
        <v>1271</v>
      </c>
      <c r="G360" s="2519"/>
      <c r="H360" s="2520">
        <f>'BẢNG LƯƠNG KT'!S103+'BẢNG LƯƠNG KT'!T103</f>
        <v>320</v>
      </c>
      <c r="I360" s="2521">
        <f>'BẢNG LƯƠNG KT'!X103</f>
        <v>0</v>
      </c>
    </row>
    <row r="361" spans="1:10">
      <c r="A361" s="2518" t="s">
        <v>1272</v>
      </c>
      <c r="B361" s="2519"/>
      <c r="C361" s="2520">
        <f>'BẢNG LƯƠNG KT'!I103</f>
        <v>0</v>
      </c>
      <c r="D361" s="2521">
        <f>'BẢNG LƯƠNG KT'!L103</f>
        <v>0</v>
      </c>
      <c r="F361" s="2518" t="s">
        <v>1272</v>
      </c>
      <c r="G361" s="2519"/>
      <c r="H361" s="2520">
        <f>'BẢNG LƯƠNG KT'!N103</f>
        <v>0</v>
      </c>
      <c r="I361" s="2521">
        <f>'BẢNG LƯƠNG KT'!Q103</f>
        <v>191</v>
      </c>
    </row>
    <row r="362" spans="1:10">
      <c r="A362" s="2926" t="s">
        <v>23</v>
      </c>
      <c r="B362" s="2519"/>
      <c r="C362" s="2519"/>
      <c r="D362" s="2523"/>
      <c r="F362" s="2926" t="s">
        <v>23</v>
      </c>
      <c r="G362" s="2519"/>
      <c r="H362" s="2519"/>
      <c r="I362" s="2523"/>
    </row>
    <row r="363" spans="1:10">
      <c r="A363" s="2524" t="s">
        <v>1273</v>
      </c>
      <c r="B363" s="2519"/>
      <c r="C363" s="2519"/>
      <c r="D363" s="2523"/>
      <c r="F363" s="2524" t="s">
        <v>1273</v>
      </c>
      <c r="G363" s="2519"/>
      <c r="H363" s="2519"/>
      <c r="I363" s="2523"/>
    </row>
    <row r="364" spans="1:10">
      <c r="A364" s="2525" t="s">
        <v>1274</v>
      </c>
      <c r="B364" s="2519"/>
      <c r="C364" s="2526"/>
      <c r="D364" s="2521">
        <f>SUM(D363)</f>
        <v>0</v>
      </c>
      <c r="F364" s="2525" t="s">
        <v>1274</v>
      </c>
      <c r="G364" s="2519"/>
      <c r="H364" s="2526"/>
      <c r="I364" s="2521">
        <f>SUM(I363)</f>
        <v>0</v>
      </c>
    </row>
    <row r="365" spans="1:10">
      <c r="A365" s="2527" t="s">
        <v>1275</v>
      </c>
      <c r="B365" s="2528"/>
      <c r="C365" s="2529"/>
      <c r="D365" s="2530">
        <f>(D359+D360+D361)-D364</f>
        <v>320</v>
      </c>
      <c r="F365" s="2527" t="s">
        <v>1275</v>
      </c>
      <c r="G365" s="2528"/>
      <c r="H365" s="2529"/>
      <c r="I365" s="2530">
        <f>(I359+I360+I361)-I364</f>
        <v>191</v>
      </c>
    </row>
    <row r="372" spans="1:9" ht="83.25" customHeight="1"/>
    <row r="374" spans="1:9">
      <c r="A374" s="4487" t="str">
        <f>A345</f>
        <v xml:space="preserve">LƯƠNG THÁNG 02/2025  - ເງິນເດືອນ 02/2025
</v>
      </c>
      <c r="B374" s="4488"/>
      <c r="C374" s="4488"/>
      <c r="D374" s="4489"/>
      <c r="F374" s="4487" t="str">
        <f>F345</f>
        <v xml:space="preserve">LƯƠNG THÁNG 02/2025  - ເງິນເດືອນ 02/2025
</v>
      </c>
      <c r="G374" s="4488"/>
      <c r="H374" s="4488"/>
      <c r="I374" s="4489"/>
    </row>
    <row r="375" spans="1:9" ht="15.75">
      <c r="A375" s="2511" t="s">
        <v>20</v>
      </c>
      <c r="B375" s="4492" t="s">
        <v>1010</v>
      </c>
      <c r="C375" s="4493"/>
      <c r="D375" s="4498"/>
      <c r="F375" s="2511" t="s">
        <v>20</v>
      </c>
      <c r="G375" s="4492" t="s">
        <v>1358</v>
      </c>
      <c r="H375" s="4493"/>
      <c r="I375" s="4498"/>
    </row>
    <row r="376" spans="1:9" ht="18">
      <c r="A376" s="2513" t="s">
        <v>1270</v>
      </c>
      <c r="B376" s="2514"/>
      <c r="C376" s="2515">
        <f>'BẢNG LƯƠNG KT'!G127</f>
        <v>0</v>
      </c>
      <c r="D376" s="2516">
        <f>C376*25000</f>
        <v>0</v>
      </c>
      <c r="F376" s="2513" t="s">
        <v>1270</v>
      </c>
      <c r="G376" s="2514"/>
      <c r="H376" s="2515">
        <f>'BẢNG LƯƠNG KT'!L127</f>
        <v>0</v>
      </c>
      <c r="I376" s="2516">
        <f>H376*25000</f>
        <v>0</v>
      </c>
    </row>
    <row r="377" spans="1:9">
      <c r="A377" s="2518" t="s">
        <v>1271</v>
      </c>
      <c r="B377" s="2519"/>
      <c r="C377" s="2520">
        <f>'BẢNG LƯƠNG KT'!M127+'BẢNG LƯƠNG KT'!N127</f>
        <v>0</v>
      </c>
      <c r="D377" s="2521">
        <f>'BẢNG LƯƠNG KT'!S127</f>
        <v>0</v>
      </c>
      <c r="F377" s="2518" t="s">
        <v>1271</v>
      </c>
      <c r="G377" s="2519"/>
      <c r="H377" s="2520">
        <f>'BẢNG LƯƠNG KT'!S127+'BẢNG LƯƠNG KT'!T127</f>
        <v>0</v>
      </c>
      <c r="I377" s="2521">
        <f>'BẢNG LƯƠNG KT'!X127</f>
        <v>0</v>
      </c>
    </row>
    <row r="378" spans="1:9">
      <c r="A378" s="2518" t="s">
        <v>1272</v>
      </c>
      <c r="B378" s="2519"/>
      <c r="C378" s="2520">
        <f>'BẢNG LƯƠNG KT'!J127</f>
        <v>0</v>
      </c>
      <c r="D378" s="2521">
        <f>'BẢNG LƯƠNG KT'!L127</f>
        <v>0</v>
      </c>
      <c r="F378" s="2518" t="s">
        <v>1272</v>
      </c>
      <c r="G378" s="2519"/>
      <c r="H378" s="2520">
        <f>'BẢNG LƯƠNG KT'!O127</f>
        <v>0</v>
      </c>
      <c r="I378" s="2521">
        <f>'BẢNG LƯƠNG KT'!Q127</f>
        <v>0</v>
      </c>
    </row>
    <row r="379" spans="1:9">
      <c r="A379" s="2926" t="s">
        <v>23</v>
      </c>
      <c r="B379" s="2519"/>
      <c r="C379" s="2519"/>
      <c r="D379" s="2523"/>
      <c r="F379" s="2926" t="s">
        <v>23</v>
      </c>
      <c r="G379" s="2519"/>
      <c r="H379" s="2519"/>
      <c r="I379" s="2523"/>
    </row>
    <row r="380" spans="1:9">
      <c r="A380" s="2524" t="s">
        <v>1273</v>
      </c>
      <c r="B380" s="2519"/>
      <c r="C380" s="2519"/>
      <c r="D380" s="2523"/>
      <c r="F380" s="2524" t="s">
        <v>1273</v>
      </c>
      <c r="G380" s="2519"/>
      <c r="H380" s="2519"/>
      <c r="I380" s="2523"/>
    </row>
    <row r="381" spans="1:9">
      <c r="A381" s="2525" t="s">
        <v>1274</v>
      </c>
      <c r="B381" s="2519"/>
      <c r="C381" s="2526"/>
      <c r="D381" s="2521">
        <f>SUM(D380)</f>
        <v>0</v>
      </c>
      <c r="F381" s="2525" t="s">
        <v>1274</v>
      </c>
      <c r="G381" s="2519"/>
      <c r="H381" s="2526"/>
      <c r="I381" s="2521">
        <f>SUM(I380)</f>
        <v>0</v>
      </c>
    </row>
    <row r="382" spans="1:9">
      <c r="A382" s="2527" t="s">
        <v>1275</v>
      </c>
      <c r="B382" s="2528"/>
      <c r="C382" s="2529"/>
      <c r="D382" s="2530">
        <f>(D376+D377+D378)-D381</f>
        <v>0</v>
      </c>
      <c r="F382" s="2527" t="s">
        <v>1275</v>
      </c>
      <c r="G382" s="2528"/>
      <c r="H382" s="2529"/>
      <c r="I382" s="2530">
        <f>(I376+I377+I378)-I381</f>
        <v>0</v>
      </c>
    </row>
    <row r="385" spans="1:9">
      <c r="A385" s="4487" t="str">
        <f>A374</f>
        <v xml:space="preserve">LƯƠNG THÁNG 02/2025  - ເງິນເດືອນ 02/2025
</v>
      </c>
      <c r="B385" s="4488"/>
      <c r="C385" s="4488"/>
      <c r="D385" s="4489"/>
      <c r="F385" s="4487" t="str">
        <f>A374</f>
        <v xml:space="preserve">LƯƠNG THÁNG 02/2025  - ເງິນເດືອນ 02/2025
</v>
      </c>
      <c r="G385" s="4488"/>
      <c r="H385" s="4488"/>
      <c r="I385" s="4489"/>
    </row>
    <row r="386" spans="1:9" ht="15.75">
      <c r="A386" s="2511" t="s">
        <v>20</v>
      </c>
      <c r="B386" s="4492" t="s">
        <v>97</v>
      </c>
      <c r="C386" s="4493"/>
      <c r="D386" s="4498"/>
      <c r="F386" s="2511" t="s">
        <v>20</v>
      </c>
      <c r="G386" s="4492" t="s">
        <v>96</v>
      </c>
      <c r="H386" s="4493"/>
      <c r="I386" s="4498"/>
    </row>
    <row r="387" spans="1:9" ht="18">
      <c r="A387" s="2513" t="s">
        <v>782</v>
      </c>
      <c r="B387" s="2514"/>
      <c r="C387" s="2515">
        <f>'BẢNG LƯƠNG KT'!G138</f>
        <v>0</v>
      </c>
      <c r="D387" s="2516">
        <f>C387*25000</f>
        <v>0</v>
      </c>
      <c r="F387" s="2513" t="s">
        <v>1270</v>
      </c>
      <c r="G387" s="2514"/>
      <c r="H387" s="2515">
        <f>'BẢNG LƯƠNG KT'!L138</f>
        <v>0</v>
      </c>
      <c r="I387" s="2516">
        <f>H387*25000</f>
        <v>0</v>
      </c>
    </row>
    <row r="388" spans="1:9">
      <c r="A388" s="2518" t="s">
        <v>23</v>
      </c>
      <c r="B388" s="2519"/>
      <c r="C388" s="2520">
        <f>'BẢNG LƯƠNG KT'!M138+'BẢNG LƯƠNG KT'!N138</f>
        <v>0</v>
      </c>
      <c r="D388" s="2521">
        <f>'BẢNG LƯƠNG KT'!S138</f>
        <v>0</v>
      </c>
      <c r="F388" s="2518" t="s">
        <v>1271</v>
      </c>
      <c r="G388" s="2519"/>
      <c r="H388" s="2520">
        <f>'BẢNG LƯƠNG KT'!S138+'BẢNG LƯƠNG KT'!T138</f>
        <v>0</v>
      </c>
      <c r="I388" s="2521">
        <f>'BẢNG LƯƠNG KT'!X138</f>
        <v>0</v>
      </c>
    </row>
    <row r="389" spans="1:9">
      <c r="A389" s="2518" t="s">
        <v>1359</v>
      </c>
      <c r="B389" s="2519"/>
      <c r="C389" s="2520">
        <f>'BẢNG LƯƠNG KT'!J138</f>
        <v>0</v>
      </c>
      <c r="D389" s="2521">
        <f>'BẢNG LƯƠNG KT'!L138</f>
        <v>0</v>
      </c>
      <c r="F389" s="2518" t="s">
        <v>1272</v>
      </c>
      <c r="G389" s="2519"/>
      <c r="H389" s="2520">
        <f>'BẢNG LƯƠNG KT'!O138</f>
        <v>0</v>
      </c>
      <c r="I389" s="2521">
        <f>'BẢNG LƯƠNG KT'!Q138</f>
        <v>0</v>
      </c>
    </row>
    <row r="390" spans="1:9">
      <c r="A390" s="2926" t="s">
        <v>1360</v>
      </c>
      <c r="B390" s="2519"/>
      <c r="C390" s="2519"/>
      <c r="D390" s="2523"/>
      <c r="F390" s="2926" t="s">
        <v>23</v>
      </c>
      <c r="G390" s="2519"/>
      <c r="H390" s="2519"/>
      <c r="I390" s="2523"/>
    </row>
    <row r="391" spans="1:9">
      <c r="A391" s="2524" t="s">
        <v>1273</v>
      </c>
      <c r="B391" s="2519"/>
      <c r="C391" s="2519"/>
      <c r="D391" s="2523"/>
      <c r="F391" s="2524" t="s">
        <v>1273</v>
      </c>
      <c r="G391" s="2519"/>
      <c r="H391" s="2519"/>
      <c r="I391" s="2523"/>
    </row>
    <row r="392" spans="1:9">
      <c r="A392" s="2525" t="s">
        <v>1274</v>
      </c>
      <c r="B392" s="2519"/>
      <c r="C392" s="2526"/>
      <c r="D392" s="2521">
        <f>SUM(D391)</f>
        <v>0</v>
      </c>
      <c r="F392" s="2525" t="s">
        <v>1274</v>
      </c>
      <c r="G392" s="2519"/>
      <c r="H392" s="2526"/>
      <c r="I392" s="2521">
        <f>SUM(I391)</f>
        <v>0</v>
      </c>
    </row>
    <row r="393" spans="1:9">
      <c r="A393" s="2527" t="s">
        <v>1275</v>
      </c>
      <c r="B393" s="2528"/>
      <c r="C393" s="2529"/>
      <c r="D393" s="2530">
        <f>(D387+D388+D389)-D392</f>
        <v>0</v>
      </c>
      <c r="F393" s="2527" t="s">
        <v>1275</v>
      </c>
      <c r="G393" s="2528"/>
      <c r="H393" s="2529"/>
      <c r="I393" s="2530">
        <f>(I387+I388+I389)-I392</f>
        <v>0</v>
      </c>
    </row>
    <row r="396" spans="1:9">
      <c r="A396" s="4487" t="str">
        <f>A374</f>
        <v xml:space="preserve">LƯƠNG THÁNG 02/2025  - ເງິນເດືອນ 02/2025
</v>
      </c>
      <c r="B396" s="4488"/>
      <c r="C396" s="4488"/>
      <c r="D396" s="4489"/>
      <c r="F396" s="4487" t="str">
        <f>A374</f>
        <v xml:space="preserve">LƯƠNG THÁNG 02/2025  - ເງິນເດືອນ 02/2025
</v>
      </c>
      <c r="G396" s="4488"/>
      <c r="H396" s="4488"/>
      <c r="I396" s="4489"/>
    </row>
    <row r="397" spans="1:9" ht="15.75">
      <c r="A397" s="2511" t="s">
        <v>20</v>
      </c>
      <c r="B397" s="4492" t="s">
        <v>1305</v>
      </c>
      <c r="C397" s="4493"/>
      <c r="D397" s="4498"/>
      <c r="F397" s="2511" t="s">
        <v>20</v>
      </c>
      <c r="G397" s="4492" t="s">
        <v>1306</v>
      </c>
      <c r="H397" s="4493"/>
      <c r="I397" s="4498"/>
    </row>
    <row r="398" spans="1:9" ht="18">
      <c r="A398" s="2513" t="s">
        <v>1270</v>
      </c>
      <c r="B398" s="2514"/>
      <c r="C398" s="2515">
        <f>'BẢNG LƯƠNG KT'!G149</f>
        <v>0</v>
      </c>
      <c r="D398" s="2516">
        <f>C398*25000</f>
        <v>0</v>
      </c>
      <c r="F398" s="2513" t="s">
        <v>1270</v>
      </c>
      <c r="G398" s="2514"/>
      <c r="H398" s="2515">
        <f>'BẢNG LƯƠNG KT'!L149</f>
        <v>0</v>
      </c>
      <c r="I398" s="2516">
        <f>H398*25000</f>
        <v>0</v>
      </c>
    </row>
    <row r="399" spans="1:9">
      <c r="A399" s="2518" t="s">
        <v>1271</v>
      </c>
      <c r="B399" s="2519"/>
      <c r="C399" s="2520">
        <f>'BẢNG LƯƠNG KT'!M149+'BẢNG LƯƠNG KT'!N149</f>
        <v>0</v>
      </c>
      <c r="D399" s="2521">
        <f>'BẢNG LƯƠNG KT'!S149</f>
        <v>0</v>
      </c>
      <c r="F399" s="2518" t="s">
        <v>1271</v>
      </c>
      <c r="G399" s="2519"/>
      <c r="H399" s="2520">
        <f>'BẢNG LƯƠNG KT'!S149+'BẢNG LƯƠNG KT'!T149</f>
        <v>0</v>
      </c>
      <c r="I399" s="2521">
        <f>'BẢNG LƯƠNG KT'!X149</f>
        <v>0</v>
      </c>
    </row>
    <row r="400" spans="1:9">
      <c r="A400" s="2518" t="s">
        <v>1272</v>
      </c>
      <c r="B400" s="2519"/>
      <c r="C400" s="2520">
        <f>'BẢNG LƯƠNG KT'!J149</f>
        <v>0</v>
      </c>
      <c r="D400" s="2521">
        <f>'BẢNG LƯƠNG KT'!L149</f>
        <v>0</v>
      </c>
      <c r="F400" s="2518" t="s">
        <v>1272</v>
      </c>
      <c r="G400" s="2519"/>
      <c r="H400" s="2520">
        <f>'BẢNG LƯƠNG KT'!O149</f>
        <v>0</v>
      </c>
      <c r="I400" s="2521">
        <f>'BẢNG LƯƠNG KT'!Q149</f>
        <v>0</v>
      </c>
    </row>
    <row r="401" spans="1:9">
      <c r="A401" s="2926" t="s">
        <v>23</v>
      </c>
      <c r="B401" s="2519"/>
      <c r="C401" s="2519"/>
      <c r="D401" s="2523"/>
      <c r="F401" s="2926" t="s">
        <v>23</v>
      </c>
      <c r="G401" s="2519"/>
      <c r="H401" s="2519"/>
      <c r="I401" s="2523"/>
    </row>
    <row r="402" spans="1:9">
      <c r="A402" s="2524" t="s">
        <v>1273</v>
      </c>
      <c r="B402" s="2519"/>
      <c r="C402" s="2519"/>
      <c r="D402" s="2523"/>
      <c r="F402" s="2524" t="s">
        <v>1273</v>
      </c>
      <c r="G402" s="2519"/>
      <c r="H402" s="2519"/>
      <c r="I402" s="2523"/>
    </row>
    <row r="403" spans="1:9">
      <c r="A403" s="2525" t="s">
        <v>1274</v>
      </c>
      <c r="B403" s="2519"/>
      <c r="C403" s="2526"/>
      <c r="D403" s="2521">
        <f>SUM(D402)</f>
        <v>0</v>
      </c>
      <c r="F403" s="2525" t="s">
        <v>1274</v>
      </c>
      <c r="G403" s="2519"/>
      <c r="H403" s="2526"/>
      <c r="I403" s="2521">
        <f>SUM(I402)</f>
        <v>0</v>
      </c>
    </row>
    <row r="404" spans="1:9">
      <c r="A404" s="2527" t="s">
        <v>1275</v>
      </c>
      <c r="B404" s="2528"/>
      <c r="C404" s="2529"/>
      <c r="D404" s="2530">
        <f>(D398+D399+D400)-D403</f>
        <v>0</v>
      </c>
      <c r="F404" s="2527" t="s">
        <v>1275</v>
      </c>
      <c r="G404" s="2528"/>
      <c r="H404" s="2529"/>
      <c r="I404" s="2530">
        <f>(I398+I399+I400)-I403</f>
        <v>0</v>
      </c>
    </row>
  </sheetData>
  <mergeCells count="194">
    <mergeCell ref="A396:D396"/>
    <mergeCell ref="F396:I396"/>
    <mergeCell ref="B375:D375"/>
    <mergeCell ref="G375:I375"/>
    <mergeCell ref="B386:D386"/>
    <mergeCell ref="G386:I386"/>
    <mergeCell ref="B397:D397"/>
    <mergeCell ref="G397:I397"/>
    <mergeCell ref="A357:D357"/>
    <mergeCell ref="B358:C358"/>
    <mergeCell ref="F357:I357"/>
    <mergeCell ref="G358:H358"/>
    <mergeCell ref="A374:D374"/>
    <mergeCell ref="F374:I374"/>
    <mergeCell ref="A385:D385"/>
    <mergeCell ref="A335:D335"/>
    <mergeCell ref="F335:I335"/>
    <mergeCell ref="B336:C336"/>
    <mergeCell ref="G336:H336"/>
    <mergeCell ref="F345:I345"/>
    <mergeCell ref="F385:I385"/>
    <mergeCell ref="J300:J305"/>
    <mergeCell ref="B305:C305"/>
    <mergeCell ref="G305:H305"/>
    <mergeCell ref="J307:J312"/>
    <mergeCell ref="J314:J323"/>
    <mergeCell ref="B316:C316"/>
    <mergeCell ref="G316:H316"/>
    <mergeCell ref="J324:J329"/>
    <mergeCell ref="B326:C326"/>
    <mergeCell ref="G326:H326"/>
    <mergeCell ref="A325:D325"/>
    <mergeCell ref="F325:I325"/>
    <mergeCell ref="A304:D304"/>
    <mergeCell ref="F304:I304"/>
    <mergeCell ref="A315:D315"/>
    <mergeCell ref="F315:I315"/>
    <mergeCell ref="J348:J353"/>
    <mergeCell ref="A345:D345"/>
    <mergeCell ref="G244:H244"/>
    <mergeCell ref="J253:J258"/>
    <mergeCell ref="A284:D284"/>
    <mergeCell ref="F284:I284"/>
    <mergeCell ref="A294:D294"/>
    <mergeCell ref="F294:I294"/>
    <mergeCell ref="J267:J272"/>
    <mergeCell ref="B275:C275"/>
    <mergeCell ref="G275:H275"/>
    <mergeCell ref="J284:J288"/>
    <mergeCell ref="B285:C285"/>
    <mergeCell ref="G285:H285"/>
    <mergeCell ref="J289:J298"/>
    <mergeCell ref="B295:C295"/>
    <mergeCell ref="G141:H141"/>
    <mergeCell ref="J334:J339"/>
    <mergeCell ref="J179:J184"/>
    <mergeCell ref="A180:D180"/>
    <mergeCell ref="F180:I180"/>
    <mergeCell ref="J185:J189"/>
    <mergeCell ref="B181:C181"/>
    <mergeCell ref="G181:H181"/>
    <mergeCell ref="B194:C194"/>
    <mergeCell ref="G194:H194"/>
    <mergeCell ref="G295:H295"/>
    <mergeCell ref="A203:D203"/>
    <mergeCell ref="F203:I203"/>
    <mergeCell ref="J203:J207"/>
    <mergeCell ref="B204:C204"/>
    <mergeCell ref="G204:H204"/>
    <mergeCell ref="J208:J217"/>
    <mergeCell ref="A213:D213"/>
    <mergeCell ref="J232:J241"/>
    <mergeCell ref="A233:D233"/>
    <mergeCell ref="F233:I233"/>
    <mergeCell ref="B234:C234"/>
    <mergeCell ref="G234:H234"/>
    <mergeCell ref="F223:I223"/>
    <mergeCell ref="J112:J118"/>
    <mergeCell ref="A117:D117"/>
    <mergeCell ref="F117:I117"/>
    <mergeCell ref="J119:J125"/>
    <mergeCell ref="J129:J138"/>
    <mergeCell ref="A130:D130"/>
    <mergeCell ref="F130:I130"/>
    <mergeCell ref="J96:J101"/>
    <mergeCell ref="A97:D97"/>
    <mergeCell ref="F97:I97"/>
    <mergeCell ref="J102:J109"/>
    <mergeCell ref="A107:D107"/>
    <mergeCell ref="F107:I107"/>
    <mergeCell ref="B118:C118"/>
    <mergeCell ref="G118:H118"/>
    <mergeCell ref="B131:C131"/>
    <mergeCell ref="B98:C98"/>
    <mergeCell ref="G98:H98"/>
    <mergeCell ref="B108:C108"/>
    <mergeCell ref="G108:H108"/>
    <mergeCell ref="G131:H131"/>
    <mergeCell ref="J73:J79"/>
    <mergeCell ref="A77:D77"/>
    <mergeCell ref="F77:I77"/>
    <mergeCell ref="J80:J85"/>
    <mergeCell ref="A86:D86"/>
    <mergeCell ref="F86:I86"/>
    <mergeCell ref="J86:J94"/>
    <mergeCell ref="A87:D87"/>
    <mergeCell ref="F87:I87"/>
    <mergeCell ref="B78:C78"/>
    <mergeCell ref="G78:H78"/>
    <mergeCell ref="B88:C88"/>
    <mergeCell ref="G88:H88"/>
    <mergeCell ref="J66:J71"/>
    <mergeCell ref="A67:D67"/>
    <mergeCell ref="F67:I67"/>
    <mergeCell ref="J28:J33"/>
    <mergeCell ref="A32:D32"/>
    <mergeCell ref="F32:I32"/>
    <mergeCell ref="J35:J40"/>
    <mergeCell ref="J41:J50"/>
    <mergeCell ref="A42:D42"/>
    <mergeCell ref="F42:I42"/>
    <mergeCell ref="G33:H33"/>
    <mergeCell ref="B43:C43"/>
    <mergeCell ref="G43:H43"/>
    <mergeCell ref="B53:C53"/>
    <mergeCell ref="G53:H53"/>
    <mergeCell ref="B68:C68"/>
    <mergeCell ref="G68:H68"/>
    <mergeCell ref="A2:D2"/>
    <mergeCell ref="F2:I2"/>
    <mergeCell ref="A12:D12"/>
    <mergeCell ref="F12:I12"/>
    <mergeCell ref="J12:J16"/>
    <mergeCell ref="J17:J26"/>
    <mergeCell ref="A22:D22"/>
    <mergeCell ref="F22:I22"/>
    <mergeCell ref="J51:J56"/>
    <mergeCell ref="A52:D52"/>
    <mergeCell ref="F52:I52"/>
    <mergeCell ref="B3:C3"/>
    <mergeCell ref="G3:H3"/>
    <mergeCell ref="B13:C13"/>
    <mergeCell ref="G13:H13"/>
    <mergeCell ref="B23:C23"/>
    <mergeCell ref="G23:H23"/>
    <mergeCell ref="B33:C33"/>
    <mergeCell ref="J139:J145"/>
    <mergeCell ref="A140:D140"/>
    <mergeCell ref="F140:I140"/>
    <mergeCell ref="J146:J152"/>
    <mergeCell ref="A150:D150"/>
    <mergeCell ref="F150:I150"/>
    <mergeCell ref="J341:J347"/>
    <mergeCell ref="B346:C346"/>
    <mergeCell ref="G346:H346"/>
    <mergeCell ref="B151:C151"/>
    <mergeCell ref="G151:H151"/>
    <mergeCell ref="B161:C161"/>
    <mergeCell ref="G161:H161"/>
    <mergeCell ref="B171:C171"/>
    <mergeCell ref="G171:H171"/>
    <mergeCell ref="J153:J161"/>
    <mergeCell ref="A160:D160"/>
    <mergeCell ref="F160:I160"/>
    <mergeCell ref="J162:J168"/>
    <mergeCell ref="J169:J175"/>
    <mergeCell ref="A170:D170"/>
    <mergeCell ref="F170:I170"/>
    <mergeCell ref="G224:H224"/>
    <mergeCell ref="B141:C141"/>
    <mergeCell ref="A193:D193"/>
    <mergeCell ref="F193:I193"/>
    <mergeCell ref="A274:D274"/>
    <mergeCell ref="F274:I274"/>
    <mergeCell ref="A254:D254"/>
    <mergeCell ref="F254:I254"/>
    <mergeCell ref="B255:C255"/>
    <mergeCell ref="G255:H255"/>
    <mergeCell ref="J260:J266"/>
    <mergeCell ref="A264:D264"/>
    <mergeCell ref="F264:I264"/>
    <mergeCell ref="B265:C265"/>
    <mergeCell ref="G265:H265"/>
    <mergeCell ref="F213:I213"/>
    <mergeCell ref="B214:C214"/>
    <mergeCell ref="G214:H214"/>
    <mergeCell ref="J219:J224"/>
    <mergeCell ref="A223:D223"/>
    <mergeCell ref="J226:J231"/>
    <mergeCell ref="B224:C224"/>
    <mergeCell ref="J242:J247"/>
    <mergeCell ref="A243:D243"/>
    <mergeCell ref="F243:I243"/>
    <mergeCell ref="B244:C244"/>
  </mergeCells>
  <pageMargins left="0.31496062992125984" right="0" top="0.6692913385826772" bottom="0.74803149606299213" header="0.31496062992125984" footer="0.31496062992125984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9"/>
  <sheetViews>
    <sheetView topLeftCell="A22" workbookViewId="0">
      <selection activeCell="D44" sqref="D44"/>
    </sheetView>
  </sheetViews>
  <sheetFormatPr defaultRowHeight="14.25"/>
  <cols>
    <col min="1" max="1" width="17.625" customWidth="1"/>
    <col min="2" max="2" width="4.25" customWidth="1"/>
    <col min="3" max="3" width="6.875" style="3030" customWidth="1"/>
    <col min="4" max="4" width="9.875" customWidth="1"/>
    <col min="5" max="5" width="7.75" customWidth="1"/>
    <col min="6" max="6" width="17.375" customWidth="1"/>
    <col min="7" max="7" width="5" customWidth="1"/>
    <col min="8" max="8" width="6" style="3030" customWidth="1"/>
    <col min="12" max="12" width="9.875" bestFit="1" customWidth="1"/>
    <col min="13" max="13" width="19.125" customWidth="1"/>
    <col min="14" max="14" width="17.875" bestFit="1" customWidth="1"/>
    <col min="15" max="15" width="15.25" bestFit="1" customWidth="1"/>
    <col min="16" max="16" width="12.625" bestFit="1" customWidth="1"/>
  </cols>
  <sheetData>
    <row r="1" spans="1:12">
      <c r="A1" s="3019" t="s">
        <v>1362</v>
      </c>
      <c r="B1" s="4500">
        <v>21863</v>
      </c>
      <c r="C1" s="4500"/>
    </row>
    <row r="3" spans="1:12" ht="15">
      <c r="A3" s="4487" t="s">
        <v>1754</v>
      </c>
      <c r="B3" s="4488"/>
      <c r="C3" s="4488"/>
      <c r="D3" s="4489"/>
      <c r="E3" s="2170"/>
      <c r="F3" s="4487" t="s">
        <v>1754</v>
      </c>
      <c r="G3" s="4488"/>
      <c r="H3" s="4488"/>
      <c r="I3" s="4489"/>
    </row>
    <row r="4" spans="1:12" ht="15.75">
      <c r="A4" s="2511" t="s">
        <v>20</v>
      </c>
      <c r="B4" s="4492" t="s">
        <v>1010</v>
      </c>
      <c r="C4" s="4493"/>
      <c r="D4" s="4498"/>
      <c r="E4" s="2170"/>
      <c r="F4" s="2511" t="s">
        <v>20</v>
      </c>
      <c r="G4" s="4492" t="s">
        <v>638</v>
      </c>
      <c r="H4" s="4493"/>
      <c r="I4" s="4498"/>
      <c r="K4" s="3019"/>
    </row>
    <row r="5" spans="1:12" s="2475" customFormat="1" ht="18">
      <c r="A5" s="2625" t="s">
        <v>233</v>
      </c>
      <c r="B5" s="3017"/>
      <c r="C5" s="3031">
        <f>SUM(C6:C8)</f>
        <v>3258.9</v>
      </c>
      <c r="D5" s="3011">
        <f>SUM(D6:D8)</f>
        <v>71485904</v>
      </c>
      <c r="E5" s="2212"/>
      <c r="F5" s="2625" t="s">
        <v>233</v>
      </c>
      <c r="G5" s="3017"/>
      <c r="H5" s="3031">
        <f>SUM(H6:H8)</f>
        <v>1859.8148148148148</v>
      </c>
      <c r="I5" s="3031">
        <f>SUM(I6:I8)</f>
        <v>40793195</v>
      </c>
    </row>
    <row r="6" spans="1:12" ht="15">
      <c r="A6" s="3016" t="s">
        <v>782</v>
      </c>
      <c r="C6" s="3032">
        <v>610</v>
      </c>
      <c r="D6" s="3013">
        <f>C6*$B$1</f>
        <v>13336430</v>
      </c>
      <c r="E6" s="2170"/>
      <c r="F6" s="3016" t="s">
        <v>782</v>
      </c>
      <c r="H6" s="3032">
        <v>340</v>
      </c>
      <c r="I6" s="3013">
        <f>H6*$B$1</f>
        <v>7433420</v>
      </c>
    </row>
    <row r="7" spans="1:12" ht="15">
      <c r="A7" s="2518" t="s">
        <v>23</v>
      </c>
      <c r="B7" s="2519"/>
      <c r="C7" s="3014">
        <v>210</v>
      </c>
      <c r="D7" s="3014">
        <f>C7*$B$1</f>
        <v>4591230</v>
      </c>
      <c r="E7" s="2170"/>
      <c r="F7" s="2518" t="s">
        <v>23</v>
      </c>
      <c r="G7" s="2519"/>
      <c r="H7" s="3014">
        <v>158.33333333333334</v>
      </c>
      <c r="I7" s="3014">
        <f>H7*$B$1</f>
        <v>3461641.666666667</v>
      </c>
      <c r="L7">
        <v>21960</v>
      </c>
    </row>
    <row r="8" spans="1:12" ht="15">
      <c r="A8" s="2518" t="s">
        <v>1757</v>
      </c>
      <c r="B8" s="2519"/>
      <c r="C8" s="3014">
        <v>2438.9</v>
      </c>
      <c r="D8" s="3014">
        <f>C8*L7</f>
        <v>53558244</v>
      </c>
      <c r="E8" s="2170"/>
      <c r="F8" s="2518" t="s">
        <v>1757</v>
      </c>
      <c r="G8" s="2519"/>
      <c r="H8" s="3014">
        <v>1361.4814814814815</v>
      </c>
      <c r="I8" s="3014">
        <f>H8*L7</f>
        <v>29898133.333333336</v>
      </c>
    </row>
    <row r="9" spans="1:12" s="2475" customFormat="1">
      <c r="A9" s="3012" t="s">
        <v>1361</v>
      </c>
      <c r="B9" s="2520"/>
      <c r="C9" s="2521"/>
      <c r="D9" s="2521"/>
      <c r="E9" s="2212"/>
      <c r="F9" s="3012" t="s">
        <v>1361</v>
      </c>
      <c r="G9" s="2520"/>
      <c r="H9" s="2521"/>
      <c r="I9" s="2521"/>
    </row>
    <row r="10" spans="1:12" s="3020" customFormat="1" ht="15">
      <c r="A10" s="2518" t="s">
        <v>1359</v>
      </c>
      <c r="B10" s="2519"/>
      <c r="C10" s="3033">
        <f>1624149/B1</f>
        <v>74.287563463385624</v>
      </c>
      <c r="D10" s="2523">
        <f>C10*$B$1</f>
        <v>1624149</v>
      </c>
      <c r="E10" s="2170"/>
      <c r="F10" s="2518" t="s">
        <v>1359</v>
      </c>
      <c r="G10" s="2519"/>
      <c r="H10" s="3033">
        <f>774506/B1</f>
        <v>35.425421945753101</v>
      </c>
      <c r="I10" s="2523">
        <f>H10*$B$1</f>
        <v>774506</v>
      </c>
    </row>
    <row r="11" spans="1:12" ht="15">
      <c r="A11" s="2926" t="s">
        <v>1756</v>
      </c>
      <c r="B11" s="2519"/>
      <c r="C11" s="3034">
        <f>153406/B1</f>
        <v>7.0166948726158349</v>
      </c>
      <c r="D11" s="3014">
        <f>C11*$B$1</f>
        <v>153406</v>
      </c>
      <c r="E11" s="2170"/>
      <c r="F11" s="2926" t="s">
        <v>1756</v>
      </c>
      <c r="G11" s="2519"/>
      <c r="H11" s="3034">
        <f>97156/B1</f>
        <v>4.443854914696062</v>
      </c>
      <c r="I11" s="3014">
        <f>H11*$B$1</f>
        <v>97156</v>
      </c>
    </row>
    <row r="12" spans="1:12" ht="15">
      <c r="A12" s="2524" t="s">
        <v>1755</v>
      </c>
      <c r="B12" s="2519"/>
      <c r="C12" s="3034">
        <f>962934/B1</f>
        <v>44.04400128070256</v>
      </c>
      <c r="D12" s="3014">
        <f>C12*$B$1</f>
        <v>962934.00000000012</v>
      </c>
      <c r="E12" s="2170"/>
      <c r="F12" s="2524" t="s">
        <v>1755</v>
      </c>
      <c r="G12" s="2519"/>
      <c r="H12" s="3034">
        <f>404943/B1</f>
        <v>18.521840552531675</v>
      </c>
      <c r="I12" s="3014">
        <f>H12*$B$1</f>
        <v>404943</v>
      </c>
    </row>
    <row r="13" spans="1:12" s="2475" customFormat="1">
      <c r="A13" s="2522" t="s">
        <v>1274</v>
      </c>
      <c r="B13" s="2520"/>
      <c r="C13" s="3022">
        <f>D13/B1</f>
        <v>125.34825961670403</v>
      </c>
      <c r="D13" s="3015">
        <f>D10+D11+D12</f>
        <v>2740489</v>
      </c>
      <c r="E13" s="2212"/>
      <c r="F13" s="2522" t="s">
        <v>1274</v>
      </c>
      <c r="G13" s="2520"/>
      <c r="H13" s="3022">
        <f>I13/B1</f>
        <v>58.391117412980833</v>
      </c>
      <c r="I13" s="3015">
        <f>I10+I11+I12</f>
        <v>1276605</v>
      </c>
    </row>
    <row r="14" spans="1:12" ht="15">
      <c r="A14" s="2527" t="s">
        <v>1275</v>
      </c>
      <c r="B14" s="2528"/>
      <c r="C14" s="3023">
        <f>C5-C13</f>
        <v>3133.551740383296</v>
      </c>
      <c r="D14" s="2529">
        <f>D5-D13</f>
        <v>68745415</v>
      </c>
      <c r="E14" s="2170"/>
      <c r="F14" s="2527" t="s">
        <v>1275</v>
      </c>
      <c r="G14" s="2528"/>
      <c r="H14" s="3023">
        <f>H5-H13</f>
        <v>1801.423697401834</v>
      </c>
      <c r="I14" s="2530">
        <f>I5-I13</f>
        <v>39516590</v>
      </c>
    </row>
    <row r="15" spans="1:12" ht="15">
      <c r="A15" s="2527" t="s">
        <v>1363</v>
      </c>
      <c r="B15" s="2528">
        <v>3100</v>
      </c>
      <c r="C15" s="3035"/>
      <c r="D15" s="2529">
        <f>(C14-B15)*B1</f>
        <v>733541.69999999972</v>
      </c>
      <c r="E15" s="2170"/>
      <c r="F15" s="2527" t="s">
        <v>1363</v>
      </c>
      <c r="G15" s="2528">
        <v>1800</v>
      </c>
      <c r="H15" s="2530"/>
      <c r="I15" s="2530">
        <f>(H14-G15)*B1</f>
        <v>31126.296296297471</v>
      </c>
    </row>
    <row r="16" spans="1:12" ht="15">
      <c r="A16" s="2170"/>
      <c r="B16" s="2170"/>
      <c r="C16" s="3036"/>
      <c r="D16" s="2170"/>
      <c r="E16" s="2170"/>
    </row>
    <row r="17" spans="1:15">
      <c r="A17" s="4487" t="s">
        <v>1754</v>
      </c>
      <c r="B17" s="4488"/>
      <c r="C17" s="4488"/>
      <c r="D17" s="4489"/>
      <c r="F17" s="4487" t="s">
        <v>1754</v>
      </c>
      <c r="G17" s="4488"/>
      <c r="H17" s="4488"/>
      <c r="I17" s="4489"/>
    </row>
    <row r="18" spans="1:15" ht="15.75">
      <c r="A18" s="2511" t="s">
        <v>20</v>
      </c>
      <c r="B18" s="4492" t="s">
        <v>97</v>
      </c>
      <c r="C18" s="4493"/>
      <c r="D18" s="4498"/>
      <c r="F18" s="2511" t="s">
        <v>20</v>
      </c>
      <c r="G18" s="4492" t="s">
        <v>1306</v>
      </c>
      <c r="H18" s="4493"/>
      <c r="I18" s="4498"/>
    </row>
    <row r="19" spans="1:15" ht="18">
      <c r="A19" s="2625" t="s">
        <v>233</v>
      </c>
      <c r="B19" s="3017"/>
      <c r="C19" s="3031">
        <f>SUM(C20:C22)</f>
        <v>1628</v>
      </c>
      <c r="D19" s="3031">
        <f>SUM(D20:D22)</f>
        <v>35712080</v>
      </c>
      <c r="F19" s="2625" t="s">
        <v>233</v>
      </c>
      <c r="G19" s="3017"/>
      <c r="H19" s="3031">
        <f>SUM(H20:H22)</f>
        <v>1180.5555555555557</v>
      </c>
      <c r="I19" s="3031">
        <f>SUM(I20:I22)</f>
        <v>25871407.5</v>
      </c>
    </row>
    <row r="20" spans="1:15">
      <c r="A20" s="3016" t="s">
        <v>782</v>
      </c>
      <c r="C20" s="3032">
        <v>300</v>
      </c>
      <c r="D20" s="3013">
        <f>C20*$B$1</f>
        <v>6558900</v>
      </c>
      <c r="F20" s="3016" t="s">
        <v>782</v>
      </c>
      <c r="H20" s="3032">
        <v>380</v>
      </c>
      <c r="I20" s="3013">
        <f>H20*$B$1</f>
        <v>8307940</v>
      </c>
    </row>
    <row r="21" spans="1:15">
      <c r="A21" s="2518" t="s">
        <v>23</v>
      </c>
      <c r="B21" s="2519"/>
      <c r="C21" s="3014">
        <v>100</v>
      </c>
      <c r="D21" s="3014">
        <f>C21*$B$1</f>
        <v>2186300</v>
      </c>
      <c r="F21" s="2518" t="s">
        <v>23</v>
      </c>
      <c r="G21" s="2519"/>
      <c r="H21" s="3014">
        <v>172.5</v>
      </c>
      <c r="I21" s="3014">
        <f>H21*$B$1</f>
        <v>3771367.5</v>
      </c>
    </row>
    <row r="22" spans="1:15">
      <c r="A22" s="2518" t="s">
        <v>1757</v>
      </c>
      <c r="B22" s="2519"/>
      <c r="C22" s="3014">
        <v>1228</v>
      </c>
      <c r="D22" s="3014">
        <f>C22*L7</f>
        <v>26966880</v>
      </c>
      <c r="F22" s="2518" t="s">
        <v>1757</v>
      </c>
      <c r="G22" s="2519"/>
      <c r="H22" s="3014">
        <v>628.05555555555554</v>
      </c>
      <c r="I22" s="3014">
        <f>H22*L7</f>
        <v>13792100</v>
      </c>
    </row>
    <row r="23" spans="1:15">
      <c r="A23" s="3012" t="s">
        <v>1361</v>
      </c>
      <c r="B23" s="2520"/>
      <c r="C23" s="2521"/>
      <c r="D23" s="2521"/>
      <c r="F23" s="3012" t="s">
        <v>1361</v>
      </c>
      <c r="G23" s="2520"/>
      <c r="H23" s="2521"/>
      <c r="I23" s="2521"/>
    </row>
    <row r="24" spans="1:15" s="3020" customFormat="1">
      <c r="A24" s="2518" t="s">
        <v>1359</v>
      </c>
      <c r="B24" s="2519"/>
      <c r="C24" s="3033">
        <f>559520/B1</f>
        <v>25.592096235649269</v>
      </c>
      <c r="D24" s="2523">
        <f>C24*$B$1</f>
        <v>559520</v>
      </c>
      <c r="F24" s="2518" t="s">
        <v>1359</v>
      </c>
      <c r="G24" s="2519"/>
      <c r="H24" s="3033">
        <f>892931/B1</f>
        <v>40.842107670493526</v>
      </c>
      <c r="I24" s="2523">
        <f>H24*$B$1</f>
        <v>892931</v>
      </c>
    </row>
    <row r="25" spans="1:15">
      <c r="A25" s="2926" t="s">
        <v>1756</v>
      </c>
      <c r="B25" s="2519"/>
      <c r="C25" s="3034">
        <f>77489/B1</f>
        <v>3.5442985866532499</v>
      </c>
      <c r="D25" s="3014">
        <f>C25*$B$1</f>
        <v>77489</v>
      </c>
      <c r="F25" s="2926" t="s">
        <v>1756</v>
      </c>
      <c r="G25" s="2519"/>
      <c r="H25" s="3034">
        <f>107081/B1</f>
        <v>4.897818231715684</v>
      </c>
      <c r="I25" s="3014">
        <f>H25*$B$1</f>
        <v>107081</v>
      </c>
    </row>
    <row r="26" spans="1:15">
      <c r="A26" s="2524" t="s">
        <v>1755</v>
      </c>
      <c r="B26" s="2519"/>
      <c r="C26" s="3034">
        <f>436828/B1</f>
        <v>19.980240589123177</v>
      </c>
      <c r="D26" s="3014">
        <f>C26*$B$1</f>
        <v>436828</v>
      </c>
      <c r="F26" s="2524" t="s">
        <v>1755</v>
      </c>
      <c r="G26" s="2519"/>
      <c r="H26" s="3034">
        <f>478279/B1</f>
        <v>21.876183506380642</v>
      </c>
      <c r="I26" s="3014">
        <f>H26*$B$1</f>
        <v>478278.99999999994</v>
      </c>
    </row>
    <row r="27" spans="1:15">
      <c r="A27" s="2522" t="s">
        <v>1274</v>
      </c>
      <c r="B27" s="2520"/>
      <c r="C27" s="3022">
        <f>D27/B1</f>
        <v>49.116635411425698</v>
      </c>
      <c r="D27" s="3015">
        <f>D24+D25+D26</f>
        <v>1073837</v>
      </c>
      <c r="F27" s="2522" t="s">
        <v>1274</v>
      </c>
      <c r="G27" s="2520"/>
      <c r="H27" s="3022">
        <f>I27/B1</f>
        <v>67.61610940858985</v>
      </c>
      <c r="I27" s="3015">
        <f>I24+I25+I26</f>
        <v>1478291</v>
      </c>
    </row>
    <row r="28" spans="1:15">
      <c r="A28" s="2527" t="s">
        <v>1275</v>
      </c>
      <c r="B28" s="2528"/>
      <c r="C28" s="3023">
        <f>C19-C27</f>
        <v>1578.8833645885743</v>
      </c>
      <c r="D28" s="2530">
        <f>(D20+D21)-D27</f>
        <v>7671363</v>
      </c>
      <c r="F28" s="2527" t="s">
        <v>1275</v>
      </c>
      <c r="G28" s="2528"/>
      <c r="H28" s="2530">
        <f>H19-H27</f>
        <v>1112.9394461469658</v>
      </c>
      <c r="I28" s="2530">
        <f>(I20+I21)-I27</f>
        <v>10601016.5</v>
      </c>
      <c r="M28" s="2832" t="s">
        <v>1364</v>
      </c>
      <c r="N28" s="2832"/>
      <c r="O28" s="3645">
        <v>8511012</v>
      </c>
    </row>
    <row r="29" spans="1:15">
      <c r="A29" s="2527" t="s">
        <v>1363</v>
      </c>
      <c r="B29" s="2528">
        <v>1500</v>
      </c>
      <c r="C29" s="2530"/>
      <c r="D29" s="2530">
        <f>(C28-B29)*B1</f>
        <v>1724626.9999999998</v>
      </c>
      <c r="F29" s="2527" t="s">
        <v>1363</v>
      </c>
      <c r="G29" s="2528">
        <v>1100</v>
      </c>
      <c r="H29" s="2530"/>
      <c r="I29" s="2530">
        <f>(H28-G29)*B1</f>
        <v>282895.1111111131</v>
      </c>
      <c r="M29" s="2832" t="s">
        <v>1365</v>
      </c>
      <c r="N29" s="3646">
        <v>389.2883867721722</v>
      </c>
      <c r="O29" s="3645">
        <v>8511012</v>
      </c>
    </row>
    <row r="30" spans="1:15" ht="15">
      <c r="A30" s="2170"/>
      <c r="M30" s="2832"/>
      <c r="N30" s="2832"/>
      <c r="O30" s="3645"/>
    </row>
    <row r="31" spans="1:15">
      <c r="A31" s="4487" t="s">
        <v>1754</v>
      </c>
      <c r="B31" s="4488"/>
      <c r="C31" s="4488"/>
      <c r="D31" s="4489"/>
      <c r="F31" s="4487" t="s">
        <v>1754</v>
      </c>
      <c r="G31" s="4488"/>
      <c r="H31" s="4488"/>
      <c r="I31" s="4489"/>
      <c r="M31" s="2832" t="s">
        <v>1366</v>
      </c>
      <c r="N31" s="3645">
        <v>3168.5607124368689</v>
      </c>
      <c r="O31" s="3645">
        <v>69274242.856007263</v>
      </c>
    </row>
    <row r="32" spans="1:15" ht="15.75">
      <c r="A32" s="2511" t="s">
        <v>20</v>
      </c>
      <c r="B32" s="4492" t="s">
        <v>1305</v>
      </c>
      <c r="C32" s="4493"/>
      <c r="D32" s="4498"/>
      <c r="F32" s="2511" t="s">
        <v>20</v>
      </c>
      <c r="G32" s="4492" t="s">
        <v>96</v>
      </c>
      <c r="H32" s="4493"/>
      <c r="I32" s="4498"/>
      <c r="M32" s="2832"/>
      <c r="N32" s="2832"/>
      <c r="O32" s="3645"/>
    </row>
    <row r="33" spans="1:16" ht="18">
      <c r="A33" s="2625" t="s">
        <v>233</v>
      </c>
      <c r="B33" s="3017"/>
      <c r="C33" s="3031">
        <f>SUM(C34:C37)</f>
        <v>865.79320067106551</v>
      </c>
      <c r="D33" s="3031">
        <f>SUM(D34:D37)</f>
        <v>18983194.618241332</v>
      </c>
      <c r="F33" s="2625" t="s">
        <v>233</v>
      </c>
      <c r="G33" s="3017"/>
      <c r="H33" s="3031">
        <f>SUM(H34:H37)</f>
        <v>1888.4846077655177</v>
      </c>
      <c r="I33" s="3031">
        <f>SUM(I34:I37)</f>
        <v>41413666.49925299</v>
      </c>
      <c r="M33" s="2832" t="s">
        <v>1367</v>
      </c>
      <c r="N33" s="3645">
        <v>2779.2723256646968</v>
      </c>
      <c r="O33" s="3645">
        <v>3919430.8560072668</v>
      </c>
    </row>
    <row r="34" spans="1:16">
      <c r="A34" s="3016" t="s">
        <v>782</v>
      </c>
      <c r="C34" s="3032">
        <f>250*14/24</f>
        <v>145.83333333333334</v>
      </c>
      <c r="D34" s="3013">
        <f>C34*$B$1</f>
        <v>3188354.166666667</v>
      </c>
      <c r="F34" s="3016" t="s">
        <v>782</v>
      </c>
      <c r="H34" s="3032">
        <v>330</v>
      </c>
      <c r="I34" s="3013">
        <f>H34*$B$1</f>
        <v>7214790</v>
      </c>
    </row>
    <row r="35" spans="1:16">
      <c r="A35" s="2518" t="s">
        <v>23</v>
      </c>
      <c r="B35" s="2519"/>
      <c r="C35" s="3014"/>
      <c r="D35" s="3014">
        <f>C35*$B$1</f>
        <v>0</v>
      </c>
      <c r="F35" s="2518" t="s">
        <v>23</v>
      </c>
      <c r="G35" s="2519"/>
      <c r="H35" s="3014">
        <v>100</v>
      </c>
      <c r="I35" s="3014">
        <f>H35*$B$1</f>
        <v>2186300</v>
      </c>
    </row>
    <row r="36" spans="1:16">
      <c r="A36" s="2518" t="s">
        <v>31</v>
      </c>
      <c r="B36" s="2519"/>
      <c r="C36" s="3014">
        <v>159.56943465909089</v>
      </c>
      <c r="D36" s="3014">
        <f>C36*$B$1</f>
        <v>3488666.5499517042</v>
      </c>
      <c r="F36" s="2518" t="s">
        <v>31</v>
      </c>
      <c r="G36" s="2519"/>
      <c r="H36" s="3014">
        <v>162.3246111111111</v>
      </c>
      <c r="I36" s="3014">
        <f>H36*$B$1</f>
        <v>3548902.9727222221</v>
      </c>
      <c r="M36" s="3018"/>
    </row>
    <row r="37" spans="1:16">
      <c r="A37" s="2518" t="s">
        <v>1757</v>
      </c>
      <c r="B37" s="2519"/>
      <c r="C37" s="3014">
        <v>560.39043267864122</v>
      </c>
      <c r="D37" s="3014">
        <f>C37*L7</f>
        <v>12306173.90162296</v>
      </c>
      <c r="F37" s="2518" t="s">
        <v>1757</v>
      </c>
      <c r="G37" s="2519"/>
      <c r="H37" s="3014">
        <v>1296.1599966544065</v>
      </c>
      <c r="I37" s="3014">
        <f>H37*L7</f>
        <v>28463673.526530769</v>
      </c>
      <c r="M37" s="3018"/>
    </row>
    <row r="38" spans="1:16">
      <c r="A38" s="3012" t="s">
        <v>1361</v>
      </c>
      <c r="B38" s="2520"/>
      <c r="C38" s="2521"/>
      <c r="D38" s="2521"/>
      <c r="F38" s="3012" t="s">
        <v>1361</v>
      </c>
      <c r="G38" s="2520"/>
      <c r="H38" s="2521"/>
      <c r="I38" s="2521"/>
    </row>
    <row r="39" spans="1:16" s="3020" customFormat="1">
      <c r="A39" s="2518" t="s">
        <v>1359</v>
      </c>
      <c r="B39" s="2519"/>
      <c r="C39" s="3033">
        <f>352702/B1</f>
        <v>16.132369757123907</v>
      </c>
      <c r="D39" s="2523">
        <f>C39*$B$1</f>
        <v>352702</v>
      </c>
      <c r="F39" s="2518" t="s">
        <v>1359</v>
      </c>
      <c r="G39" s="2519"/>
      <c r="H39" s="3033">
        <f>979999/B1</f>
        <v>44.824543749714131</v>
      </c>
      <c r="I39" s="2523">
        <f>H39*$B$1</f>
        <v>979999</v>
      </c>
    </row>
    <row r="40" spans="1:16">
      <c r="A40" s="2926" t="s">
        <v>1360</v>
      </c>
      <c r="B40" s="2519"/>
      <c r="C40" s="3034">
        <f>63243/B1</f>
        <v>2.8926954214883591</v>
      </c>
      <c r="D40" s="3014">
        <f>C40*$B$1</f>
        <v>63242.999999999993</v>
      </c>
      <c r="F40" s="2926" t="s">
        <v>1360</v>
      </c>
      <c r="G40" s="2519"/>
      <c r="H40" s="3034">
        <f>115395/B1</f>
        <v>5.278095412340484</v>
      </c>
      <c r="I40" s="3014">
        <f>H40*$B$1</f>
        <v>115395</v>
      </c>
    </row>
    <row r="41" spans="1:16">
      <c r="A41" s="2524"/>
      <c r="B41" s="2519"/>
      <c r="C41" s="3034"/>
      <c r="D41" s="3014">
        <f>C41*$B$1</f>
        <v>0</v>
      </c>
      <c r="F41" s="2524" t="s">
        <v>1755</v>
      </c>
      <c r="G41" s="2519"/>
      <c r="H41" s="3034">
        <f>430451/B1</f>
        <v>19.688560581804875</v>
      </c>
      <c r="I41" s="3014">
        <f>H41*$B$1</f>
        <v>430451</v>
      </c>
    </row>
    <row r="42" spans="1:16">
      <c r="A42" s="2522" t="s">
        <v>1274</v>
      </c>
      <c r="B42" s="2520"/>
      <c r="C42" s="3022">
        <f>D42/B1</f>
        <v>19.025065178612266</v>
      </c>
      <c r="D42" s="3015">
        <f>D39+D40+D41</f>
        <v>415945</v>
      </c>
      <c r="F42" s="2522" t="s">
        <v>1274</v>
      </c>
      <c r="G42" s="2520"/>
      <c r="H42" s="3022">
        <f>I42/B1</f>
        <v>69.791199743859494</v>
      </c>
      <c r="I42" s="3015">
        <f>I39+I40+I41</f>
        <v>1525845</v>
      </c>
      <c r="K42" s="2832" t="s">
        <v>1364</v>
      </c>
      <c r="L42" s="2832"/>
      <c r="M42" s="3024">
        <f>I42+D42+D27+I27+I13+D13</f>
        <v>8511012</v>
      </c>
    </row>
    <row r="43" spans="1:16">
      <c r="A43" s="2527" t="s">
        <v>1275</v>
      </c>
      <c r="B43" s="2528"/>
      <c r="C43" s="2530">
        <f>C33-C42</f>
        <v>846.76813549245321</v>
      </c>
      <c r="D43" s="2530">
        <f>(D34+D35+D36)-D42</f>
        <v>6261075.7166183712</v>
      </c>
      <c r="F43" s="2527" t="s">
        <v>1275</v>
      </c>
      <c r="G43" s="2528"/>
      <c r="H43" s="2530">
        <f>H33-H42</f>
        <v>1818.6934080216581</v>
      </c>
      <c r="I43" s="2530">
        <f>(I34+I35)-I42</f>
        <v>7875245</v>
      </c>
      <c r="K43" s="2832" t="s">
        <v>1365</v>
      </c>
      <c r="L43" s="3025">
        <f>H42+C42+H27+C27+H13+C13</f>
        <v>389.2883867721722</v>
      </c>
      <c r="M43" s="3026">
        <f>L43*B1</f>
        <v>8511012</v>
      </c>
      <c r="O43" s="3021">
        <f>M43/21700</f>
        <v>392.212534562212</v>
      </c>
    </row>
    <row r="44" spans="1:16">
      <c r="A44" s="2527" t="s">
        <v>1363</v>
      </c>
      <c r="B44" s="2528">
        <v>800</v>
      </c>
      <c r="C44" s="2530"/>
      <c r="D44" s="2530">
        <f>(C43-B44)*B1</f>
        <v>1022491.7462715046</v>
      </c>
      <c r="F44" s="2527" t="s">
        <v>1363</v>
      </c>
      <c r="G44" s="2528">
        <v>1800</v>
      </c>
      <c r="H44" s="2530"/>
      <c r="I44" s="2530">
        <f>(H43-G44)*B1</f>
        <v>408693.97957751137</v>
      </c>
      <c r="K44" s="3024"/>
      <c r="L44" s="2832"/>
      <c r="M44" s="2832"/>
      <c r="P44" s="3054"/>
    </row>
    <row r="45" spans="1:16">
      <c r="K45" s="2832" t="s">
        <v>1366</v>
      </c>
      <c r="L45" s="3027">
        <f>H33+C33+C19+H19+H5+C5</f>
        <v>10681.548178806954</v>
      </c>
      <c r="M45" s="3028">
        <f>L45*B1</f>
        <v>233530687.83325642</v>
      </c>
    </row>
    <row r="46" spans="1:16">
      <c r="K46" s="2832"/>
      <c r="L46" s="2832"/>
      <c r="M46" s="2832"/>
    </row>
    <row r="47" spans="1:16">
      <c r="K47" s="2832" t="s">
        <v>1367</v>
      </c>
      <c r="L47" s="3025">
        <f>L45-L43</f>
        <v>10292.259792034782</v>
      </c>
      <c r="M47" s="3029">
        <f>L47*B1</f>
        <v>225019675.83325642</v>
      </c>
      <c r="O47" s="244"/>
    </row>
    <row r="49" spans="14:14">
      <c r="N49" s="3647">
        <f>[16]sepon!$K$15+[17]sepon!$S$14+'[17]sepon TT'!$S$14</f>
        <v>10681.548178806952</v>
      </c>
    </row>
  </sheetData>
  <mergeCells count="13">
    <mergeCell ref="B32:D32"/>
    <mergeCell ref="F31:I31"/>
    <mergeCell ref="G32:I32"/>
    <mergeCell ref="B1:C1"/>
    <mergeCell ref="F3:I3"/>
    <mergeCell ref="G4:I4"/>
    <mergeCell ref="A17:D17"/>
    <mergeCell ref="F17:I17"/>
    <mergeCell ref="G18:I18"/>
    <mergeCell ref="A31:D31"/>
    <mergeCell ref="B18:D18"/>
    <mergeCell ref="A3:D3"/>
    <mergeCell ref="B4:D4"/>
  </mergeCells>
  <pageMargins left="0.51" right="0.34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U30"/>
  <sheetViews>
    <sheetView topLeftCell="A13" zoomScaleNormal="100" workbookViewId="0">
      <selection activeCell="W20" sqref="W20"/>
    </sheetView>
  </sheetViews>
  <sheetFormatPr defaultRowHeight="15"/>
  <cols>
    <col min="1" max="1" width="3.625" style="1458" customWidth="1"/>
    <col min="2" max="2" width="2.375" style="1458" hidden="1" customWidth="1"/>
    <col min="3" max="3" width="21.125" style="1458" customWidth="1"/>
    <col min="4" max="29" width="3.625" style="1458" customWidth="1"/>
    <col min="30" max="30" width="3.375" style="1458" customWidth="1"/>
    <col min="31" max="31" width="3.625" style="1458" customWidth="1"/>
    <col min="32" max="32" width="2.875" style="1458" customWidth="1"/>
    <col min="33" max="33" width="3.375" style="1458" customWidth="1"/>
    <col min="34" max="34" width="3.25" style="1458" hidden="1" customWidth="1"/>
    <col min="35" max="35" width="7.25" style="1458" customWidth="1"/>
    <col min="36" max="42" width="0" style="1458" hidden="1" customWidth="1"/>
    <col min="43" max="43" width="6.875" style="1458" hidden="1" customWidth="1"/>
    <col min="44" max="44" width="3.125" style="1458" hidden="1" customWidth="1"/>
    <col min="45" max="45" width="7.375" style="1458" hidden="1" customWidth="1"/>
    <col min="46" max="46" width="5.875" style="1458" customWidth="1"/>
    <col min="47" max="47" width="7.125" style="1458" customWidth="1"/>
    <col min="48" max="257" width="9" style="1458"/>
    <col min="258" max="258" width="9" style="1458" customWidth="1"/>
    <col min="259" max="259" width="24" style="1458" customWidth="1"/>
    <col min="260" max="290" width="4.25" style="1458" customWidth="1"/>
    <col min="291" max="291" width="9.25" style="1458" customWidth="1"/>
    <col min="292" max="301" width="0" style="1458" hidden="1" customWidth="1"/>
    <col min="302" max="513" width="9" style="1458"/>
    <col min="514" max="514" width="9" style="1458" customWidth="1"/>
    <col min="515" max="515" width="24" style="1458" customWidth="1"/>
    <col min="516" max="546" width="4.25" style="1458" customWidth="1"/>
    <col min="547" max="547" width="9.25" style="1458" customWidth="1"/>
    <col min="548" max="557" width="0" style="1458" hidden="1" customWidth="1"/>
    <col min="558" max="769" width="9" style="1458"/>
    <col min="770" max="770" width="9" style="1458" customWidth="1"/>
    <col min="771" max="771" width="24" style="1458" customWidth="1"/>
    <col min="772" max="802" width="4.25" style="1458" customWidth="1"/>
    <col min="803" max="803" width="9.25" style="1458" customWidth="1"/>
    <col min="804" max="813" width="0" style="1458" hidden="1" customWidth="1"/>
    <col min="814" max="1025" width="9" style="1458"/>
    <col min="1026" max="1026" width="9" style="1458" customWidth="1"/>
    <col min="1027" max="1027" width="24" style="1458" customWidth="1"/>
    <col min="1028" max="1058" width="4.25" style="1458" customWidth="1"/>
    <col min="1059" max="1059" width="9.25" style="1458" customWidth="1"/>
    <col min="1060" max="1069" width="0" style="1458" hidden="1" customWidth="1"/>
    <col min="1070" max="1281" width="9" style="1458"/>
    <col min="1282" max="1282" width="9" style="1458" customWidth="1"/>
    <col min="1283" max="1283" width="24" style="1458" customWidth="1"/>
    <col min="1284" max="1314" width="4.25" style="1458" customWidth="1"/>
    <col min="1315" max="1315" width="9.25" style="1458" customWidth="1"/>
    <col min="1316" max="1325" width="0" style="1458" hidden="1" customWidth="1"/>
    <col min="1326" max="1537" width="9" style="1458"/>
    <col min="1538" max="1538" width="9" style="1458" customWidth="1"/>
    <col min="1539" max="1539" width="24" style="1458" customWidth="1"/>
    <col min="1540" max="1570" width="4.25" style="1458" customWidth="1"/>
    <col min="1571" max="1571" width="9.25" style="1458" customWidth="1"/>
    <col min="1572" max="1581" width="0" style="1458" hidden="1" customWidth="1"/>
    <col min="1582" max="1793" width="9" style="1458"/>
    <col min="1794" max="1794" width="9" style="1458" customWidth="1"/>
    <col min="1795" max="1795" width="24" style="1458" customWidth="1"/>
    <col min="1796" max="1826" width="4.25" style="1458" customWidth="1"/>
    <col min="1827" max="1827" width="9.25" style="1458" customWidth="1"/>
    <col min="1828" max="1837" width="0" style="1458" hidden="1" customWidth="1"/>
    <col min="1838" max="2049" width="9" style="1458"/>
    <col min="2050" max="2050" width="9" style="1458" customWidth="1"/>
    <col min="2051" max="2051" width="24" style="1458" customWidth="1"/>
    <col min="2052" max="2082" width="4.25" style="1458" customWidth="1"/>
    <col min="2083" max="2083" width="9.25" style="1458" customWidth="1"/>
    <col min="2084" max="2093" width="0" style="1458" hidden="1" customWidth="1"/>
    <col min="2094" max="2305" width="9" style="1458"/>
    <col min="2306" max="2306" width="9" style="1458" customWidth="1"/>
    <col min="2307" max="2307" width="24" style="1458" customWidth="1"/>
    <col min="2308" max="2338" width="4.25" style="1458" customWidth="1"/>
    <col min="2339" max="2339" width="9.25" style="1458" customWidth="1"/>
    <col min="2340" max="2349" width="0" style="1458" hidden="1" customWidth="1"/>
    <col min="2350" max="2561" width="9" style="1458"/>
    <col min="2562" max="2562" width="9" style="1458" customWidth="1"/>
    <col min="2563" max="2563" width="24" style="1458" customWidth="1"/>
    <col min="2564" max="2594" width="4.25" style="1458" customWidth="1"/>
    <col min="2595" max="2595" width="9.25" style="1458" customWidth="1"/>
    <col min="2596" max="2605" width="0" style="1458" hidden="1" customWidth="1"/>
    <col min="2606" max="2817" width="9" style="1458"/>
    <col min="2818" max="2818" width="9" style="1458" customWidth="1"/>
    <col min="2819" max="2819" width="24" style="1458" customWidth="1"/>
    <col min="2820" max="2850" width="4.25" style="1458" customWidth="1"/>
    <col min="2851" max="2851" width="9.25" style="1458" customWidth="1"/>
    <col min="2852" max="2861" width="0" style="1458" hidden="1" customWidth="1"/>
    <col min="2862" max="3073" width="9" style="1458"/>
    <col min="3074" max="3074" width="9" style="1458" customWidth="1"/>
    <col min="3075" max="3075" width="24" style="1458" customWidth="1"/>
    <col min="3076" max="3106" width="4.25" style="1458" customWidth="1"/>
    <col min="3107" max="3107" width="9.25" style="1458" customWidth="1"/>
    <col min="3108" max="3117" width="0" style="1458" hidden="1" customWidth="1"/>
    <col min="3118" max="3329" width="9" style="1458"/>
    <col min="3330" max="3330" width="9" style="1458" customWidth="1"/>
    <col min="3331" max="3331" width="24" style="1458" customWidth="1"/>
    <col min="3332" max="3362" width="4.25" style="1458" customWidth="1"/>
    <col min="3363" max="3363" width="9.25" style="1458" customWidth="1"/>
    <col min="3364" max="3373" width="0" style="1458" hidden="1" customWidth="1"/>
    <col min="3374" max="3585" width="9" style="1458"/>
    <col min="3586" max="3586" width="9" style="1458" customWidth="1"/>
    <col min="3587" max="3587" width="24" style="1458" customWidth="1"/>
    <col min="3588" max="3618" width="4.25" style="1458" customWidth="1"/>
    <col min="3619" max="3619" width="9.25" style="1458" customWidth="1"/>
    <col min="3620" max="3629" width="0" style="1458" hidden="1" customWidth="1"/>
    <col min="3630" max="3841" width="9" style="1458"/>
    <col min="3842" max="3842" width="9" style="1458" customWidth="1"/>
    <col min="3843" max="3843" width="24" style="1458" customWidth="1"/>
    <col min="3844" max="3874" width="4.25" style="1458" customWidth="1"/>
    <col min="3875" max="3875" width="9.25" style="1458" customWidth="1"/>
    <col min="3876" max="3885" width="0" style="1458" hidden="1" customWidth="1"/>
    <col min="3886" max="4097" width="9" style="1458"/>
    <col min="4098" max="4098" width="9" style="1458" customWidth="1"/>
    <col min="4099" max="4099" width="24" style="1458" customWidth="1"/>
    <col min="4100" max="4130" width="4.25" style="1458" customWidth="1"/>
    <col min="4131" max="4131" width="9.25" style="1458" customWidth="1"/>
    <col min="4132" max="4141" width="0" style="1458" hidden="1" customWidth="1"/>
    <col min="4142" max="4353" width="9" style="1458"/>
    <col min="4354" max="4354" width="9" style="1458" customWidth="1"/>
    <col min="4355" max="4355" width="24" style="1458" customWidth="1"/>
    <col min="4356" max="4386" width="4.25" style="1458" customWidth="1"/>
    <col min="4387" max="4387" width="9.25" style="1458" customWidth="1"/>
    <col min="4388" max="4397" width="0" style="1458" hidden="1" customWidth="1"/>
    <col min="4398" max="4609" width="9" style="1458"/>
    <col min="4610" max="4610" width="9" style="1458" customWidth="1"/>
    <col min="4611" max="4611" width="24" style="1458" customWidth="1"/>
    <col min="4612" max="4642" width="4.25" style="1458" customWidth="1"/>
    <col min="4643" max="4643" width="9.25" style="1458" customWidth="1"/>
    <col min="4644" max="4653" width="0" style="1458" hidden="1" customWidth="1"/>
    <col min="4654" max="4865" width="9" style="1458"/>
    <col min="4866" max="4866" width="9" style="1458" customWidth="1"/>
    <col min="4867" max="4867" width="24" style="1458" customWidth="1"/>
    <col min="4868" max="4898" width="4.25" style="1458" customWidth="1"/>
    <col min="4899" max="4899" width="9.25" style="1458" customWidth="1"/>
    <col min="4900" max="4909" width="0" style="1458" hidden="1" customWidth="1"/>
    <col min="4910" max="5121" width="9" style="1458"/>
    <col min="5122" max="5122" width="9" style="1458" customWidth="1"/>
    <col min="5123" max="5123" width="24" style="1458" customWidth="1"/>
    <col min="5124" max="5154" width="4.25" style="1458" customWidth="1"/>
    <col min="5155" max="5155" width="9.25" style="1458" customWidth="1"/>
    <col min="5156" max="5165" width="0" style="1458" hidden="1" customWidth="1"/>
    <col min="5166" max="5377" width="9" style="1458"/>
    <col min="5378" max="5378" width="9" style="1458" customWidth="1"/>
    <col min="5379" max="5379" width="24" style="1458" customWidth="1"/>
    <col min="5380" max="5410" width="4.25" style="1458" customWidth="1"/>
    <col min="5411" max="5411" width="9.25" style="1458" customWidth="1"/>
    <col min="5412" max="5421" width="0" style="1458" hidden="1" customWidth="1"/>
    <col min="5422" max="5633" width="9" style="1458"/>
    <col min="5634" max="5634" width="9" style="1458" customWidth="1"/>
    <col min="5635" max="5635" width="24" style="1458" customWidth="1"/>
    <col min="5636" max="5666" width="4.25" style="1458" customWidth="1"/>
    <col min="5667" max="5667" width="9.25" style="1458" customWidth="1"/>
    <col min="5668" max="5677" width="0" style="1458" hidden="1" customWidth="1"/>
    <col min="5678" max="5889" width="9" style="1458"/>
    <col min="5890" max="5890" width="9" style="1458" customWidth="1"/>
    <col min="5891" max="5891" width="24" style="1458" customWidth="1"/>
    <col min="5892" max="5922" width="4.25" style="1458" customWidth="1"/>
    <col min="5923" max="5923" width="9.25" style="1458" customWidth="1"/>
    <col min="5924" max="5933" width="0" style="1458" hidden="1" customWidth="1"/>
    <col min="5934" max="6145" width="9" style="1458"/>
    <col min="6146" max="6146" width="9" style="1458" customWidth="1"/>
    <col min="6147" max="6147" width="24" style="1458" customWidth="1"/>
    <col min="6148" max="6178" width="4.25" style="1458" customWidth="1"/>
    <col min="6179" max="6179" width="9.25" style="1458" customWidth="1"/>
    <col min="6180" max="6189" width="0" style="1458" hidden="1" customWidth="1"/>
    <col min="6190" max="6401" width="9" style="1458"/>
    <col min="6402" max="6402" width="9" style="1458" customWidth="1"/>
    <col min="6403" max="6403" width="24" style="1458" customWidth="1"/>
    <col min="6404" max="6434" width="4.25" style="1458" customWidth="1"/>
    <col min="6435" max="6435" width="9.25" style="1458" customWidth="1"/>
    <col min="6436" max="6445" width="0" style="1458" hidden="1" customWidth="1"/>
    <col min="6446" max="6657" width="9" style="1458"/>
    <col min="6658" max="6658" width="9" style="1458" customWidth="1"/>
    <col min="6659" max="6659" width="24" style="1458" customWidth="1"/>
    <col min="6660" max="6690" width="4.25" style="1458" customWidth="1"/>
    <col min="6691" max="6691" width="9.25" style="1458" customWidth="1"/>
    <col min="6692" max="6701" width="0" style="1458" hidden="1" customWidth="1"/>
    <col min="6702" max="6913" width="9" style="1458"/>
    <col min="6914" max="6914" width="9" style="1458" customWidth="1"/>
    <col min="6915" max="6915" width="24" style="1458" customWidth="1"/>
    <col min="6916" max="6946" width="4.25" style="1458" customWidth="1"/>
    <col min="6947" max="6947" width="9.25" style="1458" customWidth="1"/>
    <col min="6948" max="6957" width="0" style="1458" hidden="1" customWidth="1"/>
    <col min="6958" max="7169" width="9" style="1458"/>
    <col min="7170" max="7170" width="9" style="1458" customWidth="1"/>
    <col min="7171" max="7171" width="24" style="1458" customWidth="1"/>
    <col min="7172" max="7202" width="4.25" style="1458" customWidth="1"/>
    <col min="7203" max="7203" width="9.25" style="1458" customWidth="1"/>
    <col min="7204" max="7213" width="0" style="1458" hidden="1" customWidth="1"/>
    <col min="7214" max="7425" width="9" style="1458"/>
    <col min="7426" max="7426" width="9" style="1458" customWidth="1"/>
    <col min="7427" max="7427" width="24" style="1458" customWidth="1"/>
    <col min="7428" max="7458" width="4.25" style="1458" customWidth="1"/>
    <col min="7459" max="7459" width="9.25" style="1458" customWidth="1"/>
    <col min="7460" max="7469" width="0" style="1458" hidden="1" customWidth="1"/>
    <col min="7470" max="7681" width="9" style="1458"/>
    <col min="7682" max="7682" width="9" style="1458" customWidth="1"/>
    <col min="7683" max="7683" width="24" style="1458" customWidth="1"/>
    <col min="7684" max="7714" width="4.25" style="1458" customWidth="1"/>
    <col min="7715" max="7715" width="9.25" style="1458" customWidth="1"/>
    <col min="7716" max="7725" width="0" style="1458" hidden="1" customWidth="1"/>
    <col min="7726" max="7937" width="9" style="1458"/>
    <col min="7938" max="7938" width="9" style="1458" customWidth="1"/>
    <col min="7939" max="7939" width="24" style="1458" customWidth="1"/>
    <col min="7940" max="7970" width="4.25" style="1458" customWidth="1"/>
    <col min="7971" max="7971" width="9.25" style="1458" customWidth="1"/>
    <col min="7972" max="7981" width="0" style="1458" hidden="1" customWidth="1"/>
    <col min="7982" max="8193" width="9" style="1458"/>
    <col min="8194" max="8194" width="9" style="1458" customWidth="1"/>
    <col min="8195" max="8195" width="24" style="1458" customWidth="1"/>
    <col min="8196" max="8226" width="4.25" style="1458" customWidth="1"/>
    <col min="8227" max="8227" width="9.25" style="1458" customWidth="1"/>
    <col min="8228" max="8237" width="0" style="1458" hidden="1" customWidth="1"/>
    <col min="8238" max="8449" width="9" style="1458"/>
    <col min="8450" max="8450" width="9" style="1458" customWidth="1"/>
    <col min="8451" max="8451" width="24" style="1458" customWidth="1"/>
    <col min="8452" max="8482" width="4.25" style="1458" customWidth="1"/>
    <col min="8483" max="8483" width="9.25" style="1458" customWidth="1"/>
    <col min="8484" max="8493" width="0" style="1458" hidden="1" customWidth="1"/>
    <col min="8494" max="8705" width="9" style="1458"/>
    <col min="8706" max="8706" width="9" style="1458" customWidth="1"/>
    <col min="8707" max="8707" width="24" style="1458" customWidth="1"/>
    <col min="8708" max="8738" width="4.25" style="1458" customWidth="1"/>
    <col min="8739" max="8739" width="9.25" style="1458" customWidth="1"/>
    <col min="8740" max="8749" width="0" style="1458" hidden="1" customWidth="1"/>
    <col min="8750" max="8961" width="9" style="1458"/>
    <col min="8962" max="8962" width="9" style="1458" customWidth="1"/>
    <col min="8963" max="8963" width="24" style="1458" customWidth="1"/>
    <col min="8964" max="8994" width="4.25" style="1458" customWidth="1"/>
    <col min="8995" max="8995" width="9.25" style="1458" customWidth="1"/>
    <col min="8996" max="9005" width="0" style="1458" hidden="1" customWidth="1"/>
    <col min="9006" max="9217" width="9" style="1458"/>
    <col min="9218" max="9218" width="9" style="1458" customWidth="1"/>
    <col min="9219" max="9219" width="24" style="1458" customWidth="1"/>
    <col min="9220" max="9250" width="4.25" style="1458" customWidth="1"/>
    <col min="9251" max="9251" width="9.25" style="1458" customWidth="1"/>
    <col min="9252" max="9261" width="0" style="1458" hidden="1" customWidth="1"/>
    <col min="9262" max="9473" width="9" style="1458"/>
    <col min="9474" max="9474" width="9" style="1458" customWidth="1"/>
    <col min="9475" max="9475" width="24" style="1458" customWidth="1"/>
    <col min="9476" max="9506" width="4.25" style="1458" customWidth="1"/>
    <col min="9507" max="9507" width="9.25" style="1458" customWidth="1"/>
    <col min="9508" max="9517" width="0" style="1458" hidden="1" customWidth="1"/>
    <col min="9518" max="9729" width="9" style="1458"/>
    <col min="9730" max="9730" width="9" style="1458" customWidth="1"/>
    <col min="9731" max="9731" width="24" style="1458" customWidth="1"/>
    <col min="9732" max="9762" width="4.25" style="1458" customWidth="1"/>
    <col min="9763" max="9763" width="9.25" style="1458" customWidth="1"/>
    <col min="9764" max="9773" width="0" style="1458" hidden="1" customWidth="1"/>
    <col min="9774" max="9985" width="9" style="1458"/>
    <col min="9986" max="9986" width="9" style="1458" customWidth="1"/>
    <col min="9987" max="9987" width="24" style="1458" customWidth="1"/>
    <col min="9988" max="10018" width="4.25" style="1458" customWidth="1"/>
    <col min="10019" max="10019" width="9.25" style="1458" customWidth="1"/>
    <col min="10020" max="10029" width="0" style="1458" hidden="1" customWidth="1"/>
    <col min="10030" max="10241" width="9" style="1458"/>
    <col min="10242" max="10242" width="9" style="1458" customWidth="1"/>
    <col min="10243" max="10243" width="24" style="1458" customWidth="1"/>
    <col min="10244" max="10274" width="4.25" style="1458" customWidth="1"/>
    <col min="10275" max="10275" width="9.25" style="1458" customWidth="1"/>
    <col min="10276" max="10285" width="0" style="1458" hidden="1" customWidth="1"/>
    <col min="10286" max="10497" width="9" style="1458"/>
    <col min="10498" max="10498" width="9" style="1458" customWidth="1"/>
    <col min="10499" max="10499" width="24" style="1458" customWidth="1"/>
    <col min="10500" max="10530" width="4.25" style="1458" customWidth="1"/>
    <col min="10531" max="10531" width="9.25" style="1458" customWidth="1"/>
    <col min="10532" max="10541" width="0" style="1458" hidden="1" customWidth="1"/>
    <col min="10542" max="10753" width="9" style="1458"/>
    <col min="10754" max="10754" width="9" style="1458" customWidth="1"/>
    <col min="10755" max="10755" width="24" style="1458" customWidth="1"/>
    <col min="10756" max="10786" width="4.25" style="1458" customWidth="1"/>
    <col min="10787" max="10787" width="9.25" style="1458" customWidth="1"/>
    <col min="10788" max="10797" width="0" style="1458" hidden="1" customWidth="1"/>
    <col min="10798" max="11009" width="9" style="1458"/>
    <col min="11010" max="11010" width="9" style="1458" customWidth="1"/>
    <col min="11011" max="11011" width="24" style="1458" customWidth="1"/>
    <col min="11012" max="11042" width="4.25" style="1458" customWidth="1"/>
    <col min="11043" max="11043" width="9.25" style="1458" customWidth="1"/>
    <col min="11044" max="11053" width="0" style="1458" hidden="1" customWidth="1"/>
    <col min="11054" max="11265" width="9" style="1458"/>
    <col min="11266" max="11266" width="9" style="1458" customWidth="1"/>
    <col min="11267" max="11267" width="24" style="1458" customWidth="1"/>
    <col min="11268" max="11298" width="4.25" style="1458" customWidth="1"/>
    <col min="11299" max="11299" width="9.25" style="1458" customWidth="1"/>
    <col min="11300" max="11309" width="0" style="1458" hidden="1" customWidth="1"/>
    <col min="11310" max="11521" width="9" style="1458"/>
    <col min="11522" max="11522" width="9" style="1458" customWidth="1"/>
    <col min="11523" max="11523" width="24" style="1458" customWidth="1"/>
    <col min="11524" max="11554" width="4.25" style="1458" customWidth="1"/>
    <col min="11555" max="11555" width="9.25" style="1458" customWidth="1"/>
    <col min="11556" max="11565" width="0" style="1458" hidden="1" customWidth="1"/>
    <col min="11566" max="11777" width="9" style="1458"/>
    <col min="11778" max="11778" width="9" style="1458" customWidth="1"/>
    <col min="11779" max="11779" width="24" style="1458" customWidth="1"/>
    <col min="11780" max="11810" width="4.25" style="1458" customWidth="1"/>
    <col min="11811" max="11811" width="9.25" style="1458" customWidth="1"/>
    <col min="11812" max="11821" width="0" style="1458" hidden="1" customWidth="1"/>
    <col min="11822" max="12033" width="9" style="1458"/>
    <col min="12034" max="12034" width="9" style="1458" customWidth="1"/>
    <col min="12035" max="12035" width="24" style="1458" customWidth="1"/>
    <col min="12036" max="12066" width="4.25" style="1458" customWidth="1"/>
    <col min="12067" max="12067" width="9.25" style="1458" customWidth="1"/>
    <col min="12068" max="12077" width="0" style="1458" hidden="1" customWidth="1"/>
    <col min="12078" max="12289" width="9" style="1458"/>
    <col min="12290" max="12290" width="9" style="1458" customWidth="1"/>
    <col min="12291" max="12291" width="24" style="1458" customWidth="1"/>
    <col min="12292" max="12322" width="4.25" style="1458" customWidth="1"/>
    <col min="12323" max="12323" width="9.25" style="1458" customWidth="1"/>
    <col min="12324" max="12333" width="0" style="1458" hidden="1" customWidth="1"/>
    <col min="12334" max="12545" width="9" style="1458"/>
    <col min="12546" max="12546" width="9" style="1458" customWidth="1"/>
    <col min="12547" max="12547" width="24" style="1458" customWidth="1"/>
    <col min="12548" max="12578" width="4.25" style="1458" customWidth="1"/>
    <col min="12579" max="12579" width="9.25" style="1458" customWidth="1"/>
    <col min="12580" max="12589" width="0" style="1458" hidden="1" customWidth="1"/>
    <col min="12590" max="12801" width="9" style="1458"/>
    <col min="12802" max="12802" width="9" style="1458" customWidth="1"/>
    <col min="12803" max="12803" width="24" style="1458" customWidth="1"/>
    <col min="12804" max="12834" width="4.25" style="1458" customWidth="1"/>
    <col min="12835" max="12835" width="9.25" style="1458" customWidth="1"/>
    <col min="12836" max="12845" width="0" style="1458" hidden="1" customWidth="1"/>
    <col min="12846" max="13057" width="9" style="1458"/>
    <col min="13058" max="13058" width="9" style="1458" customWidth="1"/>
    <col min="13059" max="13059" width="24" style="1458" customWidth="1"/>
    <col min="13060" max="13090" width="4.25" style="1458" customWidth="1"/>
    <col min="13091" max="13091" width="9.25" style="1458" customWidth="1"/>
    <col min="13092" max="13101" width="0" style="1458" hidden="1" customWidth="1"/>
    <col min="13102" max="13313" width="9" style="1458"/>
    <col min="13314" max="13314" width="9" style="1458" customWidth="1"/>
    <col min="13315" max="13315" width="24" style="1458" customWidth="1"/>
    <col min="13316" max="13346" width="4.25" style="1458" customWidth="1"/>
    <col min="13347" max="13347" width="9.25" style="1458" customWidth="1"/>
    <col min="13348" max="13357" width="0" style="1458" hidden="1" customWidth="1"/>
    <col min="13358" max="13569" width="9" style="1458"/>
    <col min="13570" max="13570" width="9" style="1458" customWidth="1"/>
    <col min="13571" max="13571" width="24" style="1458" customWidth="1"/>
    <col min="13572" max="13602" width="4.25" style="1458" customWidth="1"/>
    <col min="13603" max="13603" width="9.25" style="1458" customWidth="1"/>
    <col min="13604" max="13613" width="0" style="1458" hidden="1" customWidth="1"/>
    <col min="13614" max="13825" width="9" style="1458"/>
    <col min="13826" max="13826" width="9" style="1458" customWidth="1"/>
    <col min="13827" max="13827" width="24" style="1458" customWidth="1"/>
    <col min="13828" max="13858" width="4.25" style="1458" customWidth="1"/>
    <col min="13859" max="13859" width="9.25" style="1458" customWidth="1"/>
    <col min="13860" max="13869" width="0" style="1458" hidden="1" customWidth="1"/>
    <col min="13870" max="14081" width="9" style="1458"/>
    <col min="14082" max="14082" width="9" style="1458" customWidth="1"/>
    <col min="14083" max="14083" width="24" style="1458" customWidth="1"/>
    <col min="14084" max="14114" width="4.25" style="1458" customWidth="1"/>
    <col min="14115" max="14115" width="9.25" style="1458" customWidth="1"/>
    <col min="14116" max="14125" width="0" style="1458" hidden="1" customWidth="1"/>
    <col min="14126" max="14337" width="9" style="1458"/>
    <col min="14338" max="14338" width="9" style="1458" customWidth="1"/>
    <col min="14339" max="14339" width="24" style="1458" customWidth="1"/>
    <col min="14340" max="14370" width="4.25" style="1458" customWidth="1"/>
    <col min="14371" max="14371" width="9.25" style="1458" customWidth="1"/>
    <col min="14372" max="14381" width="0" style="1458" hidden="1" customWidth="1"/>
    <col min="14382" max="14593" width="9" style="1458"/>
    <col min="14594" max="14594" width="9" style="1458" customWidth="1"/>
    <col min="14595" max="14595" width="24" style="1458" customWidth="1"/>
    <col min="14596" max="14626" width="4.25" style="1458" customWidth="1"/>
    <col min="14627" max="14627" width="9.25" style="1458" customWidth="1"/>
    <col min="14628" max="14637" width="0" style="1458" hidden="1" customWidth="1"/>
    <col min="14638" max="14849" width="9" style="1458"/>
    <col min="14850" max="14850" width="9" style="1458" customWidth="1"/>
    <col min="14851" max="14851" width="24" style="1458" customWidth="1"/>
    <col min="14852" max="14882" width="4.25" style="1458" customWidth="1"/>
    <col min="14883" max="14883" width="9.25" style="1458" customWidth="1"/>
    <col min="14884" max="14893" width="0" style="1458" hidden="1" customWidth="1"/>
    <col min="14894" max="15105" width="9" style="1458"/>
    <col min="15106" max="15106" width="9" style="1458" customWidth="1"/>
    <col min="15107" max="15107" width="24" style="1458" customWidth="1"/>
    <col min="15108" max="15138" width="4.25" style="1458" customWidth="1"/>
    <col min="15139" max="15139" width="9.25" style="1458" customWidth="1"/>
    <col min="15140" max="15149" width="0" style="1458" hidden="1" customWidth="1"/>
    <col min="15150" max="15361" width="9" style="1458"/>
    <col min="15362" max="15362" width="9" style="1458" customWidth="1"/>
    <col min="15363" max="15363" width="24" style="1458" customWidth="1"/>
    <col min="15364" max="15394" width="4.25" style="1458" customWidth="1"/>
    <col min="15395" max="15395" width="9.25" style="1458" customWidth="1"/>
    <col min="15396" max="15405" width="0" style="1458" hidden="1" customWidth="1"/>
    <col min="15406" max="15617" width="9" style="1458"/>
    <col min="15618" max="15618" width="9" style="1458" customWidth="1"/>
    <col min="15619" max="15619" width="24" style="1458" customWidth="1"/>
    <col min="15620" max="15650" width="4.25" style="1458" customWidth="1"/>
    <col min="15651" max="15651" width="9.25" style="1458" customWidth="1"/>
    <col min="15652" max="15661" width="0" style="1458" hidden="1" customWidth="1"/>
    <col min="15662" max="15873" width="9" style="1458"/>
    <col min="15874" max="15874" width="9" style="1458" customWidth="1"/>
    <col min="15875" max="15875" width="24" style="1458" customWidth="1"/>
    <col min="15876" max="15906" width="4.25" style="1458" customWidth="1"/>
    <col min="15907" max="15907" width="9.25" style="1458" customWidth="1"/>
    <col min="15908" max="15917" width="0" style="1458" hidden="1" customWidth="1"/>
    <col min="15918" max="16129" width="9" style="1458"/>
    <col min="16130" max="16130" width="9" style="1458" customWidth="1"/>
    <col min="16131" max="16131" width="24" style="1458" customWidth="1"/>
    <col min="16132" max="16162" width="4.25" style="1458" customWidth="1"/>
    <col min="16163" max="16163" width="9.25" style="1458" customWidth="1"/>
    <col min="16164" max="16173" width="0" style="1458" hidden="1" customWidth="1"/>
    <col min="16174" max="16383" width="9" style="1458"/>
    <col min="16384" max="16384" width="9" style="1458" customWidth="1"/>
  </cols>
  <sheetData>
    <row r="1" spans="1:47" s="1623" customFormat="1" ht="22.5" customHeight="1">
      <c r="A1" s="4516" t="s">
        <v>165</v>
      </c>
      <c r="B1" s="4516"/>
      <c r="C1" s="4516"/>
      <c r="D1" s="4516"/>
      <c r="E1" s="4516"/>
      <c r="F1" s="4516"/>
      <c r="G1" s="4516"/>
      <c r="H1" s="4516"/>
      <c r="I1" s="4516"/>
      <c r="J1" s="4516"/>
      <c r="K1" s="4516"/>
      <c r="L1" s="4516"/>
      <c r="M1" s="4516"/>
      <c r="N1" s="4516"/>
      <c r="O1" s="4516"/>
      <c r="P1" s="4516"/>
      <c r="Q1" s="4516"/>
      <c r="R1" s="4516"/>
      <c r="S1" s="4516"/>
      <c r="T1" s="4516"/>
      <c r="U1" s="4516"/>
      <c r="V1" s="4516"/>
      <c r="W1" s="4516"/>
      <c r="X1" s="4516"/>
      <c r="Y1" s="4516"/>
      <c r="Z1" s="4516"/>
      <c r="AA1" s="4516"/>
      <c r="AB1" s="4516"/>
      <c r="AC1" s="4516"/>
      <c r="AD1" s="4516"/>
      <c r="AE1" s="4516"/>
      <c r="AF1" s="4516"/>
      <c r="AG1" s="4516"/>
      <c r="AH1" s="4516"/>
      <c r="AI1" s="4516"/>
      <c r="AJ1" s="4516"/>
      <c r="AK1" s="4516"/>
      <c r="AL1" s="4516"/>
      <c r="AM1" s="4516"/>
      <c r="AN1" s="4516"/>
      <c r="AO1" s="4516"/>
      <c r="AP1" s="4516"/>
      <c r="AQ1" s="4516"/>
      <c r="AR1" s="4516"/>
      <c r="AS1" s="4516"/>
      <c r="AT1" s="4516"/>
      <c r="AU1" s="4516"/>
    </row>
    <row r="2" spans="1:47" s="1623" customFormat="1" ht="21" customHeight="1">
      <c r="A2" s="4516" t="s">
        <v>991</v>
      </c>
      <c r="B2" s="4516"/>
      <c r="C2" s="4516"/>
      <c r="D2" s="4516"/>
      <c r="E2" s="4516"/>
      <c r="F2" s="4516"/>
      <c r="G2" s="4516"/>
      <c r="H2" s="4516"/>
      <c r="I2" s="4516"/>
      <c r="J2" s="4516"/>
      <c r="K2" s="4516"/>
      <c r="L2" s="4516"/>
      <c r="M2" s="4516"/>
      <c r="N2" s="4516"/>
      <c r="O2" s="4516"/>
      <c r="P2" s="4516"/>
      <c r="Q2" s="4516"/>
      <c r="R2" s="4516"/>
      <c r="S2" s="4516"/>
      <c r="T2" s="4516"/>
      <c r="U2" s="4516"/>
      <c r="V2" s="4516"/>
      <c r="W2" s="4516"/>
      <c r="X2" s="4516"/>
      <c r="Y2" s="4516"/>
      <c r="Z2" s="4516"/>
      <c r="AA2" s="4516"/>
      <c r="AB2" s="4516"/>
      <c r="AC2" s="4516"/>
      <c r="AD2" s="4516"/>
      <c r="AE2" s="4516"/>
      <c r="AF2" s="4516"/>
      <c r="AG2" s="4516"/>
      <c r="AH2" s="4516"/>
      <c r="AI2" s="4516"/>
      <c r="AJ2" s="4516"/>
      <c r="AK2" s="4516"/>
      <c r="AL2" s="4516"/>
      <c r="AM2" s="4516"/>
      <c r="AN2" s="4516"/>
      <c r="AO2" s="4516"/>
      <c r="AP2" s="4516"/>
      <c r="AQ2" s="4516"/>
      <c r="AR2" s="4516"/>
      <c r="AS2" s="4516"/>
      <c r="AT2" s="4516"/>
      <c r="AU2" s="4516"/>
    </row>
    <row r="3" spans="1:47" s="1623" customFormat="1" ht="17.25" customHeight="1">
      <c r="A3" s="4517" t="s">
        <v>992</v>
      </c>
      <c r="B3" s="4517"/>
      <c r="C3" s="4517"/>
      <c r="D3" s="4517"/>
      <c r="E3" s="4517"/>
      <c r="F3" s="4517"/>
      <c r="G3" s="4517"/>
      <c r="H3" s="4517"/>
      <c r="I3" s="4517"/>
      <c r="J3" s="4517"/>
      <c r="K3" s="4517"/>
      <c r="L3" s="4517"/>
      <c r="M3" s="4517"/>
      <c r="N3" s="4517"/>
      <c r="O3" s="4517"/>
      <c r="P3" s="4517"/>
      <c r="Q3" s="4517"/>
      <c r="R3" s="4517"/>
      <c r="S3" s="4517"/>
      <c r="T3" s="4517"/>
      <c r="U3" s="4517"/>
      <c r="V3" s="4517"/>
      <c r="W3" s="4517"/>
      <c r="X3" s="4517"/>
      <c r="Y3" s="4517"/>
      <c r="Z3" s="4517"/>
      <c r="AA3" s="4517"/>
      <c r="AB3" s="4517"/>
      <c r="AC3" s="4517"/>
      <c r="AD3" s="4517"/>
      <c r="AE3" s="4517"/>
      <c r="AF3" s="4517"/>
      <c r="AG3" s="4517"/>
      <c r="AH3" s="4517"/>
      <c r="AI3" s="4517"/>
      <c r="AJ3" s="4517"/>
      <c r="AK3" s="4517"/>
      <c r="AL3" s="4517"/>
      <c r="AM3" s="4517"/>
      <c r="AN3" s="4517"/>
      <c r="AO3" s="4517"/>
      <c r="AP3" s="4517"/>
      <c r="AQ3" s="4517"/>
      <c r="AR3" s="4517"/>
      <c r="AS3" s="4517"/>
      <c r="AT3" s="4517"/>
      <c r="AU3" s="4517"/>
    </row>
    <row r="4" spans="1:47" s="1623" customFormat="1" ht="15.75" customHeight="1">
      <c r="A4" s="1624"/>
      <c r="B4" s="1624"/>
      <c r="C4" s="1624"/>
      <c r="D4" s="1624"/>
      <c r="E4" s="1624"/>
      <c r="F4" s="1624"/>
      <c r="G4" s="1624"/>
      <c r="H4" s="1624"/>
      <c r="I4" s="1624"/>
      <c r="J4" s="1624"/>
      <c r="K4" s="1624"/>
      <c r="L4" s="1624"/>
      <c r="M4" s="1624"/>
      <c r="N4" s="1624"/>
      <c r="O4" s="1624"/>
      <c r="P4" s="1624"/>
      <c r="Q4" s="1624"/>
      <c r="R4" s="1624"/>
      <c r="S4" s="1624"/>
      <c r="T4" s="1624"/>
      <c r="U4" s="1624"/>
      <c r="V4" s="1624"/>
      <c r="W4" s="1624"/>
      <c r="X4" s="1624"/>
      <c r="Y4" s="1624"/>
      <c r="Z4" s="1624"/>
      <c r="AA4" s="1624"/>
      <c r="AB4" s="1624"/>
      <c r="AC4" s="1624"/>
      <c r="AD4" s="1624"/>
      <c r="AE4" s="1624"/>
      <c r="AF4" s="1624"/>
      <c r="AG4" s="1624"/>
      <c r="AH4" s="1624"/>
      <c r="AI4" s="1624"/>
      <c r="AJ4" s="1624"/>
    </row>
    <row r="5" spans="1:47" s="1623" customFormat="1" ht="22.5" customHeight="1">
      <c r="A5" s="4514" t="s">
        <v>574</v>
      </c>
      <c r="B5" s="4514"/>
      <c r="C5" s="4514"/>
      <c r="D5" s="4514"/>
      <c r="E5" s="4514"/>
      <c r="F5" s="4514"/>
      <c r="G5" s="4514"/>
      <c r="H5" s="4514"/>
      <c r="I5" s="4514"/>
      <c r="J5" s="4514"/>
      <c r="K5" s="4514"/>
      <c r="L5" s="4514"/>
      <c r="M5" s="4514"/>
      <c r="N5" s="4514"/>
      <c r="O5" s="4514"/>
      <c r="P5" s="1624"/>
      <c r="Q5" s="1624"/>
      <c r="R5" s="1624"/>
      <c r="S5" s="1624"/>
      <c r="T5" s="1624"/>
      <c r="U5" s="1624"/>
      <c r="V5" s="1624"/>
      <c r="W5" s="1624"/>
      <c r="X5" s="1624"/>
      <c r="Y5" s="1624"/>
      <c r="Z5" s="1624"/>
      <c r="AA5" s="1624"/>
      <c r="AB5" s="1624"/>
      <c r="AC5" s="1624"/>
      <c r="AD5" s="1624"/>
      <c r="AE5" s="1624"/>
      <c r="AF5" s="1624"/>
      <c r="AG5" s="1624"/>
      <c r="AH5" s="1624"/>
      <c r="AI5" s="1624"/>
      <c r="AJ5" s="1624"/>
    </row>
    <row r="6" spans="1:47" s="1623" customFormat="1" ht="18.75" customHeight="1">
      <c r="A6" s="4515" t="s">
        <v>1192</v>
      </c>
      <c r="B6" s="4515"/>
      <c r="C6" s="4515"/>
      <c r="D6" s="4515"/>
      <c r="E6" s="4515"/>
      <c r="F6" s="4515"/>
      <c r="G6" s="4515"/>
      <c r="H6" s="4515"/>
      <c r="I6" s="4515"/>
      <c r="J6" s="4515"/>
      <c r="K6" s="4515"/>
      <c r="L6" s="4515"/>
      <c r="M6" s="4515"/>
      <c r="N6" s="4515"/>
      <c r="O6" s="4515"/>
      <c r="P6" s="1624"/>
      <c r="Q6" s="1624"/>
      <c r="R6" s="1624"/>
      <c r="S6" s="1624"/>
      <c r="T6" s="1624"/>
      <c r="U6" s="1624"/>
      <c r="V6" s="1624"/>
      <c r="W6" s="1624"/>
      <c r="X6" s="1624"/>
      <c r="Y6" s="1624"/>
      <c r="Z6" s="1624"/>
      <c r="AA6" s="1624"/>
      <c r="AB6" s="1624"/>
      <c r="AC6" s="1624"/>
      <c r="AD6" s="1624"/>
      <c r="AE6" s="1624"/>
      <c r="AF6" s="1624"/>
      <c r="AG6" s="1624"/>
      <c r="AH6" s="1624"/>
      <c r="AI6" s="1624"/>
      <c r="AJ6" s="1624"/>
    </row>
    <row r="7" spans="1:47" ht="15.75" hidden="1" customHeight="1">
      <c r="W7" s="4501"/>
      <c r="X7" s="4501"/>
      <c r="Y7" s="4501"/>
      <c r="Z7" s="4501"/>
      <c r="AA7" s="4501"/>
      <c r="AB7" s="4501"/>
      <c r="AC7" s="4501"/>
      <c r="AD7" s="4501"/>
      <c r="AE7" s="4501"/>
      <c r="AF7" s="4501"/>
      <c r="AG7" s="4501"/>
      <c r="AH7" s="4501"/>
      <c r="AI7" s="4501"/>
      <c r="AL7" s="2278">
        <v>1</v>
      </c>
      <c r="AM7" s="2278">
        <v>2</v>
      </c>
      <c r="AN7" s="2278">
        <v>3</v>
      </c>
      <c r="AO7" s="2278">
        <v>4</v>
      </c>
      <c r="AP7" s="2278">
        <v>5</v>
      </c>
      <c r="AQ7" s="2279">
        <v>6</v>
      </c>
      <c r="AR7" s="2279">
        <v>7</v>
      </c>
    </row>
    <row r="8" spans="1:47" ht="15.75" hidden="1" customHeight="1">
      <c r="A8" s="4506"/>
      <c r="B8" s="4506"/>
      <c r="C8" s="4506"/>
      <c r="D8" s="4506"/>
      <c r="E8" s="4506"/>
      <c r="F8" s="4506"/>
      <c r="W8" s="4501"/>
      <c r="X8" s="4501"/>
      <c r="Y8" s="4501"/>
      <c r="Z8" s="4501"/>
      <c r="AA8" s="4501"/>
      <c r="AB8" s="4501"/>
      <c r="AC8" s="4501"/>
      <c r="AD8" s="4501"/>
      <c r="AE8" s="4501"/>
      <c r="AF8" s="4501"/>
      <c r="AG8" s="4501"/>
      <c r="AH8" s="4501"/>
      <c r="AI8" s="4501"/>
      <c r="AL8" s="2278" t="s">
        <v>237</v>
      </c>
      <c r="AM8" s="2278" t="s">
        <v>1193</v>
      </c>
      <c r="AN8" s="2278" t="s">
        <v>1194</v>
      </c>
      <c r="AO8" s="2278" t="s">
        <v>1195</v>
      </c>
      <c r="AP8" s="2278" t="s">
        <v>1196</v>
      </c>
      <c r="AQ8" s="2279" t="s">
        <v>1197</v>
      </c>
      <c r="AR8" s="2279" t="s">
        <v>1198</v>
      </c>
    </row>
    <row r="9" spans="1:47" ht="15.75" hidden="1" customHeight="1">
      <c r="AL9" s="2280"/>
      <c r="AM9" s="2280"/>
      <c r="AN9" s="2280"/>
      <c r="AO9" s="2280"/>
      <c r="AP9" s="2280"/>
    </row>
    <row r="10" spans="1:47" ht="22.5" customHeight="1">
      <c r="D10" s="4118" t="s">
        <v>1686</v>
      </c>
      <c r="E10" s="4118"/>
      <c r="F10" s="4118"/>
      <c r="G10" s="4118"/>
      <c r="H10" s="4118"/>
      <c r="I10" s="4118"/>
      <c r="J10" s="4118"/>
      <c r="K10" s="4118"/>
      <c r="L10" s="4118"/>
      <c r="M10" s="4118"/>
      <c r="N10" s="4118"/>
      <c r="O10" s="4118"/>
      <c r="P10" s="4118"/>
      <c r="Q10" s="4118"/>
      <c r="R10" s="4118"/>
      <c r="S10" s="4118"/>
      <c r="T10" s="4118"/>
      <c r="U10" s="4118"/>
      <c r="V10" s="4118"/>
      <c r="W10" s="4118"/>
      <c r="X10" s="4118"/>
      <c r="Y10" s="4118"/>
      <c r="Z10" s="4118"/>
      <c r="AA10" s="4118"/>
      <c r="AB10" s="4118"/>
      <c r="AC10" s="4118"/>
      <c r="AD10" s="4118"/>
      <c r="AE10" s="4118"/>
      <c r="AF10" s="4118"/>
      <c r="AG10" s="4118"/>
      <c r="AH10" s="4118"/>
      <c r="AL10" s="2280"/>
      <c r="AM10" s="2280"/>
      <c r="AN10" s="2280"/>
      <c r="AO10" s="2280"/>
      <c r="AP10" s="2280"/>
    </row>
    <row r="11" spans="1:47" ht="21.75" customHeight="1">
      <c r="B11" s="1459" t="s">
        <v>912</v>
      </c>
      <c r="C11" s="1459">
        <v>2025</v>
      </c>
      <c r="D11" s="4507" t="str">
        <f>"Tháng "&amp;IF(LEN($C$12)=1,"0"&amp;$C$12,$C$12)&amp;" năm "&amp;C11</f>
        <v>Tháng 04 năm 2025</v>
      </c>
      <c r="E11" s="4507"/>
      <c r="F11" s="4507"/>
      <c r="G11" s="4507"/>
      <c r="H11" s="4507"/>
      <c r="I11" s="4507"/>
      <c r="J11" s="4507"/>
      <c r="K11" s="4507"/>
      <c r="L11" s="4507"/>
      <c r="M11" s="4507"/>
      <c r="N11" s="4507"/>
      <c r="O11" s="4507"/>
      <c r="P11" s="4507"/>
      <c r="Q11" s="4507"/>
      <c r="R11" s="4507"/>
      <c r="S11" s="4507"/>
      <c r="T11" s="4507"/>
      <c r="U11" s="4507"/>
      <c r="V11" s="4507"/>
      <c r="W11" s="4507"/>
      <c r="X11" s="4507"/>
      <c r="Y11" s="4507"/>
      <c r="Z11" s="4507"/>
      <c r="AA11" s="4507"/>
      <c r="AB11" s="4507"/>
      <c r="AC11" s="4507"/>
      <c r="AD11" s="4507"/>
      <c r="AE11" s="4507"/>
      <c r="AF11" s="4507"/>
      <c r="AG11" s="4507"/>
      <c r="AH11" s="4507"/>
    </row>
    <row r="12" spans="1:47" ht="15.75" customHeight="1">
      <c r="B12" s="1459" t="s">
        <v>913</v>
      </c>
      <c r="C12" s="1459">
        <v>4</v>
      </c>
    </row>
    <row r="13" spans="1:47" ht="24" customHeight="1">
      <c r="A13" s="4504" t="s">
        <v>1</v>
      </c>
      <c r="B13" s="4509" t="s">
        <v>914</v>
      </c>
      <c r="C13" s="4510" t="s">
        <v>915</v>
      </c>
      <c r="D13" s="3880">
        <v>1</v>
      </c>
      <c r="E13" s="3880">
        <v>2</v>
      </c>
      <c r="F13" s="3880">
        <v>3</v>
      </c>
      <c r="G13" s="3880">
        <v>4</v>
      </c>
      <c r="H13" s="3880">
        <v>5</v>
      </c>
      <c r="I13" s="3880">
        <v>6</v>
      </c>
      <c r="J13" s="3880">
        <v>7</v>
      </c>
      <c r="K13" s="3880">
        <v>8</v>
      </c>
      <c r="L13" s="3880">
        <v>9</v>
      </c>
      <c r="M13" s="3880">
        <v>10</v>
      </c>
      <c r="N13" s="3880">
        <v>11</v>
      </c>
      <c r="O13" s="3880">
        <v>12</v>
      </c>
      <c r="P13" s="3880">
        <v>13</v>
      </c>
      <c r="Q13" s="3880">
        <v>14</v>
      </c>
      <c r="R13" s="3880">
        <v>15</v>
      </c>
      <c r="S13" s="3880">
        <v>16</v>
      </c>
      <c r="T13" s="3880">
        <v>17</v>
      </c>
      <c r="U13" s="3880">
        <v>18</v>
      </c>
      <c r="V13" s="3880">
        <v>19</v>
      </c>
      <c r="W13" s="3880">
        <v>20</v>
      </c>
      <c r="X13" s="3880">
        <v>21</v>
      </c>
      <c r="Y13" s="3880">
        <v>22</v>
      </c>
      <c r="Z13" s="3880">
        <v>23</v>
      </c>
      <c r="AA13" s="3880">
        <v>24</v>
      </c>
      <c r="AB13" s="3880">
        <v>25</v>
      </c>
      <c r="AC13" s="3880">
        <v>26</v>
      </c>
      <c r="AD13" s="3880">
        <v>27</v>
      </c>
      <c r="AE13" s="3880">
        <v>28</v>
      </c>
      <c r="AF13" s="3880">
        <f>IF(DAY(DATE(C11,C12+1,1)-1)&lt;29,"",29)</f>
        <v>29</v>
      </c>
      <c r="AG13" s="3880">
        <v>30</v>
      </c>
      <c r="AH13" s="3451"/>
      <c r="AI13" s="4503" t="s">
        <v>922</v>
      </c>
      <c r="AJ13" s="1536"/>
      <c r="AK13" s="1536"/>
      <c r="AL13" s="1536"/>
      <c r="AM13" s="1536"/>
      <c r="AN13" s="1536"/>
      <c r="AO13" s="1536"/>
      <c r="AP13" s="1536"/>
      <c r="AQ13" s="1536"/>
      <c r="AR13" s="1536"/>
      <c r="AS13" s="4503"/>
      <c r="AT13" s="4512" t="s">
        <v>1709</v>
      </c>
      <c r="AU13" s="4503" t="s">
        <v>923</v>
      </c>
    </row>
    <row r="14" spans="1:47" ht="27.75" customHeight="1">
      <c r="A14" s="4504"/>
      <c r="B14" s="4509"/>
      <c r="C14" s="4511"/>
      <c r="D14" s="3892" t="str">
        <f t="shared" ref="D14:AH14" si="0">IF(D13="","",HLOOKUP(WEEKDAY(DATE($C$11,$C$12,D13)),$AL$7:$AR$8,2,0))</f>
        <v>Ba</v>
      </c>
      <c r="E14" s="3892" t="str">
        <f t="shared" si="0"/>
        <v>Tư</v>
      </c>
      <c r="F14" s="3892" t="str">
        <f t="shared" si="0"/>
        <v>Năm</v>
      </c>
      <c r="G14" s="3892" t="str">
        <f t="shared" si="0"/>
        <v>Sáu</v>
      </c>
      <c r="H14" s="3892" t="str">
        <f t="shared" si="0"/>
        <v>Bảy</v>
      </c>
      <c r="I14" s="3892" t="str">
        <f t="shared" si="0"/>
        <v>CN</v>
      </c>
      <c r="J14" s="3892" t="str">
        <f t="shared" si="0"/>
        <v>Hai</v>
      </c>
      <c r="K14" s="3892" t="str">
        <f t="shared" si="0"/>
        <v>Ba</v>
      </c>
      <c r="L14" s="3892" t="str">
        <f t="shared" si="0"/>
        <v>Tư</v>
      </c>
      <c r="M14" s="3892" t="str">
        <f t="shared" si="0"/>
        <v>Năm</v>
      </c>
      <c r="N14" s="3892" t="str">
        <f t="shared" si="0"/>
        <v>Sáu</v>
      </c>
      <c r="O14" s="3892" t="str">
        <f t="shared" si="0"/>
        <v>Bảy</v>
      </c>
      <c r="P14" s="3892" t="str">
        <f t="shared" si="0"/>
        <v>CN</v>
      </c>
      <c r="Q14" s="3892" t="str">
        <f t="shared" si="0"/>
        <v>Hai</v>
      </c>
      <c r="R14" s="3892" t="str">
        <f t="shared" si="0"/>
        <v>Ba</v>
      </c>
      <c r="S14" s="3892" t="str">
        <f t="shared" si="0"/>
        <v>Tư</v>
      </c>
      <c r="T14" s="3892" t="str">
        <f t="shared" si="0"/>
        <v>Năm</v>
      </c>
      <c r="U14" s="3892" t="str">
        <f t="shared" si="0"/>
        <v>Sáu</v>
      </c>
      <c r="V14" s="3892" t="str">
        <f t="shared" si="0"/>
        <v>Bảy</v>
      </c>
      <c r="W14" s="3892" t="str">
        <f t="shared" si="0"/>
        <v>CN</v>
      </c>
      <c r="X14" s="3892" t="str">
        <f t="shared" si="0"/>
        <v>Hai</v>
      </c>
      <c r="Y14" s="3892" t="str">
        <f t="shared" si="0"/>
        <v>Ba</v>
      </c>
      <c r="Z14" s="3892" t="str">
        <f t="shared" si="0"/>
        <v>Tư</v>
      </c>
      <c r="AA14" s="3892" t="str">
        <f t="shared" si="0"/>
        <v>Năm</v>
      </c>
      <c r="AB14" s="3892" t="str">
        <f t="shared" si="0"/>
        <v>Sáu</v>
      </c>
      <c r="AC14" s="3892" t="str">
        <f t="shared" si="0"/>
        <v>Bảy</v>
      </c>
      <c r="AD14" s="3892" t="str">
        <f t="shared" si="0"/>
        <v>CN</v>
      </c>
      <c r="AE14" s="3892" t="str">
        <f t="shared" si="0"/>
        <v>Hai</v>
      </c>
      <c r="AF14" s="3893" t="str">
        <f t="shared" si="0"/>
        <v>Ba</v>
      </c>
      <c r="AG14" s="3893" t="str">
        <f t="shared" si="0"/>
        <v>Tư</v>
      </c>
      <c r="AH14" s="2409" t="str">
        <f t="shared" si="0"/>
        <v/>
      </c>
      <c r="AI14" s="4503"/>
      <c r="AJ14" s="1536"/>
      <c r="AK14" s="1536"/>
      <c r="AL14" s="1536"/>
      <c r="AM14" s="1536"/>
      <c r="AN14" s="1536"/>
      <c r="AO14" s="1536"/>
      <c r="AP14" s="1536"/>
      <c r="AQ14" s="1536"/>
      <c r="AR14" s="1536"/>
      <c r="AS14" s="4503"/>
      <c r="AT14" s="4513"/>
      <c r="AU14" s="4504"/>
    </row>
    <row r="15" spans="1:47" ht="19.5" customHeight="1">
      <c r="A15" s="1476">
        <v>1</v>
      </c>
      <c r="B15" s="1462"/>
      <c r="C15" s="1476" t="s">
        <v>1010</v>
      </c>
      <c r="D15" s="1462" t="str">
        <f>IF(WEEKDAY(DATE($C$11,$C$12,D$13),2)&gt;'[18]Khai báo'!$B$4,"","x")</f>
        <v>x</v>
      </c>
      <c r="E15" s="1462" t="str">
        <f>IF(WEEKDAY(DATE($C$11,$C$12,E$13),2)&gt;'[18]Khai báo'!$B$4,"","x")</f>
        <v>x</v>
      </c>
      <c r="F15" s="1462" t="str">
        <f>IF(WEEKDAY(DATE($C$11,$C$12,F$13),2)&gt;'[18]Khai báo'!$B$4,"","x")</f>
        <v>x</v>
      </c>
      <c r="G15" s="1462" t="str">
        <f>IF(WEEKDAY(DATE($C$11,$C$12,G$13),2)&gt;'[18]Khai báo'!$B$4,"","x")</f>
        <v>x</v>
      </c>
      <c r="H15" s="1462" t="str">
        <f>IF(WEEKDAY(DATE($C$11,$C$12,H$13),2)&gt;'[18]Khai báo'!$B$4,"","x")</f>
        <v>x</v>
      </c>
      <c r="I15" s="1462" t="str">
        <f>IF(WEEKDAY(DATE($C$11,$C$12,I$13),2)&gt;'[18]Khai báo'!$B$4,"","x")</f>
        <v/>
      </c>
      <c r="J15" s="1462" t="str">
        <f>IF(WEEKDAY(DATE($C$11,$C$12,J$13),2)&gt;'[18]Khai báo'!$B$4,"","x")</f>
        <v>x</v>
      </c>
      <c r="K15" s="1462" t="str">
        <f>IF(WEEKDAY(DATE($C$11,$C$12,K$13),2)&gt;'[18]Khai báo'!$B$4,"","x")</f>
        <v>x</v>
      </c>
      <c r="L15" s="1462" t="str">
        <f>IF(WEEKDAY(DATE($C$11,$C$12,L$13),2)&gt;'[18]Khai báo'!$B$4,"","x")</f>
        <v>x</v>
      </c>
      <c r="M15" s="1462" t="str">
        <f>IF(WEEKDAY(DATE($C$11,$C$12,M$13),2)&gt;'[18]Khai báo'!$B$4,"","x")</f>
        <v>x</v>
      </c>
      <c r="N15" s="1462" t="str">
        <f>IF(WEEKDAY(DATE($C$11,$C$12,N$13),2)&gt;'[18]Khai báo'!$B$4,"","x")</f>
        <v>x</v>
      </c>
      <c r="O15" s="1462" t="str">
        <f>IF(WEEKDAY(DATE($C$11,$C$12,O$13),2)&gt;'[18]Khai báo'!$B$4,"","x")</f>
        <v>x</v>
      </c>
      <c r="P15" s="1462" t="str">
        <f>IF(WEEKDAY(DATE($C$11,$C$12,P$13),2)&gt;'[18]Khai báo'!$B$4,"","x")</f>
        <v/>
      </c>
      <c r="Q15" s="1462" t="str">
        <f>IF(WEEKDAY(DATE($C$11,$C$12,Q$13),2)&gt;'[18]Khai báo'!$B$4,"","x")</f>
        <v>x</v>
      </c>
      <c r="R15" s="1462" t="str">
        <f>IF(WEEKDAY(DATE($C$11,$C$12,R$13),2)&gt;'[18]Khai báo'!$B$4,"","x")</f>
        <v>x</v>
      </c>
      <c r="S15" s="1462" t="str">
        <f>IF(WEEKDAY(DATE($C$11,$C$12,S$13),2)&gt;'[18]Khai báo'!$B$4,"","x")</f>
        <v>x</v>
      </c>
      <c r="T15" s="1462" t="str">
        <f>IF(WEEKDAY(DATE($C$11,$C$12,T$13),2)&gt;'[18]Khai báo'!$B$4,"","x")</f>
        <v>x</v>
      </c>
      <c r="U15" s="1462" t="str">
        <f>IF(WEEKDAY(DATE($C$11,$C$12,U$13),2)&gt;'[18]Khai báo'!$B$4,"","x")</f>
        <v>x</v>
      </c>
      <c r="V15" s="1462" t="str">
        <f>IF(WEEKDAY(DATE($C$11,$C$12,V$13),2)&gt;'[18]Khai báo'!$B$4,"","x")</f>
        <v>x</v>
      </c>
      <c r="W15" s="1462" t="str">
        <f>IF(WEEKDAY(DATE($C$11,$C$12,W$13),2)&gt;'[18]Khai báo'!$B$4,"","x")</f>
        <v/>
      </c>
      <c r="X15" s="1462" t="str">
        <f>IF(WEEKDAY(DATE($C$11,$C$12,X$13),2)&gt;'[18]Khai báo'!$B$4,"","x")</f>
        <v>x</v>
      </c>
      <c r="Y15" s="1462" t="str">
        <f>IF(WEEKDAY(DATE($C$11,$C$12,Y$13),2)&gt;'[18]Khai báo'!$B$4,"","x")</f>
        <v>x</v>
      </c>
      <c r="Z15" s="1462" t="str">
        <f>IF(WEEKDAY(DATE($C$11,$C$12,Z$13),2)&gt;'[18]Khai báo'!$B$4,"","x")</f>
        <v>x</v>
      </c>
      <c r="AA15" s="1462" t="str">
        <f>IF(WEEKDAY(DATE($C$11,$C$12,AA$13),2)&gt;'[18]Khai báo'!$B$4,"","x")</f>
        <v>x</v>
      </c>
      <c r="AB15" s="1462" t="str">
        <f>IF(WEEKDAY(DATE($C$11,$C$12,AB$13),2)&gt;'[18]Khai báo'!$B$4,"","x")</f>
        <v>x</v>
      </c>
      <c r="AC15" s="1462" t="str">
        <f>IF(WEEKDAY(DATE($C$11,$C$12,AC$13),2)&gt;'[18]Khai báo'!$B$4,"","x")</f>
        <v>x</v>
      </c>
      <c r="AD15" s="1462" t="str">
        <f>IF(WEEKDAY(DATE($C$11,$C$12,AD$13),2)&gt;'[18]Khai báo'!$B$4,"","x")</f>
        <v/>
      </c>
      <c r="AE15" s="1462" t="str">
        <f>IF(WEEKDAY(DATE($C$11,$C$12,AE$13),2)&gt;'[18]Khai báo'!$B$4,"","x")</f>
        <v>x</v>
      </c>
      <c r="AF15" s="1462" t="str">
        <f>IF(WEEKDAY(DATE($C$11,$C$12,AF$13),2)&gt;'[18]Khai báo'!$B$4,"","x")</f>
        <v>x</v>
      </c>
      <c r="AG15" s="1462" t="str">
        <f>IF(WEEKDAY(DATE($C$11,$C$12,AG$13),2)&gt;'[18]Khai báo'!$B$4,"","x")</f>
        <v>x</v>
      </c>
      <c r="AH15" s="1462"/>
      <c r="AI15" s="1534">
        <f>COUNTIF(D15:AH15,"X")</f>
        <v>26</v>
      </c>
      <c r="AJ15" s="1476"/>
      <c r="AK15" s="1476"/>
      <c r="AL15" s="1476"/>
      <c r="AM15" s="1476"/>
      <c r="AN15" s="1476"/>
      <c r="AO15" s="1476"/>
      <c r="AP15" s="1476"/>
      <c r="AQ15" s="1476"/>
      <c r="AR15" s="1476"/>
      <c r="AS15" s="1534"/>
      <c r="AT15" s="1534">
        <f>COUNTIF(D15:AS15,"p")</f>
        <v>0</v>
      </c>
      <c r="AU15" s="1535">
        <f>+AI15+AS15+AT15</f>
        <v>26</v>
      </c>
    </row>
    <row r="16" spans="1:47" ht="19.5" customHeight="1">
      <c r="A16" s="1464">
        <v>2</v>
      </c>
      <c r="B16" s="1465"/>
      <c r="C16" s="1464" t="s">
        <v>1306</v>
      </c>
      <c r="D16" s="1462" t="str">
        <f>IF(WEEKDAY(DATE($C$11,$C$12,D$13),2)&gt;'[18]Khai báo'!$B$4,"","x")</f>
        <v>x</v>
      </c>
      <c r="E16" s="1462" t="str">
        <f>IF(WEEKDAY(DATE($C$11,$C$12,E$13),2)&gt;'[18]Khai báo'!$B$4,"","x")</f>
        <v>x</v>
      </c>
      <c r="F16" s="1462" t="str">
        <f>IF(WEEKDAY(DATE($C$11,$C$12,F$13),2)&gt;'[18]Khai báo'!$B$4,"","x")</f>
        <v>x</v>
      </c>
      <c r="G16" s="1462" t="str">
        <f>IF(WEEKDAY(DATE($C$11,$C$12,G$13),2)&gt;'[18]Khai báo'!$B$4,"","x")</f>
        <v>x</v>
      </c>
      <c r="H16" s="1462" t="str">
        <f>IF(WEEKDAY(DATE($C$11,$C$12,H$13),2)&gt;'[18]Khai báo'!$B$4,"","x")</f>
        <v>x</v>
      </c>
      <c r="I16" s="1462" t="str">
        <f>IF(WEEKDAY(DATE($C$11,$C$12,I$13),2)&gt;'[18]Khai báo'!$B$4,"","x")</f>
        <v/>
      </c>
      <c r="J16" s="1462" t="str">
        <f>IF(WEEKDAY(DATE($C$11,$C$12,J$13),2)&gt;'[18]Khai báo'!$B$4,"","x")</f>
        <v>x</v>
      </c>
      <c r="K16" s="1462" t="str">
        <f>IF(WEEKDAY(DATE($C$11,$C$12,K$13),2)&gt;'[18]Khai báo'!$B$4,"","x")</f>
        <v>x</v>
      </c>
      <c r="L16" s="1462" t="str">
        <f>IF(WEEKDAY(DATE($C$11,$C$12,L$13),2)&gt;'[18]Khai báo'!$B$4,"","x")</f>
        <v>x</v>
      </c>
      <c r="M16" s="1462" t="str">
        <f>IF(WEEKDAY(DATE($C$11,$C$12,M$13),2)&gt;'[18]Khai báo'!$B$4,"","x")</f>
        <v>x</v>
      </c>
      <c r="N16" s="1462" t="str">
        <f>IF(WEEKDAY(DATE($C$11,$C$12,N$13),2)&gt;'[18]Khai báo'!$B$4,"","x")</f>
        <v>x</v>
      </c>
      <c r="O16" s="1462" t="str">
        <f>IF(WEEKDAY(DATE($C$11,$C$12,O$13),2)&gt;'[18]Khai báo'!$B$4,"","x")</f>
        <v>x</v>
      </c>
      <c r="P16" s="1462" t="str">
        <f>IF(WEEKDAY(DATE($C$11,$C$12,P$13),2)&gt;'[18]Khai báo'!$B$4,"","x")</f>
        <v/>
      </c>
      <c r="Q16" s="1462" t="str">
        <f>IF(WEEKDAY(DATE($C$11,$C$12,Q$13),2)&gt;'[18]Khai báo'!$B$4,"","x")</f>
        <v>x</v>
      </c>
      <c r="R16" s="1462" t="str">
        <f>IF(WEEKDAY(DATE($C$11,$C$12,R$13),2)&gt;'[18]Khai báo'!$B$4,"","x")</f>
        <v>x</v>
      </c>
      <c r="S16" s="1462" t="str">
        <f>IF(WEEKDAY(DATE($C$11,$C$12,S$13),2)&gt;'[18]Khai báo'!$B$4,"","x")</f>
        <v>x</v>
      </c>
      <c r="T16" s="1462" t="str">
        <f>IF(WEEKDAY(DATE($C$11,$C$12,T$13),2)&gt;'[18]Khai báo'!$B$4,"","x")</f>
        <v>x</v>
      </c>
      <c r="U16" s="1462" t="str">
        <f>IF(WEEKDAY(DATE($C$11,$C$12,U$13),2)&gt;'[18]Khai báo'!$B$4,"","x")</f>
        <v>x</v>
      </c>
      <c r="V16" s="1462" t="str">
        <f>IF(WEEKDAY(DATE($C$11,$C$12,V$13),2)&gt;'[18]Khai báo'!$B$4,"","x")</f>
        <v>x</v>
      </c>
      <c r="W16" s="1462" t="str">
        <f>IF(WEEKDAY(DATE($C$11,$C$12,W$13),2)&gt;'[18]Khai báo'!$B$4,"","x")</f>
        <v/>
      </c>
      <c r="X16" s="1462" t="str">
        <f>IF(WEEKDAY(DATE($C$11,$C$12,X$13),2)&gt;'[18]Khai báo'!$B$4,"","x")</f>
        <v>x</v>
      </c>
      <c r="Y16" s="1462" t="str">
        <f>IF(WEEKDAY(DATE($C$11,$C$12,Y$13),2)&gt;'[18]Khai báo'!$B$4,"","x")</f>
        <v>x</v>
      </c>
      <c r="Z16" s="1462" t="str">
        <f>IF(WEEKDAY(DATE($C$11,$C$12,Z$13),2)&gt;'[18]Khai báo'!$B$4,"","x")</f>
        <v>x</v>
      </c>
      <c r="AA16" s="1462" t="str">
        <f>IF(WEEKDAY(DATE($C$11,$C$12,AA$13),2)&gt;'[18]Khai báo'!$B$4,"","x")</f>
        <v>x</v>
      </c>
      <c r="AB16" s="1462" t="str">
        <f>IF(WEEKDAY(DATE($C$11,$C$12,AB$13),2)&gt;'[18]Khai báo'!$B$4,"","x")</f>
        <v>x</v>
      </c>
      <c r="AC16" s="1462" t="str">
        <f>IF(WEEKDAY(DATE($C$11,$C$12,AC$13),2)&gt;'[18]Khai báo'!$B$4,"","x")</f>
        <v>x</v>
      </c>
      <c r="AD16" s="1462" t="str">
        <f>IF(WEEKDAY(DATE($C$11,$C$12,AD$13),2)&gt;'[18]Khai báo'!$B$4,"","x")</f>
        <v/>
      </c>
      <c r="AE16" s="1462" t="str">
        <f>IF(WEEKDAY(DATE($C$11,$C$12,AE$13),2)&gt;'[18]Khai báo'!$B$4,"","x")</f>
        <v>x</v>
      </c>
      <c r="AF16" s="1462" t="str">
        <f>IF(WEEKDAY(DATE($C$11,$C$12,AF$13),2)&gt;'[18]Khai báo'!$B$4,"","x")</f>
        <v>x</v>
      </c>
      <c r="AG16" s="1462" t="str">
        <f>IF(WEEKDAY(DATE($C$11,$C$12,AG$13),2)&gt;'[18]Khai báo'!$B$4,"","x")</f>
        <v>x</v>
      </c>
      <c r="AH16" s="1462"/>
      <c r="AI16" s="1466">
        <f t="shared" ref="AI16:AI22" si="1">COUNTIF(D16:AH16,"X")</f>
        <v>26</v>
      </c>
      <c r="AJ16" s="1464"/>
      <c r="AK16" s="1464"/>
      <c r="AL16" s="1464"/>
      <c r="AM16" s="1464"/>
      <c r="AN16" s="1464"/>
      <c r="AO16" s="1464"/>
      <c r="AP16" s="1464"/>
      <c r="AQ16" s="1464"/>
      <c r="AR16" s="1464"/>
      <c r="AS16" s="1534"/>
      <c r="AT16" s="1534">
        <f t="shared" ref="AT16:AT23" si="2">COUNTIF(D16:AS16,"p")</f>
        <v>0</v>
      </c>
      <c r="AU16" s="1535">
        <f t="shared" ref="AU16:AU19" si="3">+AI16+AS16+AT16</f>
        <v>26</v>
      </c>
    </row>
    <row r="17" spans="1:47" ht="19.5" customHeight="1">
      <c r="A17" s="1476">
        <v>3</v>
      </c>
      <c r="B17" s="1465"/>
      <c r="C17" s="1464" t="s">
        <v>1857</v>
      </c>
      <c r="D17" s="1462" t="str">
        <f>IF(WEEKDAY(DATE($C$11,$C$12,D$13),2)&gt;'[18]Khai báo'!$B$4,"","x")</f>
        <v>x</v>
      </c>
      <c r="E17" s="1462" t="str">
        <f>IF(WEEKDAY(DATE($C$11,$C$12,E$13),2)&gt;'[18]Khai báo'!$B$4,"","x")</f>
        <v>x</v>
      </c>
      <c r="F17" s="1462" t="str">
        <f>IF(WEEKDAY(DATE($C$11,$C$12,F$13),2)&gt;'[18]Khai báo'!$B$4,"","x")</f>
        <v>x</v>
      </c>
      <c r="G17" s="1462" t="str">
        <f>IF(WEEKDAY(DATE($C$11,$C$12,G$13),2)&gt;'[18]Khai báo'!$B$4,"","x")</f>
        <v>x</v>
      </c>
      <c r="H17" s="1462" t="str">
        <f>IF(WEEKDAY(DATE($C$11,$C$12,H$13),2)&gt;'[18]Khai báo'!$B$4,"","x")</f>
        <v>x</v>
      </c>
      <c r="I17" s="1462" t="str">
        <f>IF(WEEKDAY(DATE($C$11,$C$12,I$13),2)&gt;'[18]Khai báo'!$B$4,"","x")</f>
        <v/>
      </c>
      <c r="J17" s="1462" t="str">
        <f>IF(WEEKDAY(DATE($C$11,$C$12,J$13),2)&gt;'[18]Khai báo'!$B$4,"","x")</f>
        <v>x</v>
      </c>
      <c r="K17" s="1462" t="str">
        <f>IF(WEEKDAY(DATE($C$11,$C$12,K$13),2)&gt;'[18]Khai báo'!$B$4,"","x")</f>
        <v>x</v>
      </c>
      <c r="L17" s="1462" t="str">
        <f>IF(WEEKDAY(DATE($C$11,$C$12,L$13),2)&gt;'[18]Khai báo'!$B$4,"","x")</f>
        <v>x</v>
      </c>
      <c r="M17" s="1462" t="str">
        <f>IF(WEEKDAY(DATE($C$11,$C$12,M$13),2)&gt;'[18]Khai báo'!$B$4,"","x")</f>
        <v>x</v>
      </c>
      <c r="N17" s="1462" t="str">
        <f>IF(WEEKDAY(DATE($C$11,$C$12,N$13),2)&gt;'[18]Khai báo'!$B$4,"","x")</f>
        <v>x</v>
      </c>
      <c r="O17" s="1462" t="str">
        <f>IF(WEEKDAY(DATE($C$11,$C$12,O$13),2)&gt;'[18]Khai báo'!$B$4,"","x")</f>
        <v>x</v>
      </c>
      <c r="P17" s="1462" t="str">
        <f>IF(WEEKDAY(DATE($C$11,$C$12,P$13),2)&gt;'[18]Khai báo'!$B$4,"","x")</f>
        <v/>
      </c>
      <c r="Q17" s="1462" t="str">
        <f>IF(WEEKDAY(DATE($C$11,$C$12,Q$13),2)&gt;'[18]Khai báo'!$B$4,"","x")</f>
        <v>x</v>
      </c>
      <c r="R17" s="1462" t="str">
        <f>IF(WEEKDAY(DATE($C$11,$C$12,R$13),2)&gt;'[18]Khai báo'!$B$4,"","x")</f>
        <v>x</v>
      </c>
      <c r="S17" s="1462" t="str">
        <f>IF(WEEKDAY(DATE($C$11,$C$12,S$13),2)&gt;'[18]Khai báo'!$B$4,"","x")</f>
        <v>x</v>
      </c>
      <c r="T17" s="1462" t="str">
        <f>IF(WEEKDAY(DATE($C$11,$C$12,T$13),2)&gt;'[18]Khai báo'!$B$4,"","x")</f>
        <v>x</v>
      </c>
      <c r="U17" s="1462" t="str">
        <f>IF(WEEKDAY(DATE($C$11,$C$12,U$13),2)&gt;'[18]Khai báo'!$B$4,"","x")</f>
        <v>x</v>
      </c>
      <c r="V17" s="1462" t="str">
        <f>IF(WEEKDAY(DATE($C$11,$C$12,V$13),2)&gt;'[18]Khai báo'!$B$4,"","x")</f>
        <v>x</v>
      </c>
      <c r="W17" s="1462" t="str">
        <f>IF(WEEKDAY(DATE($C$11,$C$12,W$13),2)&gt;'[18]Khai báo'!$B$4,"","x")</f>
        <v/>
      </c>
      <c r="X17" s="1462" t="str">
        <f>IF(WEEKDAY(DATE($C$11,$C$12,X$13),2)&gt;'[18]Khai báo'!$B$4,"","x")</f>
        <v>x</v>
      </c>
      <c r="Y17" s="1462" t="str">
        <f>IF(WEEKDAY(DATE($C$11,$C$12,Y$13),2)&gt;'[18]Khai báo'!$B$4,"","x")</f>
        <v>x</v>
      </c>
      <c r="Z17" s="1462" t="str">
        <f>IF(WEEKDAY(DATE($C$11,$C$12,Z$13),2)&gt;'[18]Khai báo'!$B$4,"","x")</f>
        <v>x</v>
      </c>
      <c r="AA17" s="1462" t="str">
        <f>IF(WEEKDAY(DATE($C$11,$C$12,AA$13),2)&gt;'[18]Khai báo'!$B$4,"","x")</f>
        <v>x</v>
      </c>
      <c r="AB17" s="1462" t="str">
        <f>IF(WEEKDAY(DATE($C$11,$C$12,AB$13),2)&gt;'[18]Khai báo'!$B$4,"","x")</f>
        <v>x</v>
      </c>
      <c r="AC17" s="1462" t="str">
        <f>IF(WEEKDAY(DATE($C$11,$C$12,AC$13),2)&gt;'[18]Khai báo'!$B$4,"","x")</f>
        <v>x</v>
      </c>
      <c r="AD17" s="1462" t="str">
        <f>IF(WEEKDAY(DATE($C$11,$C$12,AD$13),2)&gt;'[18]Khai báo'!$B$4,"","x")</f>
        <v/>
      </c>
      <c r="AE17" s="1462" t="str">
        <f>IF(WEEKDAY(DATE($C$11,$C$12,AE$13),2)&gt;'[18]Khai báo'!$B$4,"","x")</f>
        <v>x</v>
      </c>
      <c r="AF17" s="1462" t="str">
        <f>IF(WEEKDAY(DATE($C$11,$C$12,AF$13),2)&gt;'[18]Khai báo'!$B$4,"","x")</f>
        <v>x</v>
      </c>
      <c r="AG17" s="1462" t="str">
        <f>IF(WEEKDAY(DATE($C$11,$C$12,AG$13),2)&gt;'[18]Khai báo'!$B$4,"","x")</f>
        <v>x</v>
      </c>
      <c r="AH17" s="1462"/>
      <c r="AI17" s="1466">
        <f t="shared" si="1"/>
        <v>26</v>
      </c>
      <c r="AJ17" s="1464"/>
      <c r="AK17" s="1464"/>
      <c r="AL17" s="1464"/>
      <c r="AM17" s="1464"/>
      <c r="AN17" s="1464"/>
      <c r="AO17" s="1464"/>
      <c r="AP17" s="1464"/>
      <c r="AQ17" s="1464"/>
      <c r="AR17" s="1464"/>
      <c r="AS17" s="1534"/>
      <c r="AT17" s="1534">
        <f t="shared" si="2"/>
        <v>0</v>
      </c>
      <c r="AU17" s="1535">
        <f t="shared" si="3"/>
        <v>26</v>
      </c>
    </row>
    <row r="18" spans="1:47" ht="19.5" customHeight="1">
      <c r="A18" s="1464">
        <v>4</v>
      </c>
      <c r="B18" s="1465"/>
      <c r="C18" s="1464" t="s">
        <v>1858</v>
      </c>
      <c r="D18" s="1462" t="str">
        <f>IF(WEEKDAY(DATE($C$11,$C$12,D$13),2)&gt;'[18]Khai báo'!$B$4,"","x")</f>
        <v>x</v>
      </c>
      <c r="E18" s="1462" t="str">
        <f>IF(WEEKDAY(DATE($C$11,$C$12,E$13),2)&gt;'[18]Khai báo'!$B$4,"","x")</f>
        <v>x</v>
      </c>
      <c r="F18" s="1462" t="str">
        <f>IF(WEEKDAY(DATE($C$11,$C$12,F$13),2)&gt;'[18]Khai báo'!$B$4,"","x")</f>
        <v>x</v>
      </c>
      <c r="G18" s="1462" t="str">
        <f>IF(WEEKDAY(DATE($C$11,$C$12,G$13),2)&gt;'[18]Khai báo'!$B$4,"","x")</f>
        <v>x</v>
      </c>
      <c r="H18" s="1462" t="str">
        <f>IF(WEEKDAY(DATE($C$11,$C$12,H$13),2)&gt;'[18]Khai báo'!$B$4,"","x")</f>
        <v>x</v>
      </c>
      <c r="I18" s="1462" t="str">
        <f>IF(WEEKDAY(DATE($C$11,$C$12,I$13),2)&gt;'[18]Khai báo'!$B$4,"","x")</f>
        <v/>
      </c>
      <c r="J18" s="1462" t="str">
        <f>IF(WEEKDAY(DATE($C$11,$C$12,J$13),2)&gt;'[18]Khai báo'!$B$4,"","x")</f>
        <v>x</v>
      </c>
      <c r="K18" s="1462" t="str">
        <f>IF(WEEKDAY(DATE($C$11,$C$12,K$13),2)&gt;'[18]Khai báo'!$B$4,"","x")</f>
        <v>x</v>
      </c>
      <c r="L18" s="1462" t="str">
        <f>IF(WEEKDAY(DATE($C$11,$C$12,L$13),2)&gt;'[18]Khai báo'!$B$4,"","x")</f>
        <v>x</v>
      </c>
      <c r="M18" s="1462" t="str">
        <f>IF(WEEKDAY(DATE($C$11,$C$12,M$13),2)&gt;'[18]Khai báo'!$B$4,"","x")</f>
        <v>x</v>
      </c>
      <c r="N18" s="1462" t="str">
        <f>IF(WEEKDAY(DATE($C$11,$C$12,N$13),2)&gt;'[18]Khai báo'!$B$4,"","x")</f>
        <v>x</v>
      </c>
      <c r="O18" s="1462" t="str">
        <f>IF(WEEKDAY(DATE($C$11,$C$12,O$13),2)&gt;'[18]Khai báo'!$B$4,"","x")</f>
        <v>x</v>
      </c>
      <c r="P18" s="1462" t="str">
        <f>IF(WEEKDAY(DATE($C$11,$C$12,P$13),2)&gt;'[18]Khai báo'!$B$4,"","x")</f>
        <v/>
      </c>
      <c r="Q18" s="1462" t="str">
        <f>IF(WEEKDAY(DATE($C$11,$C$12,Q$13),2)&gt;'[18]Khai báo'!$B$4,"","x")</f>
        <v>x</v>
      </c>
      <c r="R18" s="1462" t="str">
        <f>IF(WEEKDAY(DATE($C$11,$C$12,R$13),2)&gt;'[18]Khai báo'!$B$4,"","x")</f>
        <v>x</v>
      </c>
      <c r="S18" s="1462" t="str">
        <f>IF(WEEKDAY(DATE($C$11,$C$12,S$13),2)&gt;'[18]Khai báo'!$B$4,"","x")</f>
        <v>x</v>
      </c>
      <c r="T18" s="1462" t="str">
        <f>IF(WEEKDAY(DATE($C$11,$C$12,T$13),2)&gt;'[18]Khai báo'!$B$4,"","x")</f>
        <v>x</v>
      </c>
      <c r="U18" s="1462" t="str">
        <f>IF(WEEKDAY(DATE($C$11,$C$12,U$13),2)&gt;'[18]Khai báo'!$B$4,"","x")</f>
        <v>x</v>
      </c>
      <c r="V18" s="1462" t="str">
        <f>IF(WEEKDAY(DATE($C$11,$C$12,V$13),2)&gt;'[18]Khai báo'!$B$4,"","x")</f>
        <v>x</v>
      </c>
      <c r="W18" s="1462" t="str">
        <f>IF(WEEKDAY(DATE($C$11,$C$12,W$13),2)&gt;'[18]Khai báo'!$B$4,"","x")</f>
        <v/>
      </c>
      <c r="X18" s="1462" t="str">
        <f>IF(WEEKDAY(DATE($C$11,$C$12,X$13),2)&gt;'[18]Khai báo'!$B$4,"","x")</f>
        <v>x</v>
      </c>
      <c r="Y18" s="1462" t="str">
        <f>IF(WEEKDAY(DATE($C$11,$C$12,Y$13),2)&gt;'[18]Khai báo'!$B$4,"","x")</f>
        <v>x</v>
      </c>
      <c r="Z18" s="1462" t="str">
        <f>IF(WEEKDAY(DATE($C$11,$C$12,Z$13),2)&gt;'[18]Khai báo'!$B$4,"","x")</f>
        <v>x</v>
      </c>
      <c r="AA18" s="1462" t="str">
        <f>IF(WEEKDAY(DATE($C$11,$C$12,AA$13),2)&gt;'[18]Khai báo'!$B$4,"","x")</f>
        <v>x</v>
      </c>
      <c r="AB18" s="1462" t="str">
        <f>IF(WEEKDAY(DATE($C$11,$C$12,AB$13),2)&gt;'[18]Khai báo'!$B$4,"","x")</f>
        <v>x</v>
      </c>
      <c r="AC18" s="1462" t="str">
        <f>IF(WEEKDAY(DATE($C$11,$C$12,AC$13),2)&gt;'[18]Khai báo'!$B$4,"","x")</f>
        <v>x</v>
      </c>
      <c r="AD18" s="1462" t="str">
        <f>IF(WEEKDAY(DATE($C$11,$C$12,AD$13),2)&gt;'[18]Khai báo'!$B$4,"","x")</f>
        <v/>
      </c>
      <c r="AE18" s="1462" t="str">
        <f>IF(WEEKDAY(DATE($C$11,$C$12,AE$13),2)&gt;'[18]Khai báo'!$B$4,"","x")</f>
        <v>x</v>
      </c>
      <c r="AF18" s="1462" t="str">
        <f>IF(WEEKDAY(DATE($C$11,$C$12,AF$13),2)&gt;'[18]Khai báo'!$B$4,"","x")</f>
        <v>x</v>
      </c>
      <c r="AG18" s="1462" t="str">
        <f>IF(WEEKDAY(DATE($C$11,$C$12,AG$13),2)&gt;'[18]Khai báo'!$B$4,"","x")</f>
        <v>x</v>
      </c>
      <c r="AH18" s="1462"/>
      <c r="AI18" s="1466">
        <f t="shared" si="1"/>
        <v>26</v>
      </c>
      <c r="AJ18" s="1464"/>
      <c r="AK18" s="1464"/>
      <c r="AL18" s="1464"/>
      <c r="AM18" s="1464"/>
      <c r="AN18" s="1464"/>
      <c r="AO18" s="1464"/>
      <c r="AP18" s="1464"/>
      <c r="AQ18" s="1464"/>
      <c r="AR18" s="1464"/>
      <c r="AS18" s="1534"/>
      <c r="AT18" s="1534">
        <f t="shared" si="2"/>
        <v>0</v>
      </c>
      <c r="AU18" s="1535">
        <f t="shared" si="3"/>
        <v>26</v>
      </c>
    </row>
    <row r="19" spans="1:47" ht="19.5" customHeight="1">
      <c r="A19" s="1476">
        <v>5</v>
      </c>
      <c r="B19" s="1465"/>
      <c r="C19" s="1464" t="s">
        <v>96</v>
      </c>
      <c r="D19" s="1462" t="str">
        <f>IF(WEEKDAY(DATE($C$11,$C$12,D$13),2)&gt;'[18]Khai báo'!$B$4,"","x")</f>
        <v>x</v>
      </c>
      <c r="E19" s="1462" t="str">
        <f>IF(WEEKDAY(DATE($C$11,$C$12,E$13),2)&gt;'[18]Khai báo'!$B$4,"","x")</f>
        <v>x</v>
      </c>
      <c r="F19" s="1462" t="str">
        <f>IF(WEEKDAY(DATE($C$11,$C$12,F$13),2)&gt;'[18]Khai báo'!$B$4,"","x")</f>
        <v>x</v>
      </c>
      <c r="G19" s="1462" t="str">
        <f>IF(WEEKDAY(DATE($C$11,$C$12,G$13),2)&gt;'[18]Khai báo'!$B$4,"","x")</f>
        <v>x</v>
      </c>
      <c r="H19" s="1462" t="str">
        <f>IF(WEEKDAY(DATE($C$11,$C$12,H$13),2)&gt;'[18]Khai báo'!$B$4,"","x")</f>
        <v>x</v>
      </c>
      <c r="I19" s="1462" t="str">
        <f>IF(WEEKDAY(DATE($C$11,$C$12,I$13),2)&gt;'[18]Khai báo'!$B$4,"","x")</f>
        <v/>
      </c>
      <c r="J19" s="1462" t="str">
        <f>IF(WEEKDAY(DATE($C$11,$C$12,J$13),2)&gt;'[18]Khai báo'!$B$4,"","x")</f>
        <v>x</v>
      </c>
      <c r="K19" s="1462" t="str">
        <f>IF(WEEKDAY(DATE($C$11,$C$12,K$13),2)&gt;'[18]Khai báo'!$B$4,"","x")</f>
        <v>x</v>
      </c>
      <c r="L19" s="1462" t="str">
        <f>IF(WEEKDAY(DATE($C$11,$C$12,L$13),2)&gt;'[18]Khai báo'!$B$4,"","x")</f>
        <v>x</v>
      </c>
      <c r="M19" s="1462" t="str">
        <f>IF(WEEKDAY(DATE($C$11,$C$12,M$13),2)&gt;'[18]Khai báo'!$B$4,"","x")</f>
        <v>x</v>
      </c>
      <c r="N19" s="1462" t="str">
        <f>IF(WEEKDAY(DATE($C$11,$C$12,N$13),2)&gt;'[18]Khai báo'!$B$4,"","x")</f>
        <v>x</v>
      </c>
      <c r="O19" s="1462" t="str">
        <f>IF(WEEKDAY(DATE($C$11,$C$12,O$13),2)&gt;'[18]Khai báo'!$B$4,"","x")</f>
        <v>x</v>
      </c>
      <c r="P19" s="1462" t="str">
        <f>IF(WEEKDAY(DATE($C$11,$C$12,P$13),2)&gt;'[18]Khai báo'!$B$4,"","x")</f>
        <v/>
      </c>
      <c r="Q19" s="1462" t="str">
        <f>IF(WEEKDAY(DATE($C$11,$C$12,Q$13),2)&gt;'[18]Khai báo'!$B$4,"","x")</f>
        <v>x</v>
      </c>
      <c r="R19" s="1462" t="str">
        <f>IF(WEEKDAY(DATE($C$11,$C$12,R$13),2)&gt;'[18]Khai báo'!$B$4,"","x")</f>
        <v>x</v>
      </c>
      <c r="S19" s="1462" t="str">
        <f>IF(WEEKDAY(DATE($C$11,$C$12,S$13),2)&gt;'[18]Khai báo'!$B$4,"","x")</f>
        <v>x</v>
      </c>
      <c r="T19" s="1462" t="str">
        <f>IF(WEEKDAY(DATE($C$11,$C$12,T$13),2)&gt;'[18]Khai báo'!$B$4,"","x")</f>
        <v>x</v>
      </c>
      <c r="U19" s="1462" t="str">
        <f>IF(WEEKDAY(DATE($C$11,$C$12,U$13),2)&gt;'[18]Khai báo'!$B$4,"","x")</f>
        <v>x</v>
      </c>
      <c r="V19" s="1462" t="str">
        <f>IF(WEEKDAY(DATE($C$11,$C$12,V$13),2)&gt;'[18]Khai báo'!$B$4,"","x")</f>
        <v>x</v>
      </c>
      <c r="W19" s="1462" t="str">
        <f>IF(WEEKDAY(DATE($C$11,$C$12,W$13),2)&gt;'[18]Khai báo'!$B$4,"","x")</f>
        <v/>
      </c>
      <c r="X19" s="1462" t="str">
        <f>IF(WEEKDAY(DATE($C$11,$C$12,X$13),2)&gt;'[18]Khai báo'!$B$4,"","x")</f>
        <v>x</v>
      </c>
      <c r="Y19" s="1462" t="str">
        <f>IF(WEEKDAY(DATE($C$11,$C$12,Y$13),2)&gt;'[18]Khai báo'!$B$4,"","x")</f>
        <v>x</v>
      </c>
      <c r="Z19" s="1462" t="str">
        <f>IF(WEEKDAY(DATE($C$11,$C$12,Z$13),2)&gt;'[18]Khai báo'!$B$4,"","x")</f>
        <v>x</v>
      </c>
      <c r="AA19" s="1462" t="str">
        <f>IF(WEEKDAY(DATE($C$11,$C$12,AA$13),2)&gt;'[18]Khai báo'!$B$4,"","x")</f>
        <v>x</v>
      </c>
      <c r="AB19" s="1462" t="str">
        <f>IF(WEEKDAY(DATE($C$11,$C$12,AB$13),2)&gt;'[18]Khai báo'!$B$4,"","x")</f>
        <v>x</v>
      </c>
      <c r="AC19" s="1462" t="str">
        <f>IF(WEEKDAY(DATE($C$11,$C$12,AC$13),2)&gt;'[18]Khai báo'!$B$4,"","x")</f>
        <v>x</v>
      </c>
      <c r="AD19" s="1462" t="str">
        <f>IF(WEEKDAY(DATE($C$11,$C$12,AD$13),2)&gt;'[18]Khai báo'!$B$4,"","x")</f>
        <v/>
      </c>
      <c r="AE19" s="1462" t="str">
        <f>IF(WEEKDAY(DATE($C$11,$C$12,AE$13),2)&gt;'[18]Khai báo'!$B$4,"","x")</f>
        <v>x</v>
      </c>
      <c r="AF19" s="1462" t="str">
        <f>IF(WEEKDAY(DATE($C$11,$C$12,AF$13),2)&gt;'[18]Khai báo'!$B$4,"","x")</f>
        <v>x</v>
      </c>
      <c r="AG19" s="1462" t="str">
        <f>IF(WEEKDAY(DATE($C$11,$C$12,AG$13),2)&gt;'[18]Khai báo'!$B$4,"","x")</f>
        <v>x</v>
      </c>
      <c r="AH19" s="1462"/>
      <c r="AI19" s="1466">
        <f t="shared" si="1"/>
        <v>26</v>
      </c>
      <c r="AJ19" s="1464"/>
      <c r="AK19" s="1464"/>
      <c r="AL19" s="1464"/>
      <c r="AM19" s="1464"/>
      <c r="AN19" s="1464"/>
      <c r="AO19" s="1464"/>
      <c r="AP19" s="1464"/>
      <c r="AQ19" s="1464"/>
      <c r="AR19" s="1464"/>
      <c r="AS19" s="1534"/>
      <c r="AT19" s="1534">
        <f t="shared" si="2"/>
        <v>0</v>
      </c>
      <c r="AU19" s="1535">
        <f t="shared" si="3"/>
        <v>26</v>
      </c>
    </row>
    <row r="20" spans="1:47" s="3824" customFormat="1" ht="19.5" customHeight="1">
      <c r="A20" s="1464">
        <v>6</v>
      </c>
      <c r="B20" s="1465"/>
      <c r="C20" s="1464" t="s">
        <v>97</v>
      </c>
      <c r="D20" s="1462" t="str">
        <f>IF(WEEKDAY(DATE($C$11,$C$12,D$13),2)&gt;'[18]Khai báo'!$B$4,"","x")</f>
        <v>x</v>
      </c>
      <c r="E20" s="1462" t="str">
        <f>IF(WEEKDAY(DATE($C$11,$C$12,E$13),2)&gt;'[18]Khai báo'!$B$4,"","x")</f>
        <v>x</v>
      </c>
      <c r="F20" s="1462" t="str">
        <f>IF(WEEKDAY(DATE($C$11,$C$12,F$13),2)&gt;'[18]Khai báo'!$B$4,"","x")</f>
        <v>x</v>
      </c>
      <c r="G20" s="1462" t="str">
        <f>IF(WEEKDAY(DATE($C$11,$C$12,G$13),2)&gt;'[18]Khai báo'!$B$4,"","x")</f>
        <v>x</v>
      </c>
      <c r="H20" s="1462" t="str">
        <f>IF(WEEKDAY(DATE($C$11,$C$12,H$13),2)&gt;'[18]Khai báo'!$B$4,"","x")</f>
        <v>x</v>
      </c>
      <c r="I20" s="1462" t="str">
        <f>IF(WEEKDAY(DATE($C$11,$C$12,I$13),2)&gt;'[18]Khai báo'!$B$4,"","x")</f>
        <v/>
      </c>
      <c r="J20" s="1462" t="str">
        <f>IF(WEEKDAY(DATE($C$11,$C$12,J$13),2)&gt;'[18]Khai báo'!$B$4,"","x")</f>
        <v>x</v>
      </c>
      <c r="K20" s="1462" t="str">
        <f>IF(WEEKDAY(DATE($C$11,$C$12,K$13),2)&gt;'[18]Khai báo'!$B$4,"","x")</f>
        <v>x</v>
      </c>
      <c r="L20" s="1462" t="str">
        <f>IF(WEEKDAY(DATE($C$11,$C$12,L$13),2)&gt;'[18]Khai báo'!$B$4,"","x")</f>
        <v>x</v>
      </c>
      <c r="M20" s="1462" t="str">
        <f>IF(WEEKDAY(DATE($C$11,$C$12,M$13),2)&gt;'[18]Khai báo'!$B$4,"","x")</f>
        <v>x</v>
      </c>
      <c r="N20" s="1462" t="str">
        <f>IF(WEEKDAY(DATE($C$11,$C$12,N$13),2)&gt;'[18]Khai báo'!$B$4,"","x")</f>
        <v>x</v>
      </c>
      <c r="O20" s="1462" t="str">
        <f>IF(WEEKDAY(DATE($C$11,$C$12,O$13),2)&gt;'[18]Khai báo'!$B$4,"","x")</f>
        <v>x</v>
      </c>
      <c r="P20" s="1462" t="str">
        <f>IF(WEEKDAY(DATE($C$11,$C$12,P$13),2)&gt;'[18]Khai báo'!$B$4,"","x")</f>
        <v/>
      </c>
      <c r="Q20" s="1462" t="str">
        <f>IF(WEEKDAY(DATE($C$11,$C$12,Q$13),2)&gt;'[18]Khai báo'!$B$4,"","x")</f>
        <v>x</v>
      </c>
      <c r="R20" s="1462" t="str">
        <f>IF(WEEKDAY(DATE($C$11,$C$12,R$13),2)&gt;'[18]Khai báo'!$B$4,"","x")</f>
        <v>x</v>
      </c>
      <c r="S20" s="1462" t="str">
        <f>IF(WEEKDAY(DATE($C$11,$C$12,S$13),2)&gt;'[18]Khai báo'!$B$4,"","x")</f>
        <v>x</v>
      </c>
      <c r="T20" s="1462" t="str">
        <f>IF(WEEKDAY(DATE($C$11,$C$12,T$13),2)&gt;'[18]Khai báo'!$B$4,"","x")</f>
        <v>x</v>
      </c>
      <c r="U20" s="1462" t="str">
        <f>IF(WEEKDAY(DATE($C$11,$C$12,U$13),2)&gt;'[18]Khai báo'!$B$4,"","x")</f>
        <v>x</v>
      </c>
      <c r="V20" s="1462" t="str">
        <f>IF(WEEKDAY(DATE($C$11,$C$12,V$13),2)&gt;'[18]Khai báo'!$B$4,"","x")</f>
        <v>x</v>
      </c>
      <c r="W20" s="1462" t="str">
        <f>IF(WEEKDAY(DATE($C$11,$C$12,W$13),2)&gt;'[18]Khai báo'!$B$4,"","x")</f>
        <v/>
      </c>
      <c r="X20" s="1462" t="str">
        <f>IF(WEEKDAY(DATE($C$11,$C$12,X$13),2)&gt;'[18]Khai báo'!$B$4,"","x")</f>
        <v>x</v>
      </c>
      <c r="Y20" s="1462" t="str">
        <f>IF(WEEKDAY(DATE($C$11,$C$12,Y$13),2)&gt;'[18]Khai báo'!$B$4,"","x")</f>
        <v>x</v>
      </c>
      <c r="Z20" s="1462" t="str">
        <f>IF(WEEKDAY(DATE($C$11,$C$12,Z$13),2)&gt;'[18]Khai báo'!$B$4,"","x")</f>
        <v>x</v>
      </c>
      <c r="AA20" s="1462" t="str">
        <f>IF(WEEKDAY(DATE($C$11,$C$12,AA$13),2)&gt;'[18]Khai báo'!$B$4,"","x")</f>
        <v>x</v>
      </c>
      <c r="AB20" s="1462" t="str">
        <f>IF(WEEKDAY(DATE($C$11,$C$12,AB$13),2)&gt;'[18]Khai báo'!$B$4,"","x")</f>
        <v>x</v>
      </c>
      <c r="AC20" s="1462" t="str">
        <f>IF(WEEKDAY(DATE($C$11,$C$12,AC$13),2)&gt;'[18]Khai báo'!$B$4,"","x")</f>
        <v>x</v>
      </c>
      <c r="AD20" s="1462" t="str">
        <f>IF(WEEKDAY(DATE($C$11,$C$12,AD$13),2)&gt;'[18]Khai báo'!$B$4,"","x")</f>
        <v/>
      </c>
      <c r="AE20" s="1462" t="str">
        <f>IF(WEEKDAY(DATE($C$11,$C$12,AE$13),2)&gt;'[18]Khai báo'!$B$4,"","x")</f>
        <v>x</v>
      </c>
      <c r="AF20" s="1462" t="str">
        <f>IF(WEEKDAY(DATE($C$11,$C$12,AF$13),2)&gt;'[18]Khai báo'!$B$4,"","x")</f>
        <v>x</v>
      </c>
      <c r="AG20" s="1462" t="str">
        <f>IF(WEEKDAY(DATE($C$11,$C$12,AG$13),2)&gt;'[18]Khai báo'!$B$4,"","x")</f>
        <v>x</v>
      </c>
      <c r="AH20" s="1462"/>
      <c r="AI20" s="1466">
        <f t="shared" si="1"/>
        <v>26</v>
      </c>
      <c r="AJ20" s="1464"/>
      <c r="AK20" s="1464"/>
      <c r="AL20" s="1464"/>
      <c r="AM20" s="1464"/>
      <c r="AN20" s="1464"/>
      <c r="AO20" s="1464"/>
      <c r="AP20" s="1464"/>
      <c r="AQ20" s="1464"/>
      <c r="AR20" s="1464"/>
      <c r="AS20" s="1534"/>
      <c r="AT20" s="1534">
        <f t="shared" si="2"/>
        <v>0</v>
      </c>
      <c r="AU20" s="1535">
        <f>+AI20+AS20+AT20</f>
        <v>26</v>
      </c>
    </row>
    <row r="21" spans="1:47" s="3825" customFormat="1" ht="19.5" customHeight="1">
      <c r="A21" s="1464">
        <v>7</v>
      </c>
      <c r="B21" s="1465"/>
      <c r="C21" s="1464" t="s">
        <v>638</v>
      </c>
      <c r="D21" s="1462" t="str">
        <f>IF(WEEKDAY(DATE($C$11,$C$12,D$13),2)&gt;'[18]Khai báo'!$B$4,"","x")</f>
        <v>x</v>
      </c>
      <c r="E21" s="1462" t="str">
        <f>IF(WEEKDAY(DATE($C$11,$C$12,E$13),2)&gt;'[18]Khai báo'!$B$4,"","x")</f>
        <v>x</v>
      </c>
      <c r="F21" s="1462" t="str">
        <f>IF(WEEKDAY(DATE($C$11,$C$12,F$13),2)&gt;'[18]Khai báo'!$B$4,"","x")</f>
        <v>x</v>
      </c>
      <c r="G21" s="1462" t="str">
        <f>IF(WEEKDAY(DATE($C$11,$C$12,G$13),2)&gt;'[18]Khai báo'!$B$4,"","x")</f>
        <v>x</v>
      </c>
      <c r="H21" s="1462" t="str">
        <f>IF(WEEKDAY(DATE($C$11,$C$12,H$13),2)&gt;'[18]Khai báo'!$B$4,"","x")</f>
        <v>x</v>
      </c>
      <c r="I21" s="1462" t="str">
        <f>IF(WEEKDAY(DATE($C$11,$C$12,I$13),2)&gt;'[18]Khai báo'!$B$4,"","x")</f>
        <v/>
      </c>
      <c r="J21" s="1462" t="str">
        <f>IF(WEEKDAY(DATE($C$11,$C$12,J$13),2)&gt;'[18]Khai báo'!$B$4,"","x")</f>
        <v>x</v>
      </c>
      <c r="K21" s="1462" t="str">
        <f>IF(WEEKDAY(DATE($C$11,$C$12,K$13),2)&gt;'[18]Khai báo'!$B$4,"","x")</f>
        <v>x</v>
      </c>
      <c r="L21" s="1462" t="str">
        <f>IF(WEEKDAY(DATE($C$11,$C$12,L$13),2)&gt;'[18]Khai báo'!$B$4,"","x")</f>
        <v>x</v>
      </c>
      <c r="M21" s="1462" t="str">
        <f>IF(WEEKDAY(DATE($C$11,$C$12,M$13),2)&gt;'[18]Khai báo'!$B$4,"","x")</f>
        <v>x</v>
      </c>
      <c r="N21" s="1462" t="str">
        <f>IF(WEEKDAY(DATE($C$11,$C$12,N$13),2)&gt;'[18]Khai báo'!$B$4,"","x")</f>
        <v>x</v>
      </c>
      <c r="O21" s="1462" t="str">
        <f>IF(WEEKDAY(DATE($C$11,$C$12,O$13),2)&gt;'[18]Khai báo'!$B$4,"","x")</f>
        <v>x</v>
      </c>
      <c r="P21" s="1462" t="str">
        <f>IF(WEEKDAY(DATE($C$11,$C$12,P$13),2)&gt;'[18]Khai báo'!$B$4,"","x")</f>
        <v/>
      </c>
      <c r="Q21" s="1462" t="str">
        <f>IF(WEEKDAY(DATE($C$11,$C$12,Q$13),2)&gt;'[18]Khai báo'!$B$4,"","x")</f>
        <v>x</v>
      </c>
      <c r="R21" s="1462" t="str">
        <f>IF(WEEKDAY(DATE($C$11,$C$12,R$13),2)&gt;'[18]Khai báo'!$B$4,"","x")</f>
        <v>x</v>
      </c>
      <c r="S21" s="1462" t="str">
        <f>IF(WEEKDAY(DATE($C$11,$C$12,S$13),2)&gt;'[18]Khai báo'!$B$4,"","x")</f>
        <v>x</v>
      </c>
      <c r="T21" s="1462" t="str">
        <f>IF(WEEKDAY(DATE($C$11,$C$12,T$13),2)&gt;'[18]Khai báo'!$B$4,"","x")</f>
        <v>x</v>
      </c>
      <c r="U21" s="1462" t="str">
        <f>IF(WEEKDAY(DATE($C$11,$C$12,U$13),2)&gt;'[18]Khai báo'!$B$4,"","x")</f>
        <v>x</v>
      </c>
      <c r="V21" s="1462" t="str">
        <f>IF(WEEKDAY(DATE($C$11,$C$12,V$13),2)&gt;'[18]Khai báo'!$B$4,"","x")</f>
        <v>x</v>
      </c>
      <c r="W21" s="1462" t="str">
        <f>IF(WEEKDAY(DATE($C$11,$C$12,W$13),2)&gt;'[18]Khai báo'!$B$4,"","x")</f>
        <v/>
      </c>
      <c r="X21" s="1462" t="str">
        <f>IF(WEEKDAY(DATE($C$11,$C$12,X$13),2)&gt;'[18]Khai báo'!$B$4,"","x")</f>
        <v>x</v>
      </c>
      <c r="Y21" s="1462" t="str">
        <f>IF(WEEKDAY(DATE($C$11,$C$12,Y$13),2)&gt;'[18]Khai báo'!$B$4,"","x")</f>
        <v>x</v>
      </c>
      <c r="Z21" s="1462" t="str">
        <f>IF(WEEKDAY(DATE($C$11,$C$12,Z$13),2)&gt;'[18]Khai báo'!$B$4,"","x")</f>
        <v>x</v>
      </c>
      <c r="AA21" s="1462" t="str">
        <f>IF(WEEKDAY(DATE($C$11,$C$12,AA$13),2)&gt;'[18]Khai báo'!$B$4,"","x")</f>
        <v>x</v>
      </c>
      <c r="AB21" s="1462" t="str">
        <f>IF(WEEKDAY(DATE($C$11,$C$12,AB$13),2)&gt;'[18]Khai báo'!$B$4,"","x")</f>
        <v>x</v>
      </c>
      <c r="AC21" s="1462" t="str">
        <f>IF(WEEKDAY(DATE($C$11,$C$12,AC$13),2)&gt;'[18]Khai báo'!$B$4,"","x")</f>
        <v>x</v>
      </c>
      <c r="AD21" s="1462" t="str">
        <f>IF(WEEKDAY(DATE($C$11,$C$12,AD$13),2)&gt;'[18]Khai báo'!$B$4,"","x")</f>
        <v/>
      </c>
      <c r="AE21" s="1462" t="str">
        <f>IF(WEEKDAY(DATE($C$11,$C$12,AE$13),2)&gt;'[18]Khai báo'!$B$4,"","x")</f>
        <v>x</v>
      </c>
      <c r="AF21" s="1462" t="str">
        <f>IF(WEEKDAY(DATE($C$11,$C$12,AF$13),2)&gt;'[18]Khai báo'!$B$4,"","x")</f>
        <v>x</v>
      </c>
      <c r="AG21" s="1462" t="str">
        <f>IF(WEEKDAY(DATE($C$11,$C$12,AG$13),2)&gt;'[18]Khai báo'!$B$4,"","x")</f>
        <v>x</v>
      </c>
      <c r="AH21" s="1465"/>
      <c r="AI21" s="1466">
        <f t="shared" si="1"/>
        <v>26</v>
      </c>
      <c r="AJ21" s="1464"/>
      <c r="AK21" s="1464"/>
      <c r="AL21" s="1464"/>
      <c r="AM21" s="1464"/>
      <c r="AN21" s="1464"/>
      <c r="AO21" s="1464"/>
      <c r="AP21" s="1464"/>
      <c r="AQ21" s="1464"/>
      <c r="AR21" s="1464"/>
      <c r="AS21" s="1466"/>
      <c r="AT21" s="1534">
        <f t="shared" si="2"/>
        <v>0</v>
      </c>
      <c r="AU21" s="1535">
        <f t="shared" ref="AU21:AU22" si="4">+AI21+AS21+AT21</f>
        <v>26</v>
      </c>
    </row>
    <row r="22" spans="1:47" ht="19.5" customHeight="1">
      <c r="A22" s="3819">
        <v>8</v>
      </c>
      <c r="B22" s="3820"/>
      <c r="C22" s="3821" t="s">
        <v>1859</v>
      </c>
      <c r="D22" s="1462" t="str">
        <f>IF(WEEKDAY(DATE($C$11,$C$12,D$13),2)&gt;'[18]Khai báo'!$B$4,"","x")</f>
        <v>x</v>
      </c>
      <c r="E22" s="1462" t="str">
        <f>IF(WEEKDAY(DATE($C$11,$C$12,E$13),2)&gt;'[18]Khai báo'!$B$4,"","x")</f>
        <v>x</v>
      </c>
      <c r="F22" s="1462" t="str">
        <f>IF(WEEKDAY(DATE($C$11,$C$12,F$13),2)&gt;'[18]Khai báo'!$B$4,"","x")</f>
        <v>x</v>
      </c>
      <c r="G22" s="1462" t="str">
        <f>IF(WEEKDAY(DATE($C$11,$C$12,G$13),2)&gt;'[18]Khai báo'!$B$4,"","x")</f>
        <v>x</v>
      </c>
      <c r="H22" s="1462" t="str">
        <f>IF(WEEKDAY(DATE($C$11,$C$12,H$13),2)&gt;'[18]Khai báo'!$B$4,"","x")</f>
        <v>x</v>
      </c>
      <c r="I22" s="1462" t="str">
        <f>IF(WEEKDAY(DATE($C$11,$C$12,I$13),2)&gt;'[18]Khai báo'!$B$4,"","x")</f>
        <v/>
      </c>
      <c r="J22" s="1462" t="str">
        <f>IF(WEEKDAY(DATE($C$11,$C$12,J$13),2)&gt;'[18]Khai báo'!$B$4,"","x")</f>
        <v>x</v>
      </c>
      <c r="K22" s="1462" t="str">
        <f>IF(WEEKDAY(DATE($C$11,$C$12,K$13),2)&gt;'[18]Khai báo'!$B$4,"","x")</f>
        <v>x</v>
      </c>
      <c r="L22" s="1462" t="str">
        <f>IF(WEEKDAY(DATE($C$11,$C$12,L$13),2)&gt;'[18]Khai báo'!$B$4,"","x")</f>
        <v>x</v>
      </c>
      <c r="M22" s="1462" t="str">
        <f>IF(WEEKDAY(DATE($C$11,$C$12,M$13),2)&gt;'[18]Khai báo'!$B$4,"","x")</f>
        <v>x</v>
      </c>
      <c r="N22" s="1462" t="str">
        <f>IF(WEEKDAY(DATE($C$11,$C$12,N$13),2)&gt;'[18]Khai báo'!$B$4,"","x")</f>
        <v>x</v>
      </c>
      <c r="O22" s="1462" t="str">
        <f>IF(WEEKDAY(DATE($C$11,$C$12,O$13),2)&gt;'[18]Khai báo'!$B$4,"","x")</f>
        <v>x</v>
      </c>
      <c r="P22" s="1462" t="str">
        <f>IF(WEEKDAY(DATE($C$11,$C$12,P$13),2)&gt;'[18]Khai báo'!$B$4,"","x")</f>
        <v/>
      </c>
      <c r="Q22" s="1462" t="str">
        <f>IF(WEEKDAY(DATE($C$11,$C$12,Q$13),2)&gt;'[18]Khai báo'!$B$4,"","x")</f>
        <v>x</v>
      </c>
      <c r="R22" s="1462" t="str">
        <f>IF(WEEKDAY(DATE($C$11,$C$12,R$13),2)&gt;'[18]Khai báo'!$B$4,"","x")</f>
        <v>x</v>
      </c>
      <c r="S22" s="1462" t="str">
        <f>IF(WEEKDAY(DATE($C$11,$C$12,S$13),2)&gt;'[18]Khai báo'!$B$4,"","x")</f>
        <v>x</v>
      </c>
      <c r="T22" s="1462" t="str">
        <f>IF(WEEKDAY(DATE($C$11,$C$12,T$13),2)&gt;'[18]Khai báo'!$B$4,"","x")</f>
        <v>x</v>
      </c>
      <c r="U22" s="1462" t="str">
        <f>IF(WEEKDAY(DATE($C$11,$C$12,U$13),2)&gt;'[18]Khai báo'!$B$4,"","x")</f>
        <v>x</v>
      </c>
      <c r="V22" s="1462" t="str">
        <f>IF(WEEKDAY(DATE($C$11,$C$12,V$13),2)&gt;'[18]Khai báo'!$B$4,"","x")</f>
        <v>x</v>
      </c>
      <c r="W22" s="1462" t="str">
        <f>IF(WEEKDAY(DATE($C$11,$C$12,W$13),2)&gt;'[18]Khai báo'!$B$4,"","x")</f>
        <v/>
      </c>
      <c r="X22" s="1462" t="str">
        <f>IF(WEEKDAY(DATE($C$11,$C$12,X$13),2)&gt;'[18]Khai báo'!$B$4,"","x")</f>
        <v>x</v>
      </c>
      <c r="Y22" s="1462" t="str">
        <f>IF(WEEKDAY(DATE($C$11,$C$12,Y$13),2)&gt;'[18]Khai báo'!$B$4,"","x")</f>
        <v>x</v>
      </c>
      <c r="Z22" s="1462" t="str">
        <f>IF(WEEKDAY(DATE($C$11,$C$12,Z$13),2)&gt;'[18]Khai báo'!$B$4,"","x")</f>
        <v>x</v>
      </c>
      <c r="AA22" s="1462" t="str">
        <f>IF(WEEKDAY(DATE($C$11,$C$12,AA$13),2)&gt;'[18]Khai báo'!$B$4,"","x")</f>
        <v>x</v>
      </c>
      <c r="AB22" s="1462" t="str">
        <f>IF(WEEKDAY(DATE($C$11,$C$12,AB$13),2)&gt;'[18]Khai báo'!$B$4,"","x")</f>
        <v>x</v>
      </c>
      <c r="AC22" s="1462" t="str">
        <f>IF(WEEKDAY(DATE($C$11,$C$12,AC$13),2)&gt;'[18]Khai báo'!$B$4,"","x")</f>
        <v>x</v>
      </c>
      <c r="AD22" s="1462" t="str">
        <f>IF(WEEKDAY(DATE($C$11,$C$12,AD$13),2)&gt;'[18]Khai báo'!$B$4,"","x")</f>
        <v/>
      </c>
      <c r="AE22" s="1462" t="str">
        <f>IF(WEEKDAY(DATE($C$11,$C$12,AE$13),2)&gt;'[18]Khai báo'!$B$4,"","x")</f>
        <v>x</v>
      </c>
      <c r="AF22" s="1462" t="str">
        <f>IF(WEEKDAY(DATE($C$11,$C$12,AF$13),2)&gt;'[18]Khai báo'!$B$4,"","x")</f>
        <v>x</v>
      </c>
      <c r="AG22" s="1462" t="str">
        <f>IF(WEEKDAY(DATE($C$11,$C$12,AG$13),2)&gt;'[18]Khai báo'!$B$4,"","x")</f>
        <v>x</v>
      </c>
      <c r="AH22" s="3822"/>
      <c r="AI22" s="1466">
        <f t="shared" si="1"/>
        <v>26</v>
      </c>
      <c r="AJ22" s="3821"/>
      <c r="AK22" s="3821"/>
      <c r="AL22" s="3821"/>
      <c r="AM22" s="3821"/>
      <c r="AN22" s="3821"/>
      <c r="AO22" s="3821"/>
      <c r="AP22" s="3821"/>
      <c r="AQ22" s="3821"/>
      <c r="AR22" s="3821"/>
      <c r="AS22" s="3823"/>
      <c r="AT22" s="3823">
        <f t="shared" si="2"/>
        <v>0</v>
      </c>
      <c r="AU22" s="1535">
        <f t="shared" si="4"/>
        <v>26</v>
      </c>
    </row>
    <row r="23" spans="1:47" ht="20.25" customHeight="1">
      <c r="A23" s="4508" t="s">
        <v>910</v>
      </c>
      <c r="B23" s="4508"/>
      <c r="C23" s="4508"/>
      <c r="D23" s="1468"/>
      <c r="E23" s="1468"/>
      <c r="F23" s="1468"/>
      <c r="G23" s="1468"/>
      <c r="H23" s="1468"/>
      <c r="I23" s="1468"/>
      <c r="J23" s="1468"/>
      <c r="K23" s="1468"/>
      <c r="L23" s="1468"/>
      <c r="M23" s="1468"/>
      <c r="N23" s="1468"/>
      <c r="O23" s="1468"/>
      <c r="P23" s="1468"/>
      <c r="Q23" s="1468"/>
      <c r="R23" s="1468"/>
      <c r="S23" s="1468"/>
      <c r="T23" s="1468"/>
      <c r="U23" s="1468"/>
      <c r="V23" s="1468"/>
      <c r="W23" s="1468"/>
      <c r="X23" s="1468"/>
      <c r="Y23" s="1468"/>
      <c r="Z23" s="1468"/>
      <c r="AA23" s="1468"/>
      <c r="AB23" s="1468"/>
      <c r="AC23" s="1468"/>
      <c r="AD23" s="1468"/>
      <c r="AE23" s="1468"/>
      <c r="AF23" s="1468"/>
      <c r="AG23" s="1468"/>
      <c r="AH23" s="1468"/>
      <c r="AI23" s="1468">
        <f>SUM(AI15:AS22)</f>
        <v>208</v>
      </c>
      <c r="AJ23" s="1468">
        <f t="shared" ref="AJ23:AU23" si="5">SUM(AJ15:AT22)</f>
        <v>0</v>
      </c>
      <c r="AK23" s="1468">
        <f t="shared" si="5"/>
        <v>208</v>
      </c>
      <c r="AL23" s="1468">
        <f t="shared" si="5"/>
        <v>208</v>
      </c>
      <c r="AM23" s="1468">
        <f t="shared" si="5"/>
        <v>208</v>
      </c>
      <c r="AN23" s="1468">
        <f t="shared" si="5"/>
        <v>208</v>
      </c>
      <c r="AO23" s="1468">
        <f t="shared" si="5"/>
        <v>208</v>
      </c>
      <c r="AP23" s="1468">
        <f t="shared" si="5"/>
        <v>208</v>
      </c>
      <c r="AQ23" s="1468">
        <f t="shared" si="5"/>
        <v>208</v>
      </c>
      <c r="AR23" s="1468">
        <f t="shared" si="5"/>
        <v>208</v>
      </c>
      <c r="AS23" s="1468">
        <f t="shared" si="5"/>
        <v>208</v>
      </c>
      <c r="AT23" s="1610">
        <f t="shared" si="2"/>
        <v>0</v>
      </c>
      <c r="AU23" s="1468">
        <f t="shared" si="5"/>
        <v>208</v>
      </c>
    </row>
    <row r="24" spans="1:47" ht="16.5" customHeight="1">
      <c r="A24" s="3894" t="s">
        <v>634</v>
      </c>
      <c r="B24" s="801"/>
      <c r="C24" s="801"/>
      <c r="AA24" s="2407"/>
      <c r="AB24" s="3896" t="s">
        <v>1803</v>
      </c>
      <c r="AC24" s="3896"/>
      <c r="AD24" s="3897"/>
      <c r="AE24" s="3897"/>
      <c r="AF24" s="3896"/>
      <c r="AG24" s="3897"/>
      <c r="AH24" s="3896"/>
      <c r="AI24" s="3896"/>
    </row>
    <row r="25" spans="1:47" ht="18.75" customHeight="1">
      <c r="A25" s="1861" t="s">
        <v>142</v>
      </c>
      <c r="B25" s="801" t="s">
        <v>166</v>
      </c>
      <c r="C25" s="801" t="s">
        <v>1743</v>
      </c>
      <c r="G25" s="2081" t="s">
        <v>44</v>
      </c>
      <c r="M25" s="1469"/>
      <c r="N25" s="1469"/>
      <c r="O25" s="1469"/>
      <c r="P25" s="1469"/>
      <c r="Q25" s="1469"/>
      <c r="R25" s="1469"/>
      <c r="S25" s="1469"/>
      <c r="T25" s="1469"/>
      <c r="U25" s="1469"/>
      <c r="V25" s="1469"/>
      <c r="W25" s="1469"/>
      <c r="X25" s="1469"/>
      <c r="Y25" s="4380" t="s">
        <v>615</v>
      </c>
      <c r="Z25" s="4380"/>
      <c r="AA25" s="4380"/>
      <c r="AB25" s="4380"/>
      <c r="AC25" s="4380"/>
      <c r="AD25" s="4380"/>
      <c r="AE25" s="4380"/>
      <c r="AF25" s="4380"/>
      <c r="AG25" s="4380"/>
      <c r="AH25" s="4380"/>
      <c r="AI25" s="4380"/>
    </row>
    <row r="26" spans="1:47" ht="15.75" customHeight="1">
      <c r="A26" s="1861" t="s">
        <v>1707</v>
      </c>
      <c r="B26" s="3895"/>
      <c r="C26" s="801" t="s">
        <v>1709</v>
      </c>
    </row>
    <row r="27" spans="1:47" ht="15.75" customHeight="1">
      <c r="A27" s="1861" t="s">
        <v>1860</v>
      </c>
      <c r="B27" s="801"/>
      <c r="C27" s="801" t="s">
        <v>1861</v>
      </c>
      <c r="Z27" s="4505"/>
      <c r="AA27" s="4505"/>
      <c r="AB27" s="4505"/>
      <c r="AC27" s="4505"/>
      <c r="AD27" s="4505"/>
      <c r="AE27" s="4505"/>
      <c r="AF27" s="4505"/>
      <c r="AG27" s="4505"/>
      <c r="AH27" s="4505"/>
      <c r="AI27" s="4505"/>
    </row>
    <row r="28" spans="1:47" ht="15.75" customHeight="1">
      <c r="B28" s="3950"/>
      <c r="C28" s="3950"/>
      <c r="AA28" s="4501"/>
      <c r="AB28" s="4501"/>
      <c r="AC28" s="4501"/>
      <c r="AD28" s="4501"/>
      <c r="AE28" s="4501"/>
      <c r="AF28" s="4501"/>
      <c r="AG28" s="4501"/>
      <c r="AH28" s="4501"/>
      <c r="AI28" s="4501"/>
    </row>
    <row r="29" spans="1:47" s="1472" customFormat="1" ht="15.75" customHeight="1">
      <c r="K29" s="3950"/>
      <c r="L29" s="3950"/>
      <c r="M29" s="3950"/>
      <c r="N29" s="3950"/>
      <c r="O29" s="3950"/>
      <c r="P29" s="3950"/>
      <c r="Q29" s="3950"/>
      <c r="R29" s="3950"/>
      <c r="S29" s="3950"/>
      <c r="T29" s="3950"/>
      <c r="AC29" s="3950"/>
      <c r="AD29" s="3950"/>
      <c r="AE29" s="3950"/>
      <c r="AF29" s="3950"/>
      <c r="AG29" s="3950"/>
      <c r="AH29" s="3950"/>
      <c r="AI29" s="3950"/>
    </row>
    <row r="30" spans="1:47" ht="15.75" customHeight="1">
      <c r="B30" s="4502"/>
      <c r="C30" s="4501"/>
      <c r="K30" s="4502"/>
      <c r="L30" s="4502"/>
      <c r="M30" s="4502"/>
      <c r="N30" s="4502"/>
      <c r="O30" s="4502"/>
      <c r="P30" s="4502"/>
      <c r="Q30" s="4502"/>
      <c r="R30" s="4502"/>
      <c r="S30" s="4502"/>
      <c r="T30" s="4502"/>
      <c r="AC30" s="4502"/>
      <c r="AD30" s="4502"/>
      <c r="AE30" s="4502"/>
      <c r="AF30" s="4502"/>
      <c r="AG30" s="4502"/>
      <c r="AH30" s="4502"/>
      <c r="AI30" s="4502"/>
    </row>
  </sheetData>
  <mergeCells count="27">
    <mergeCell ref="A5:O5"/>
    <mergeCell ref="A6:O6"/>
    <mergeCell ref="A1:AU1"/>
    <mergeCell ref="A2:AU2"/>
    <mergeCell ref="A3:AU3"/>
    <mergeCell ref="AS13:AS14"/>
    <mergeCell ref="AU13:AU14"/>
    <mergeCell ref="Z27:AI27"/>
    <mergeCell ref="W7:AI7"/>
    <mergeCell ref="A8:F8"/>
    <mergeCell ref="W8:AI8"/>
    <mergeCell ref="D10:AH10"/>
    <mergeCell ref="D11:AH11"/>
    <mergeCell ref="A23:C23"/>
    <mergeCell ref="A13:A14"/>
    <mergeCell ref="B13:B14"/>
    <mergeCell ref="C13:C14"/>
    <mergeCell ref="AI13:AI14"/>
    <mergeCell ref="AT13:AT14"/>
    <mergeCell ref="Y25:AI25"/>
    <mergeCell ref="B28:C28"/>
    <mergeCell ref="AA28:AI28"/>
    <mergeCell ref="K29:T29"/>
    <mergeCell ref="AC29:AI29"/>
    <mergeCell ref="B30:C30"/>
    <mergeCell ref="K30:T30"/>
    <mergeCell ref="AC30:AI30"/>
  </mergeCells>
  <conditionalFormatting sqref="AL7:AR8">
    <cfRule type="expression" dxfId="2" priority="1" stopIfTrue="1">
      <formula>#REF!=""</formula>
    </cfRule>
  </conditionalFormatting>
  <pageMargins left="0.62992125984251968" right="0.62992125984251968" top="0.39370078740157483" bottom="0.39370078740157483" header="0.39370078740157483" footer="0.39370078740157483"/>
  <pageSetup paperSize="9" scale="80" orientation="landscape" r:id="rId1"/>
  <colBreaks count="1" manualBreakCount="1">
    <brk id="49" max="1048575" man="1"/>
  </colBreak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T29"/>
  <sheetViews>
    <sheetView topLeftCell="A10" workbookViewId="0">
      <selection activeCell="AI22" sqref="AI22"/>
    </sheetView>
  </sheetViews>
  <sheetFormatPr defaultRowHeight="15"/>
  <cols>
    <col min="1" max="1" width="3" style="1458" customWidth="1"/>
    <col min="2" max="2" width="2.375" style="1458" hidden="1" customWidth="1"/>
    <col min="3" max="3" width="21.5" style="1458" customWidth="1"/>
    <col min="4" max="31" width="3.625" style="1458" customWidth="1"/>
    <col min="32" max="32" width="2.875" style="1458" customWidth="1"/>
    <col min="33" max="33" width="3.375" style="1458" customWidth="1"/>
    <col min="34" max="34" width="3.25" style="1458" customWidth="1"/>
    <col min="35" max="35" width="6" style="1458" customWidth="1"/>
    <col min="36" max="42" width="0" style="1458" hidden="1" customWidth="1"/>
    <col min="43" max="43" width="6.875" style="1458" hidden="1" customWidth="1"/>
    <col min="44" max="44" width="3.125" style="1458" hidden="1" customWidth="1"/>
    <col min="45" max="45" width="6.625" style="1458" customWidth="1"/>
    <col min="46" max="46" width="6.5" style="1458" customWidth="1"/>
    <col min="47" max="256" width="9" style="1458"/>
    <col min="257" max="257" width="9" style="1458" customWidth="1"/>
    <col min="258" max="258" width="24" style="1458" customWidth="1"/>
    <col min="259" max="289" width="4.25" style="1458" customWidth="1"/>
    <col min="290" max="290" width="9.25" style="1458" customWidth="1"/>
    <col min="291" max="300" width="0" style="1458" hidden="1" customWidth="1"/>
    <col min="301" max="512" width="9" style="1458"/>
    <col min="513" max="513" width="9" style="1458" customWidth="1"/>
    <col min="514" max="514" width="24" style="1458" customWidth="1"/>
    <col min="515" max="545" width="4.25" style="1458" customWidth="1"/>
    <col min="546" max="546" width="9.25" style="1458" customWidth="1"/>
    <col min="547" max="556" width="0" style="1458" hidden="1" customWidth="1"/>
    <col min="557" max="768" width="9" style="1458"/>
    <col min="769" max="769" width="9" style="1458" customWidth="1"/>
    <col min="770" max="770" width="24" style="1458" customWidth="1"/>
    <col min="771" max="801" width="4.25" style="1458" customWidth="1"/>
    <col min="802" max="802" width="9.25" style="1458" customWidth="1"/>
    <col min="803" max="812" width="0" style="1458" hidden="1" customWidth="1"/>
    <col min="813" max="1024" width="9" style="1458"/>
    <col min="1025" max="1025" width="9" style="1458" customWidth="1"/>
    <col min="1026" max="1026" width="24" style="1458" customWidth="1"/>
    <col min="1027" max="1057" width="4.25" style="1458" customWidth="1"/>
    <col min="1058" max="1058" width="9.25" style="1458" customWidth="1"/>
    <col min="1059" max="1068" width="0" style="1458" hidden="1" customWidth="1"/>
    <col min="1069" max="1280" width="9" style="1458"/>
    <col min="1281" max="1281" width="9" style="1458" customWidth="1"/>
    <col min="1282" max="1282" width="24" style="1458" customWidth="1"/>
    <col min="1283" max="1313" width="4.25" style="1458" customWidth="1"/>
    <col min="1314" max="1314" width="9.25" style="1458" customWidth="1"/>
    <col min="1315" max="1324" width="0" style="1458" hidden="1" customWidth="1"/>
    <col min="1325" max="1536" width="9" style="1458"/>
    <col min="1537" max="1537" width="9" style="1458" customWidth="1"/>
    <col min="1538" max="1538" width="24" style="1458" customWidth="1"/>
    <col min="1539" max="1569" width="4.25" style="1458" customWidth="1"/>
    <col min="1570" max="1570" width="9.25" style="1458" customWidth="1"/>
    <col min="1571" max="1580" width="0" style="1458" hidden="1" customWidth="1"/>
    <col min="1581" max="1792" width="9" style="1458"/>
    <col min="1793" max="1793" width="9" style="1458" customWidth="1"/>
    <col min="1794" max="1794" width="24" style="1458" customWidth="1"/>
    <col min="1795" max="1825" width="4.25" style="1458" customWidth="1"/>
    <col min="1826" max="1826" width="9.25" style="1458" customWidth="1"/>
    <col min="1827" max="1836" width="0" style="1458" hidden="1" customWidth="1"/>
    <col min="1837" max="2048" width="9" style="1458"/>
    <col min="2049" max="2049" width="9" style="1458" customWidth="1"/>
    <col min="2050" max="2050" width="24" style="1458" customWidth="1"/>
    <col min="2051" max="2081" width="4.25" style="1458" customWidth="1"/>
    <col min="2082" max="2082" width="9.25" style="1458" customWidth="1"/>
    <col min="2083" max="2092" width="0" style="1458" hidden="1" customWidth="1"/>
    <col min="2093" max="2304" width="9" style="1458"/>
    <col min="2305" max="2305" width="9" style="1458" customWidth="1"/>
    <col min="2306" max="2306" width="24" style="1458" customWidth="1"/>
    <col min="2307" max="2337" width="4.25" style="1458" customWidth="1"/>
    <col min="2338" max="2338" width="9.25" style="1458" customWidth="1"/>
    <col min="2339" max="2348" width="0" style="1458" hidden="1" customWidth="1"/>
    <col min="2349" max="2560" width="9" style="1458"/>
    <col min="2561" max="2561" width="9" style="1458" customWidth="1"/>
    <col min="2562" max="2562" width="24" style="1458" customWidth="1"/>
    <col min="2563" max="2593" width="4.25" style="1458" customWidth="1"/>
    <col min="2594" max="2594" width="9.25" style="1458" customWidth="1"/>
    <col min="2595" max="2604" width="0" style="1458" hidden="1" customWidth="1"/>
    <col min="2605" max="2816" width="9" style="1458"/>
    <col min="2817" max="2817" width="9" style="1458" customWidth="1"/>
    <col min="2818" max="2818" width="24" style="1458" customWidth="1"/>
    <col min="2819" max="2849" width="4.25" style="1458" customWidth="1"/>
    <col min="2850" max="2850" width="9.25" style="1458" customWidth="1"/>
    <col min="2851" max="2860" width="0" style="1458" hidden="1" customWidth="1"/>
    <col min="2861" max="3072" width="9" style="1458"/>
    <col min="3073" max="3073" width="9" style="1458" customWidth="1"/>
    <col min="3074" max="3074" width="24" style="1458" customWidth="1"/>
    <col min="3075" max="3105" width="4.25" style="1458" customWidth="1"/>
    <col min="3106" max="3106" width="9.25" style="1458" customWidth="1"/>
    <col min="3107" max="3116" width="0" style="1458" hidden="1" customWidth="1"/>
    <col min="3117" max="3328" width="9" style="1458"/>
    <col min="3329" max="3329" width="9" style="1458" customWidth="1"/>
    <col min="3330" max="3330" width="24" style="1458" customWidth="1"/>
    <col min="3331" max="3361" width="4.25" style="1458" customWidth="1"/>
    <col min="3362" max="3362" width="9.25" style="1458" customWidth="1"/>
    <col min="3363" max="3372" width="0" style="1458" hidden="1" customWidth="1"/>
    <col min="3373" max="3584" width="9" style="1458"/>
    <col min="3585" max="3585" width="9" style="1458" customWidth="1"/>
    <col min="3586" max="3586" width="24" style="1458" customWidth="1"/>
    <col min="3587" max="3617" width="4.25" style="1458" customWidth="1"/>
    <col min="3618" max="3618" width="9.25" style="1458" customWidth="1"/>
    <col min="3619" max="3628" width="0" style="1458" hidden="1" customWidth="1"/>
    <col min="3629" max="3840" width="9" style="1458"/>
    <col min="3841" max="3841" width="9" style="1458" customWidth="1"/>
    <col min="3842" max="3842" width="24" style="1458" customWidth="1"/>
    <col min="3843" max="3873" width="4.25" style="1458" customWidth="1"/>
    <col min="3874" max="3874" width="9.25" style="1458" customWidth="1"/>
    <col min="3875" max="3884" width="0" style="1458" hidden="1" customWidth="1"/>
    <col min="3885" max="4096" width="9" style="1458"/>
    <col min="4097" max="4097" width="9" style="1458" customWidth="1"/>
    <col min="4098" max="4098" width="24" style="1458" customWidth="1"/>
    <col min="4099" max="4129" width="4.25" style="1458" customWidth="1"/>
    <col min="4130" max="4130" width="9.25" style="1458" customWidth="1"/>
    <col min="4131" max="4140" width="0" style="1458" hidden="1" customWidth="1"/>
    <col min="4141" max="4352" width="9" style="1458"/>
    <col min="4353" max="4353" width="9" style="1458" customWidth="1"/>
    <col min="4354" max="4354" width="24" style="1458" customWidth="1"/>
    <col min="4355" max="4385" width="4.25" style="1458" customWidth="1"/>
    <col min="4386" max="4386" width="9.25" style="1458" customWidth="1"/>
    <col min="4387" max="4396" width="0" style="1458" hidden="1" customWidth="1"/>
    <col min="4397" max="4608" width="9" style="1458"/>
    <col min="4609" max="4609" width="9" style="1458" customWidth="1"/>
    <col min="4610" max="4610" width="24" style="1458" customWidth="1"/>
    <col min="4611" max="4641" width="4.25" style="1458" customWidth="1"/>
    <col min="4642" max="4642" width="9.25" style="1458" customWidth="1"/>
    <col min="4643" max="4652" width="0" style="1458" hidden="1" customWidth="1"/>
    <col min="4653" max="4864" width="9" style="1458"/>
    <col min="4865" max="4865" width="9" style="1458" customWidth="1"/>
    <col min="4866" max="4866" width="24" style="1458" customWidth="1"/>
    <col min="4867" max="4897" width="4.25" style="1458" customWidth="1"/>
    <col min="4898" max="4898" width="9.25" style="1458" customWidth="1"/>
    <col min="4899" max="4908" width="0" style="1458" hidden="1" customWidth="1"/>
    <col min="4909" max="5120" width="9" style="1458"/>
    <col min="5121" max="5121" width="9" style="1458" customWidth="1"/>
    <col min="5122" max="5122" width="24" style="1458" customWidth="1"/>
    <col min="5123" max="5153" width="4.25" style="1458" customWidth="1"/>
    <col min="5154" max="5154" width="9.25" style="1458" customWidth="1"/>
    <col min="5155" max="5164" width="0" style="1458" hidden="1" customWidth="1"/>
    <col min="5165" max="5376" width="9" style="1458"/>
    <col min="5377" max="5377" width="9" style="1458" customWidth="1"/>
    <col min="5378" max="5378" width="24" style="1458" customWidth="1"/>
    <col min="5379" max="5409" width="4.25" style="1458" customWidth="1"/>
    <col min="5410" max="5410" width="9.25" style="1458" customWidth="1"/>
    <col min="5411" max="5420" width="0" style="1458" hidden="1" customWidth="1"/>
    <col min="5421" max="5632" width="9" style="1458"/>
    <col min="5633" max="5633" width="9" style="1458" customWidth="1"/>
    <col min="5634" max="5634" width="24" style="1458" customWidth="1"/>
    <col min="5635" max="5665" width="4.25" style="1458" customWidth="1"/>
    <col min="5666" max="5666" width="9.25" style="1458" customWidth="1"/>
    <col min="5667" max="5676" width="0" style="1458" hidden="1" customWidth="1"/>
    <col min="5677" max="5888" width="9" style="1458"/>
    <col min="5889" max="5889" width="9" style="1458" customWidth="1"/>
    <col min="5890" max="5890" width="24" style="1458" customWidth="1"/>
    <col min="5891" max="5921" width="4.25" style="1458" customWidth="1"/>
    <col min="5922" max="5922" width="9.25" style="1458" customWidth="1"/>
    <col min="5923" max="5932" width="0" style="1458" hidden="1" customWidth="1"/>
    <col min="5933" max="6144" width="9" style="1458"/>
    <col min="6145" max="6145" width="9" style="1458" customWidth="1"/>
    <col min="6146" max="6146" width="24" style="1458" customWidth="1"/>
    <col min="6147" max="6177" width="4.25" style="1458" customWidth="1"/>
    <col min="6178" max="6178" width="9.25" style="1458" customWidth="1"/>
    <col min="6179" max="6188" width="0" style="1458" hidden="1" customWidth="1"/>
    <col min="6189" max="6400" width="9" style="1458"/>
    <col min="6401" max="6401" width="9" style="1458" customWidth="1"/>
    <col min="6402" max="6402" width="24" style="1458" customWidth="1"/>
    <col min="6403" max="6433" width="4.25" style="1458" customWidth="1"/>
    <col min="6434" max="6434" width="9.25" style="1458" customWidth="1"/>
    <col min="6435" max="6444" width="0" style="1458" hidden="1" customWidth="1"/>
    <col min="6445" max="6656" width="9" style="1458"/>
    <col min="6657" max="6657" width="9" style="1458" customWidth="1"/>
    <col min="6658" max="6658" width="24" style="1458" customWidth="1"/>
    <col min="6659" max="6689" width="4.25" style="1458" customWidth="1"/>
    <col min="6690" max="6690" width="9.25" style="1458" customWidth="1"/>
    <col min="6691" max="6700" width="0" style="1458" hidden="1" customWidth="1"/>
    <col min="6701" max="6912" width="9" style="1458"/>
    <col min="6913" max="6913" width="9" style="1458" customWidth="1"/>
    <col min="6914" max="6914" width="24" style="1458" customWidth="1"/>
    <col min="6915" max="6945" width="4.25" style="1458" customWidth="1"/>
    <col min="6946" max="6946" width="9.25" style="1458" customWidth="1"/>
    <col min="6947" max="6956" width="0" style="1458" hidden="1" customWidth="1"/>
    <col min="6957" max="7168" width="9" style="1458"/>
    <col min="7169" max="7169" width="9" style="1458" customWidth="1"/>
    <col min="7170" max="7170" width="24" style="1458" customWidth="1"/>
    <col min="7171" max="7201" width="4.25" style="1458" customWidth="1"/>
    <col min="7202" max="7202" width="9.25" style="1458" customWidth="1"/>
    <col min="7203" max="7212" width="0" style="1458" hidden="1" customWidth="1"/>
    <col min="7213" max="7424" width="9" style="1458"/>
    <col min="7425" max="7425" width="9" style="1458" customWidth="1"/>
    <col min="7426" max="7426" width="24" style="1458" customWidth="1"/>
    <col min="7427" max="7457" width="4.25" style="1458" customWidth="1"/>
    <col min="7458" max="7458" width="9.25" style="1458" customWidth="1"/>
    <col min="7459" max="7468" width="0" style="1458" hidden="1" customWidth="1"/>
    <col min="7469" max="7680" width="9" style="1458"/>
    <col min="7681" max="7681" width="9" style="1458" customWidth="1"/>
    <col min="7682" max="7682" width="24" style="1458" customWidth="1"/>
    <col min="7683" max="7713" width="4.25" style="1458" customWidth="1"/>
    <col min="7714" max="7714" width="9.25" style="1458" customWidth="1"/>
    <col min="7715" max="7724" width="0" style="1458" hidden="1" customWidth="1"/>
    <col min="7725" max="7936" width="9" style="1458"/>
    <col min="7937" max="7937" width="9" style="1458" customWidth="1"/>
    <col min="7938" max="7938" width="24" style="1458" customWidth="1"/>
    <col min="7939" max="7969" width="4.25" style="1458" customWidth="1"/>
    <col min="7970" max="7970" width="9.25" style="1458" customWidth="1"/>
    <col min="7971" max="7980" width="0" style="1458" hidden="1" customWidth="1"/>
    <col min="7981" max="8192" width="9" style="1458"/>
    <col min="8193" max="8193" width="9" style="1458" customWidth="1"/>
    <col min="8194" max="8194" width="24" style="1458" customWidth="1"/>
    <col min="8195" max="8225" width="4.25" style="1458" customWidth="1"/>
    <col min="8226" max="8226" width="9.25" style="1458" customWidth="1"/>
    <col min="8227" max="8236" width="0" style="1458" hidden="1" customWidth="1"/>
    <col min="8237" max="8448" width="9" style="1458"/>
    <col min="8449" max="8449" width="9" style="1458" customWidth="1"/>
    <col min="8450" max="8450" width="24" style="1458" customWidth="1"/>
    <col min="8451" max="8481" width="4.25" style="1458" customWidth="1"/>
    <col min="8482" max="8482" width="9.25" style="1458" customWidth="1"/>
    <col min="8483" max="8492" width="0" style="1458" hidden="1" customWidth="1"/>
    <col min="8493" max="8704" width="9" style="1458"/>
    <col min="8705" max="8705" width="9" style="1458" customWidth="1"/>
    <col min="8706" max="8706" width="24" style="1458" customWidth="1"/>
    <col min="8707" max="8737" width="4.25" style="1458" customWidth="1"/>
    <col min="8738" max="8738" width="9.25" style="1458" customWidth="1"/>
    <col min="8739" max="8748" width="0" style="1458" hidden="1" customWidth="1"/>
    <col min="8749" max="8960" width="9" style="1458"/>
    <col min="8961" max="8961" width="9" style="1458" customWidth="1"/>
    <col min="8962" max="8962" width="24" style="1458" customWidth="1"/>
    <col min="8963" max="8993" width="4.25" style="1458" customWidth="1"/>
    <col min="8994" max="8994" width="9.25" style="1458" customWidth="1"/>
    <col min="8995" max="9004" width="0" style="1458" hidden="1" customWidth="1"/>
    <col min="9005" max="9216" width="9" style="1458"/>
    <col min="9217" max="9217" width="9" style="1458" customWidth="1"/>
    <col min="9218" max="9218" width="24" style="1458" customWidth="1"/>
    <col min="9219" max="9249" width="4.25" style="1458" customWidth="1"/>
    <col min="9250" max="9250" width="9.25" style="1458" customWidth="1"/>
    <col min="9251" max="9260" width="0" style="1458" hidden="1" customWidth="1"/>
    <col min="9261" max="9472" width="9" style="1458"/>
    <col min="9473" max="9473" width="9" style="1458" customWidth="1"/>
    <col min="9474" max="9474" width="24" style="1458" customWidth="1"/>
    <col min="9475" max="9505" width="4.25" style="1458" customWidth="1"/>
    <col min="9506" max="9506" width="9.25" style="1458" customWidth="1"/>
    <col min="9507" max="9516" width="0" style="1458" hidden="1" customWidth="1"/>
    <col min="9517" max="9728" width="9" style="1458"/>
    <col min="9729" max="9729" width="9" style="1458" customWidth="1"/>
    <col min="9730" max="9730" width="24" style="1458" customWidth="1"/>
    <col min="9731" max="9761" width="4.25" style="1458" customWidth="1"/>
    <col min="9762" max="9762" width="9.25" style="1458" customWidth="1"/>
    <col min="9763" max="9772" width="0" style="1458" hidden="1" customWidth="1"/>
    <col min="9773" max="9984" width="9" style="1458"/>
    <col min="9985" max="9985" width="9" style="1458" customWidth="1"/>
    <col min="9986" max="9986" width="24" style="1458" customWidth="1"/>
    <col min="9987" max="10017" width="4.25" style="1458" customWidth="1"/>
    <col min="10018" max="10018" width="9.25" style="1458" customWidth="1"/>
    <col min="10019" max="10028" width="0" style="1458" hidden="1" customWidth="1"/>
    <col min="10029" max="10240" width="9" style="1458"/>
    <col min="10241" max="10241" width="9" style="1458" customWidth="1"/>
    <col min="10242" max="10242" width="24" style="1458" customWidth="1"/>
    <col min="10243" max="10273" width="4.25" style="1458" customWidth="1"/>
    <col min="10274" max="10274" width="9.25" style="1458" customWidth="1"/>
    <col min="10275" max="10284" width="0" style="1458" hidden="1" customWidth="1"/>
    <col min="10285" max="10496" width="9" style="1458"/>
    <col min="10497" max="10497" width="9" style="1458" customWidth="1"/>
    <col min="10498" max="10498" width="24" style="1458" customWidth="1"/>
    <col min="10499" max="10529" width="4.25" style="1458" customWidth="1"/>
    <col min="10530" max="10530" width="9.25" style="1458" customWidth="1"/>
    <col min="10531" max="10540" width="0" style="1458" hidden="1" customWidth="1"/>
    <col min="10541" max="10752" width="9" style="1458"/>
    <col min="10753" max="10753" width="9" style="1458" customWidth="1"/>
    <col min="10754" max="10754" width="24" style="1458" customWidth="1"/>
    <col min="10755" max="10785" width="4.25" style="1458" customWidth="1"/>
    <col min="10786" max="10786" width="9.25" style="1458" customWidth="1"/>
    <col min="10787" max="10796" width="0" style="1458" hidden="1" customWidth="1"/>
    <col min="10797" max="11008" width="9" style="1458"/>
    <col min="11009" max="11009" width="9" style="1458" customWidth="1"/>
    <col min="11010" max="11010" width="24" style="1458" customWidth="1"/>
    <col min="11011" max="11041" width="4.25" style="1458" customWidth="1"/>
    <col min="11042" max="11042" width="9.25" style="1458" customWidth="1"/>
    <col min="11043" max="11052" width="0" style="1458" hidden="1" customWidth="1"/>
    <col min="11053" max="11264" width="9" style="1458"/>
    <col min="11265" max="11265" width="9" style="1458" customWidth="1"/>
    <col min="11266" max="11266" width="24" style="1458" customWidth="1"/>
    <col min="11267" max="11297" width="4.25" style="1458" customWidth="1"/>
    <col min="11298" max="11298" width="9.25" style="1458" customWidth="1"/>
    <col min="11299" max="11308" width="0" style="1458" hidden="1" customWidth="1"/>
    <col min="11309" max="11520" width="9" style="1458"/>
    <col min="11521" max="11521" width="9" style="1458" customWidth="1"/>
    <col min="11522" max="11522" width="24" style="1458" customWidth="1"/>
    <col min="11523" max="11553" width="4.25" style="1458" customWidth="1"/>
    <col min="11554" max="11554" width="9.25" style="1458" customWidth="1"/>
    <col min="11555" max="11564" width="0" style="1458" hidden="1" customWidth="1"/>
    <col min="11565" max="11776" width="9" style="1458"/>
    <col min="11777" max="11777" width="9" style="1458" customWidth="1"/>
    <col min="11778" max="11778" width="24" style="1458" customWidth="1"/>
    <col min="11779" max="11809" width="4.25" style="1458" customWidth="1"/>
    <col min="11810" max="11810" width="9.25" style="1458" customWidth="1"/>
    <col min="11811" max="11820" width="0" style="1458" hidden="1" customWidth="1"/>
    <col min="11821" max="12032" width="9" style="1458"/>
    <col min="12033" max="12033" width="9" style="1458" customWidth="1"/>
    <col min="12034" max="12034" width="24" style="1458" customWidth="1"/>
    <col min="12035" max="12065" width="4.25" style="1458" customWidth="1"/>
    <col min="12066" max="12066" width="9.25" style="1458" customWidth="1"/>
    <col min="12067" max="12076" width="0" style="1458" hidden="1" customWidth="1"/>
    <col min="12077" max="12288" width="9" style="1458"/>
    <col min="12289" max="12289" width="9" style="1458" customWidth="1"/>
    <col min="12290" max="12290" width="24" style="1458" customWidth="1"/>
    <col min="12291" max="12321" width="4.25" style="1458" customWidth="1"/>
    <col min="12322" max="12322" width="9.25" style="1458" customWidth="1"/>
    <col min="12323" max="12332" width="0" style="1458" hidden="1" customWidth="1"/>
    <col min="12333" max="12544" width="9" style="1458"/>
    <col min="12545" max="12545" width="9" style="1458" customWidth="1"/>
    <col min="12546" max="12546" width="24" style="1458" customWidth="1"/>
    <col min="12547" max="12577" width="4.25" style="1458" customWidth="1"/>
    <col min="12578" max="12578" width="9.25" style="1458" customWidth="1"/>
    <col min="12579" max="12588" width="0" style="1458" hidden="1" customWidth="1"/>
    <col min="12589" max="12800" width="9" style="1458"/>
    <col min="12801" max="12801" width="9" style="1458" customWidth="1"/>
    <col min="12802" max="12802" width="24" style="1458" customWidth="1"/>
    <col min="12803" max="12833" width="4.25" style="1458" customWidth="1"/>
    <col min="12834" max="12834" width="9.25" style="1458" customWidth="1"/>
    <col min="12835" max="12844" width="0" style="1458" hidden="1" customWidth="1"/>
    <col min="12845" max="13056" width="9" style="1458"/>
    <col min="13057" max="13057" width="9" style="1458" customWidth="1"/>
    <col min="13058" max="13058" width="24" style="1458" customWidth="1"/>
    <col min="13059" max="13089" width="4.25" style="1458" customWidth="1"/>
    <col min="13090" max="13090" width="9.25" style="1458" customWidth="1"/>
    <col min="13091" max="13100" width="0" style="1458" hidden="1" customWidth="1"/>
    <col min="13101" max="13312" width="9" style="1458"/>
    <col min="13313" max="13313" width="9" style="1458" customWidth="1"/>
    <col min="13314" max="13314" width="24" style="1458" customWidth="1"/>
    <col min="13315" max="13345" width="4.25" style="1458" customWidth="1"/>
    <col min="13346" max="13346" width="9.25" style="1458" customWidth="1"/>
    <col min="13347" max="13356" width="0" style="1458" hidden="1" customWidth="1"/>
    <col min="13357" max="13568" width="9" style="1458"/>
    <col min="13569" max="13569" width="9" style="1458" customWidth="1"/>
    <col min="13570" max="13570" width="24" style="1458" customWidth="1"/>
    <col min="13571" max="13601" width="4.25" style="1458" customWidth="1"/>
    <col min="13602" max="13602" width="9.25" style="1458" customWidth="1"/>
    <col min="13603" max="13612" width="0" style="1458" hidden="1" customWidth="1"/>
    <col min="13613" max="13824" width="9" style="1458"/>
    <col min="13825" max="13825" width="9" style="1458" customWidth="1"/>
    <col min="13826" max="13826" width="24" style="1458" customWidth="1"/>
    <col min="13827" max="13857" width="4.25" style="1458" customWidth="1"/>
    <col min="13858" max="13858" width="9.25" style="1458" customWidth="1"/>
    <col min="13859" max="13868" width="0" style="1458" hidden="1" customWidth="1"/>
    <col min="13869" max="14080" width="9" style="1458"/>
    <col min="14081" max="14081" width="9" style="1458" customWidth="1"/>
    <col min="14082" max="14082" width="24" style="1458" customWidth="1"/>
    <col min="14083" max="14113" width="4.25" style="1458" customWidth="1"/>
    <col min="14114" max="14114" width="9.25" style="1458" customWidth="1"/>
    <col min="14115" max="14124" width="0" style="1458" hidden="1" customWidth="1"/>
    <col min="14125" max="14336" width="9" style="1458"/>
    <col min="14337" max="14337" width="9" style="1458" customWidth="1"/>
    <col min="14338" max="14338" width="24" style="1458" customWidth="1"/>
    <col min="14339" max="14369" width="4.25" style="1458" customWidth="1"/>
    <col min="14370" max="14370" width="9.25" style="1458" customWidth="1"/>
    <col min="14371" max="14380" width="0" style="1458" hidden="1" customWidth="1"/>
    <col min="14381" max="14592" width="9" style="1458"/>
    <col min="14593" max="14593" width="9" style="1458" customWidth="1"/>
    <col min="14594" max="14594" width="24" style="1458" customWidth="1"/>
    <col min="14595" max="14625" width="4.25" style="1458" customWidth="1"/>
    <col min="14626" max="14626" width="9.25" style="1458" customWidth="1"/>
    <col min="14627" max="14636" width="0" style="1458" hidden="1" customWidth="1"/>
    <col min="14637" max="14848" width="9" style="1458"/>
    <col min="14849" max="14849" width="9" style="1458" customWidth="1"/>
    <col min="14850" max="14850" width="24" style="1458" customWidth="1"/>
    <col min="14851" max="14881" width="4.25" style="1458" customWidth="1"/>
    <col min="14882" max="14882" width="9.25" style="1458" customWidth="1"/>
    <col min="14883" max="14892" width="0" style="1458" hidden="1" customWidth="1"/>
    <col min="14893" max="15104" width="9" style="1458"/>
    <col min="15105" max="15105" width="9" style="1458" customWidth="1"/>
    <col min="15106" max="15106" width="24" style="1458" customWidth="1"/>
    <col min="15107" max="15137" width="4.25" style="1458" customWidth="1"/>
    <col min="15138" max="15138" width="9.25" style="1458" customWidth="1"/>
    <col min="15139" max="15148" width="0" style="1458" hidden="1" customWidth="1"/>
    <col min="15149" max="15360" width="9" style="1458"/>
    <col min="15361" max="15361" width="9" style="1458" customWidth="1"/>
    <col min="15362" max="15362" width="24" style="1458" customWidth="1"/>
    <col min="15363" max="15393" width="4.25" style="1458" customWidth="1"/>
    <col min="15394" max="15394" width="9.25" style="1458" customWidth="1"/>
    <col min="15395" max="15404" width="0" style="1458" hidden="1" customWidth="1"/>
    <col min="15405" max="15616" width="9" style="1458"/>
    <col min="15617" max="15617" width="9" style="1458" customWidth="1"/>
    <col min="15618" max="15618" width="24" style="1458" customWidth="1"/>
    <col min="15619" max="15649" width="4.25" style="1458" customWidth="1"/>
    <col min="15650" max="15650" width="9.25" style="1458" customWidth="1"/>
    <col min="15651" max="15660" width="0" style="1458" hidden="1" customWidth="1"/>
    <col min="15661" max="15872" width="9" style="1458"/>
    <col min="15873" max="15873" width="9" style="1458" customWidth="1"/>
    <col min="15874" max="15874" width="24" style="1458" customWidth="1"/>
    <col min="15875" max="15905" width="4.25" style="1458" customWidth="1"/>
    <col min="15906" max="15906" width="9.25" style="1458" customWidth="1"/>
    <col min="15907" max="15916" width="0" style="1458" hidden="1" customWidth="1"/>
    <col min="15917" max="16128" width="9" style="1458"/>
    <col min="16129" max="16129" width="9" style="1458" customWidth="1"/>
    <col min="16130" max="16130" width="24" style="1458" customWidth="1"/>
    <col min="16131" max="16161" width="4.25" style="1458" customWidth="1"/>
    <col min="16162" max="16162" width="9.25" style="1458" customWidth="1"/>
    <col min="16163" max="16172" width="0" style="1458" hidden="1" customWidth="1"/>
    <col min="16173" max="16382" width="9" style="1458"/>
    <col min="16383" max="16383" width="9" style="1458" customWidth="1"/>
    <col min="16384" max="16384" width="9" style="1458"/>
  </cols>
  <sheetData>
    <row r="1" spans="1:46" s="1623" customFormat="1" ht="15" customHeight="1">
      <c r="A1" s="4150" t="s">
        <v>165</v>
      </c>
      <c r="B1" s="4150"/>
      <c r="C1" s="4150"/>
      <c r="D1" s="4150"/>
      <c r="E1" s="4150"/>
      <c r="F1" s="4150"/>
      <c r="G1" s="4150"/>
      <c r="H1" s="4150"/>
      <c r="I1" s="4150"/>
      <c r="J1" s="4150"/>
      <c r="K1" s="4150"/>
      <c r="L1" s="4150"/>
      <c r="M1" s="4150"/>
      <c r="N1" s="4150"/>
      <c r="O1" s="4150"/>
      <c r="P1" s="4150"/>
      <c r="Q1" s="4150"/>
      <c r="R1" s="4150"/>
      <c r="S1" s="4150"/>
      <c r="T1" s="4150"/>
      <c r="U1" s="4150"/>
      <c r="V1" s="4150"/>
      <c r="W1" s="4150"/>
      <c r="X1" s="4150"/>
      <c r="Y1" s="4150"/>
      <c r="Z1" s="4150"/>
      <c r="AA1" s="4150"/>
      <c r="AB1" s="4150"/>
      <c r="AC1" s="4150"/>
      <c r="AD1" s="4150"/>
      <c r="AE1" s="4150"/>
      <c r="AF1" s="4150"/>
      <c r="AG1" s="4150"/>
      <c r="AH1" s="4150"/>
      <c r="AI1" s="4150"/>
      <c r="AJ1" s="4150"/>
      <c r="AK1" s="4150"/>
      <c r="AL1" s="4150"/>
      <c r="AM1" s="4150"/>
      <c r="AN1" s="4150"/>
      <c r="AO1" s="4150"/>
      <c r="AP1" s="4150"/>
      <c r="AQ1" s="4150"/>
      <c r="AR1" s="4150"/>
      <c r="AS1" s="4150"/>
      <c r="AT1" s="4150"/>
    </row>
    <row r="2" spans="1:46" s="1623" customFormat="1" ht="15" customHeight="1">
      <c r="A2" s="4150" t="s">
        <v>991</v>
      </c>
      <c r="B2" s="4150"/>
      <c r="C2" s="4150"/>
      <c r="D2" s="4150"/>
      <c r="E2" s="4150"/>
      <c r="F2" s="4150"/>
      <c r="G2" s="4150"/>
      <c r="H2" s="4150"/>
      <c r="I2" s="4150"/>
      <c r="J2" s="4150"/>
      <c r="K2" s="4150"/>
      <c r="L2" s="4150"/>
      <c r="M2" s="4150"/>
      <c r="N2" s="4150"/>
      <c r="O2" s="4150"/>
      <c r="P2" s="4150"/>
      <c r="Q2" s="4150"/>
      <c r="R2" s="4150"/>
      <c r="S2" s="4150"/>
      <c r="T2" s="4150"/>
      <c r="U2" s="4150"/>
      <c r="V2" s="4150"/>
      <c r="W2" s="4150"/>
      <c r="X2" s="4150"/>
      <c r="Y2" s="4150"/>
      <c r="Z2" s="4150"/>
      <c r="AA2" s="4150"/>
      <c r="AB2" s="4150"/>
      <c r="AC2" s="4150"/>
      <c r="AD2" s="4150"/>
      <c r="AE2" s="4150"/>
      <c r="AF2" s="4150"/>
      <c r="AG2" s="4150"/>
      <c r="AH2" s="4150"/>
      <c r="AI2" s="4150"/>
      <c r="AJ2" s="4150"/>
      <c r="AK2" s="4150"/>
      <c r="AL2" s="4150"/>
      <c r="AM2" s="4150"/>
      <c r="AN2" s="4150"/>
      <c r="AO2" s="4150"/>
      <c r="AP2" s="4150"/>
      <c r="AQ2" s="4150"/>
      <c r="AR2" s="4150"/>
      <c r="AS2" s="4150"/>
      <c r="AT2" s="4150"/>
    </row>
    <row r="3" spans="1:46" s="1623" customFormat="1" ht="17.25" customHeight="1">
      <c r="A3" s="4520" t="s">
        <v>992</v>
      </c>
      <c r="B3" s="4520"/>
      <c r="C3" s="4520"/>
      <c r="D3" s="4520"/>
      <c r="E3" s="4520"/>
      <c r="F3" s="4520"/>
      <c r="G3" s="4520"/>
      <c r="H3" s="4520"/>
      <c r="I3" s="4520"/>
      <c r="J3" s="4520"/>
      <c r="K3" s="4520"/>
      <c r="L3" s="4520"/>
      <c r="M3" s="4520"/>
      <c r="N3" s="4520"/>
      <c r="O3" s="4520"/>
      <c r="P3" s="4520"/>
      <c r="Q3" s="4520"/>
      <c r="R3" s="4520"/>
      <c r="S3" s="4520"/>
      <c r="T3" s="4520"/>
      <c r="U3" s="4520"/>
      <c r="V3" s="4520"/>
      <c r="W3" s="4520"/>
      <c r="X3" s="4520"/>
      <c r="Y3" s="4520"/>
      <c r="Z3" s="4520"/>
      <c r="AA3" s="4520"/>
      <c r="AB3" s="4520"/>
      <c r="AC3" s="4520"/>
      <c r="AD3" s="4520"/>
      <c r="AE3" s="4520"/>
      <c r="AF3" s="4520"/>
      <c r="AG3" s="4520"/>
      <c r="AH3" s="4520"/>
      <c r="AI3" s="4520"/>
      <c r="AJ3" s="4520"/>
      <c r="AK3" s="4520"/>
      <c r="AL3" s="4520"/>
      <c r="AM3" s="4520"/>
      <c r="AN3" s="4520"/>
      <c r="AO3" s="4520"/>
      <c r="AP3" s="4520"/>
      <c r="AQ3" s="4520"/>
      <c r="AR3" s="4520"/>
      <c r="AS3" s="4520"/>
      <c r="AT3" s="4520"/>
    </row>
    <row r="4" spans="1:46" s="1623" customFormat="1" ht="9" customHeight="1">
      <c r="A4" s="1624"/>
      <c r="B4" s="1624"/>
      <c r="C4" s="1624"/>
      <c r="D4" s="1624"/>
      <c r="E4" s="1624"/>
      <c r="F4" s="1624"/>
      <c r="G4" s="1624"/>
      <c r="H4" s="1624"/>
      <c r="I4" s="1624"/>
      <c r="J4" s="1624"/>
      <c r="K4" s="1624"/>
      <c r="L4" s="1624"/>
      <c r="M4" s="1624"/>
      <c r="N4" s="1624"/>
      <c r="O4" s="1624"/>
      <c r="P4" s="1624"/>
      <c r="Q4" s="1624"/>
      <c r="R4" s="1624"/>
      <c r="S4" s="1624"/>
      <c r="T4" s="1624"/>
      <c r="U4" s="1624"/>
      <c r="V4" s="1624"/>
      <c r="W4" s="1624"/>
      <c r="X4" s="1624"/>
      <c r="Y4" s="1624"/>
      <c r="Z4" s="1624"/>
      <c r="AA4" s="1624"/>
      <c r="AB4" s="1624"/>
      <c r="AC4" s="1624"/>
      <c r="AD4" s="1624"/>
      <c r="AE4" s="1624"/>
      <c r="AF4" s="1624"/>
      <c r="AG4" s="1624"/>
      <c r="AH4" s="1624"/>
      <c r="AI4" s="1624"/>
      <c r="AJ4" s="1624"/>
    </row>
    <row r="5" spans="1:46" s="1623" customFormat="1" ht="23.25" customHeight="1">
      <c r="A5" s="4176" t="s">
        <v>574</v>
      </c>
      <c r="B5" s="4176"/>
      <c r="C5" s="4176"/>
      <c r="D5" s="4176"/>
      <c r="E5" s="4176"/>
      <c r="F5" s="4176"/>
      <c r="G5" s="4176"/>
      <c r="H5" s="4176"/>
      <c r="I5" s="4176"/>
      <c r="J5" s="4176"/>
      <c r="K5" s="4176"/>
      <c r="L5" s="4176"/>
      <c r="M5" s="4176"/>
      <c r="N5" s="4176"/>
      <c r="O5" s="4176"/>
      <c r="P5" s="1624"/>
      <c r="Q5" s="1624"/>
      <c r="R5" s="1624"/>
      <c r="S5" s="1624"/>
      <c r="T5" s="1624"/>
      <c r="U5" s="1624"/>
      <c r="V5" s="1624"/>
      <c r="W5" s="1624"/>
      <c r="X5" s="1624"/>
      <c r="Y5" s="1624"/>
      <c r="Z5" s="1624"/>
      <c r="AA5" s="1624"/>
      <c r="AB5" s="1624"/>
      <c r="AC5" s="1624"/>
      <c r="AD5" s="1624"/>
      <c r="AE5" s="1624"/>
      <c r="AF5" s="1624"/>
      <c r="AG5" s="1624"/>
      <c r="AH5" s="1624"/>
      <c r="AI5" s="1624"/>
      <c r="AJ5" s="1624"/>
    </row>
    <row r="6" spans="1:46" s="1623" customFormat="1" ht="18" customHeight="1">
      <c r="A6" s="4153" t="s">
        <v>1192</v>
      </c>
      <c r="B6" s="4153"/>
      <c r="C6" s="4153"/>
      <c r="D6" s="4153"/>
      <c r="E6" s="4153"/>
      <c r="F6" s="4153"/>
      <c r="G6" s="4153"/>
      <c r="H6" s="4153"/>
      <c r="I6" s="4153"/>
      <c r="J6" s="4153"/>
      <c r="K6" s="4153"/>
      <c r="L6" s="4153"/>
      <c r="M6" s="4153"/>
      <c r="N6" s="4153"/>
      <c r="O6" s="4153"/>
      <c r="P6" s="1624"/>
      <c r="Q6" s="1624"/>
      <c r="R6" s="1624"/>
      <c r="S6" s="1624"/>
      <c r="T6" s="1624"/>
      <c r="U6" s="1624"/>
      <c r="V6" s="1624"/>
      <c r="W6" s="1624"/>
      <c r="X6" s="1624"/>
      <c r="Y6" s="1624"/>
      <c r="Z6" s="1624"/>
      <c r="AA6" s="1624"/>
      <c r="AB6" s="1624"/>
      <c r="AC6" s="1624"/>
      <c r="AD6" s="1624"/>
      <c r="AE6" s="1624"/>
      <c r="AF6" s="1624"/>
      <c r="AG6" s="1624"/>
      <c r="AH6" s="1624"/>
      <c r="AI6" s="1624"/>
      <c r="AJ6" s="1624"/>
    </row>
    <row r="7" spans="1:46" ht="15" hidden="1" customHeight="1">
      <c r="W7" s="4501"/>
      <c r="X7" s="4501"/>
      <c r="Y7" s="4501"/>
      <c r="Z7" s="4501"/>
      <c r="AA7" s="4501"/>
      <c r="AB7" s="4501"/>
      <c r="AC7" s="4501"/>
      <c r="AD7" s="4501"/>
      <c r="AE7" s="4501"/>
      <c r="AF7" s="4501"/>
      <c r="AG7" s="4501"/>
      <c r="AH7" s="4501"/>
      <c r="AI7" s="4501"/>
      <c r="AL7" s="2278">
        <v>1</v>
      </c>
      <c r="AM7" s="2278">
        <v>2</v>
      </c>
      <c r="AN7" s="2278">
        <v>3</v>
      </c>
      <c r="AO7" s="2278">
        <v>4</v>
      </c>
      <c r="AP7" s="2278">
        <v>5</v>
      </c>
      <c r="AQ7" s="2279">
        <v>6</v>
      </c>
      <c r="AR7" s="2279">
        <v>7</v>
      </c>
    </row>
    <row r="8" spans="1:46" ht="15" hidden="1" customHeight="1">
      <c r="A8" s="4506"/>
      <c r="B8" s="4506"/>
      <c r="C8" s="4506"/>
      <c r="D8" s="4506"/>
      <c r="E8" s="4506"/>
      <c r="F8" s="4506"/>
      <c r="W8" s="4501"/>
      <c r="X8" s="4501"/>
      <c r="Y8" s="4501"/>
      <c r="Z8" s="4501"/>
      <c r="AA8" s="4501"/>
      <c r="AB8" s="4501"/>
      <c r="AC8" s="4501"/>
      <c r="AD8" s="4501"/>
      <c r="AE8" s="4501"/>
      <c r="AF8" s="4501"/>
      <c r="AG8" s="4501"/>
      <c r="AH8" s="4501"/>
      <c r="AI8" s="4501"/>
      <c r="AL8" s="2278" t="s">
        <v>237</v>
      </c>
      <c r="AM8" s="2278" t="s">
        <v>1193</v>
      </c>
      <c r="AN8" s="2278" t="s">
        <v>1194</v>
      </c>
      <c r="AO8" s="2278" t="s">
        <v>1195</v>
      </c>
      <c r="AP8" s="2278" t="s">
        <v>1196</v>
      </c>
      <c r="AQ8" s="2279" t="s">
        <v>1197</v>
      </c>
      <c r="AR8" s="2279" t="s">
        <v>1198</v>
      </c>
    </row>
    <row r="9" spans="1:46" ht="15" hidden="1" customHeight="1">
      <c r="AL9" s="2280"/>
      <c r="AM9" s="2280"/>
      <c r="AN9" s="2280"/>
      <c r="AO9" s="2280"/>
      <c r="AP9" s="2280"/>
    </row>
    <row r="10" spans="1:46" ht="18.75">
      <c r="D10" s="4170" t="s">
        <v>1708</v>
      </c>
      <c r="E10" s="4170"/>
      <c r="F10" s="4170"/>
      <c r="G10" s="4170"/>
      <c r="H10" s="4170"/>
      <c r="I10" s="4170"/>
      <c r="J10" s="4170"/>
      <c r="K10" s="4170"/>
      <c r="L10" s="4170"/>
      <c r="M10" s="4170"/>
      <c r="N10" s="4170"/>
      <c r="O10" s="4170"/>
      <c r="P10" s="4170"/>
      <c r="Q10" s="4170"/>
      <c r="R10" s="4170"/>
      <c r="S10" s="4170"/>
      <c r="T10" s="4170"/>
      <c r="U10" s="4170"/>
      <c r="V10" s="4170"/>
      <c r="W10" s="4170"/>
      <c r="X10" s="4170"/>
      <c r="Y10" s="4170"/>
      <c r="Z10" s="4170"/>
      <c r="AA10" s="4170"/>
      <c r="AB10" s="4170"/>
      <c r="AC10" s="4170"/>
      <c r="AD10" s="4170"/>
      <c r="AE10" s="4170"/>
      <c r="AF10" s="4170"/>
      <c r="AG10" s="4170"/>
      <c r="AH10" s="4170"/>
      <c r="AL10" s="2280"/>
      <c r="AM10" s="2280"/>
      <c r="AN10" s="2280"/>
      <c r="AO10" s="2280"/>
      <c r="AP10" s="2280"/>
    </row>
    <row r="11" spans="1:46" ht="15.75">
      <c r="B11" s="1459" t="s">
        <v>912</v>
      </c>
      <c r="C11" s="1459">
        <v>2025</v>
      </c>
      <c r="D11" s="4518" t="str">
        <f>"Tháng "&amp;IF(LEN($C$12)=1,"0"&amp;$C$12,$C$12)&amp;" năm "&amp;C11</f>
        <v>Tháng 04 năm 2025</v>
      </c>
      <c r="E11" s="4518"/>
      <c r="F11" s="4518"/>
      <c r="G11" s="4518"/>
      <c r="H11" s="4518"/>
      <c r="I11" s="4518"/>
      <c r="J11" s="4518"/>
      <c r="K11" s="4518"/>
      <c r="L11" s="4518"/>
      <c r="M11" s="4518"/>
      <c r="N11" s="4518"/>
      <c r="O11" s="4518"/>
      <c r="P11" s="4518"/>
      <c r="Q11" s="4518"/>
      <c r="R11" s="4518"/>
      <c r="S11" s="4518"/>
      <c r="T11" s="4518"/>
      <c r="U11" s="4518"/>
      <c r="V11" s="4518"/>
      <c r="W11" s="4518"/>
      <c r="X11" s="4518"/>
      <c r="Y11" s="4518"/>
      <c r="Z11" s="4518"/>
      <c r="AA11" s="4518"/>
      <c r="AB11" s="4518"/>
      <c r="AC11" s="4518"/>
      <c r="AD11" s="4518"/>
      <c r="AE11" s="4518"/>
      <c r="AF11" s="4518"/>
      <c r="AG11" s="4518"/>
      <c r="AH11" s="4518"/>
    </row>
    <row r="12" spans="1:46">
      <c r="B12" s="1459" t="s">
        <v>913</v>
      </c>
      <c r="C12" s="1459">
        <v>4</v>
      </c>
    </row>
    <row r="13" spans="1:46" ht="15" customHeight="1">
      <c r="A13" s="4519" t="s">
        <v>1</v>
      </c>
      <c r="B13" s="4509" t="s">
        <v>914</v>
      </c>
      <c r="C13" s="4510" t="s">
        <v>915</v>
      </c>
      <c r="D13" s="3391">
        <v>1</v>
      </c>
      <c r="E13" s="3391">
        <v>2</v>
      </c>
      <c r="F13" s="3391">
        <v>3</v>
      </c>
      <c r="G13" s="3391">
        <v>4</v>
      </c>
      <c r="H13" s="3391">
        <v>5</v>
      </c>
      <c r="I13" s="3391">
        <v>6</v>
      </c>
      <c r="J13" s="3391">
        <v>7</v>
      </c>
      <c r="K13" s="3391">
        <v>8</v>
      </c>
      <c r="L13" s="3391">
        <v>9</v>
      </c>
      <c r="M13" s="3391">
        <v>10</v>
      </c>
      <c r="N13" s="3391">
        <v>11</v>
      </c>
      <c r="O13" s="3391">
        <v>12</v>
      </c>
      <c r="P13" s="3391">
        <v>13</v>
      </c>
      <c r="Q13" s="3391">
        <v>14</v>
      </c>
      <c r="R13" s="3391">
        <v>15</v>
      </c>
      <c r="S13" s="3391">
        <v>16</v>
      </c>
      <c r="T13" s="3391">
        <v>17</v>
      </c>
      <c r="U13" s="3391">
        <v>18</v>
      </c>
      <c r="V13" s="3391">
        <v>19</v>
      </c>
      <c r="W13" s="3391">
        <v>20</v>
      </c>
      <c r="X13" s="3391">
        <v>21</v>
      </c>
      <c r="Y13" s="3391">
        <v>22</v>
      </c>
      <c r="Z13" s="3391">
        <v>23</v>
      </c>
      <c r="AA13" s="3391">
        <v>24</v>
      </c>
      <c r="AB13" s="3391">
        <v>25</v>
      </c>
      <c r="AC13" s="3391">
        <v>26</v>
      </c>
      <c r="AD13" s="3391">
        <v>27</v>
      </c>
      <c r="AE13" s="3391">
        <v>28</v>
      </c>
      <c r="AF13" s="3391">
        <f>IF(DAY(DATE(C11,C12+1,1)-1)&lt;29,"",29)</f>
        <v>29</v>
      </c>
      <c r="AG13" s="3391">
        <v>30</v>
      </c>
      <c r="AH13" s="3391">
        <v>31</v>
      </c>
      <c r="AI13" s="4503" t="s">
        <v>922</v>
      </c>
      <c r="AJ13" s="1536"/>
      <c r="AK13" s="1536"/>
      <c r="AL13" s="1536"/>
      <c r="AM13" s="1536"/>
      <c r="AN13" s="1536"/>
      <c r="AO13" s="1536"/>
      <c r="AP13" s="1536"/>
      <c r="AQ13" s="1536"/>
      <c r="AR13" s="1536"/>
      <c r="AS13" s="4503" t="s">
        <v>1709</v>
      </c>
      <c r="AT13" s="4503" t="s">
        <v>923</v>
      </c>
    </row>
    <row r="14" spans="1:46" ht="37.5" customHeight="1">
      <c r="A14" s="4519"/>
      <c r="B14" s="4509"/>
      <c r="C14" s="4511"/>
      <c r="D14" s="2408" t="str">
        <f t="shared" ref="D14:AG14" si="0">IF(D13="","",HLOOKUP(WEEKDAY(DATE($C$11,$C$12,D13)),$AL$7:$AR$8,2,0))</f>
        <v>Ba</v>
      </c>
      <c r="E14" s="2408" t="str">
        <f t="shared" si="0"/>
        <v>Tư</v>
      </c>
      <c r="F14" s="2408" t="str">
        <f t="shared" si="0"/>
        <v>Năm</v>
      </c>
      <c r="G14" s="2408" t="str">
        <f t="shared" si="0"/>
        <v>Sáu</v>
      </c>
      <c r="H14" s="2408" t="str">
        <f t="shared" si="0"/>
        <v>Bảy</v>
      </c>
      <c r="I14" s="2408" t="str">
        <f t="shared" si="0"/>
        <v>CN</v>
      </c>
      <c r="J14" s="2408" t="str">
        <f t="shared" si="0"/>
        <v>Hai</v>
      </c>
      <c r="K14" s="2408" t="str">
        <f t="shared" si="0"/>
        <v>Ba</v>
      </c>
      <c r="L14" s="2408" t="str">
        <f t="shared" si="0"/>
        <v>Tư</v>
      </c>
      <c r="M14" s="2408" t="str">
        <f t="shared" si="0"/>
        <v>Năm</v>
      </c>
      <c r="N14" s="2408" t="str">
        <f t="shared" si="0"/>
        <v>Sáu</v>
      </c>
      <c r="O14" s="2408" t="str">
        <f t="shared" si="0"/>
        <v>Bảy</v>
      </c>
      <c r="P14" s="2408" t="str">
        <f t="shared" si="0"/>
        <v>CN</v>
      </c>
      <c r="Q14" s="2408" t="str">
        <f t="shared" si="0"/>
        <v>Hai</v>
      </c>
      <c r="R14" s="2408" t="str">
        <f t="shared" si="0"/>
        <v>Ba</v>
      </c>
      <c r="S14" s="2408" t="str">
        <f t="shared" si="0"/>
        <v>Tư</v>
      </c>
      <c r="T14" s="2408" t="str">
        <f t="shared" si="0"/>
        <v>Năm</v>
      </c>
      <c r="U14" s="2408" t="str">
        <f t="shared" si="0"/>
        <v>Sáu</v>
      </c>
      <c r="V14" s="2408" t="str">
        <f t="shared" si="0"/>
        <v>Bảy</v>
      </c>
      <c r="W14" s="2408" t="str">
        <f t="shared" si="0"/>
        <v>CN</v>
      </c>
      <c r="X14" s="2408" t="str">
        <f t="shared" si="0"/>
        <v>Hai</v>
      </c>
      <c r="Y14" s="2408" t="str">
        <f t="shared" si="0"/>
        <v>Ba</v>
      </c>
      <c r="Z14" s="2408" t="str">
        <f t="shared" si="0"/>
        <v>Tư</v>
      </c>
      <c r="AA14" s="2408" t="str">
        <f t="shared" si="0"/>
        <v>Năm</v>
      </c>
      <c r="AB14" s="2408" t="str">
        <f t="shared" si="0"/>
        <v>Sáu</v>
      </c>
      <c r="AC14" s="2408" t="str">
        <f t="shared" si="0"/>
        <v>Bảy</v>
      </c>
      <c r="AD14" s="2408" t="str">
        <f t="shared" si="0"/>
        <v>CN</v>
      </c>
      <c r="AE14" s="2408" t="str">
        <f t="shared" si="0"/>
        <v>Hai</v>
      </c>
      <c r="AF14" s="2409" t="str">
        <f t="shared" si="0"/>
        <v>Ba</v>
      </c>
      <c r="AG14" s="2409" t="str">
        <f t="shared" si="0"/>
        <v>Tư</v>
      </c>
      <c r="AH14" s="2409"/>
      <c r="AI14" s="4503"/>
      <c r="AJ14" s="1536"/>
      <c r="AK14" s="1536"/>
      <c r="AL14" s="1536"/>
      <c r="AM14" s="1536"/>
      <c r="AN14" s="1536"/>
      <c r="AO14" s="1536"/>
      <c r="AP14" s="1536"/>
      <c r="AQ14" s="1536"/>
      <c r="AR14" s="1536"/>
      <c r="AS14" s="4503"/>
      <c r="AT14" s="4504"/>
    </row>
    <row r="15" spans="1:46">
      <c r="A15" s="1476">
        <v>1</v>
      </c>
      <c r="B15" s="1462"/>
      <c r="C15" s="1476" t="s">
        <v>1010</v>
      </c>
      <c r="D15" s="3400" t="s">
        <v>142</v>
      </c>
      <c r="E15" s="3400" t="s">
        <v>142</v>
      </c>
      <c r="F15" s="3400" t="s">
        <v>142</v>
      </c>
      <c r="G15" s="3400" t="s">
        <v>142</v>
      </c>
      <c r="H15" s="3400" t="s">
        <v>142</v>
      </c>
      <c r="I15" s="3400" t="s">
        <v>142</v>
      </c>
      <c r="J15" s="3400" t="s">
        <v>142</v>
      </c>
      <c r="K15" s="3400" t="s">
        <v>142</v>
      </c>
      <c r="L15" s="3400" t="s">
        <v>142</v>
      </c>
      <c r="M15" s="3400" t="s">
        <v>142</v>
      </c>
      <c r="N15" s="3400" t="s">
        <v>142</v>
      </c>
      <c r="O15" s="3400" t="s">
        <v>142</v>
      </c>
      <c r="P15" s="3400" t="s">
        <v>142</v>
      </c>
      <c r="Q15" s="3400" t="s">
        <v>142</v>
      </c>
      <c r="R15" s="3400" t="s">
        <v>142</v>
      </c>
      <c r="S15" s="3400" t="s">
        <v>142</v>
      </c>
      <c r="T15" s="3400" t="s">
        <v>142</v>
      </c>
      <c r="U15" s="3400" t="s">
        <v>142</v>
      </c>
      <c r="V15" s="3400" t="s">
        <v>142</v>
      </c>
      <c r="W15" s="3400" t="s">
        <v>142</v>
      </c>
      <c r="X15" s="3400" t="s">
        <v>142</v>
      </c>
      <c r="Y15" s="3400" t="s">
        <v>142</v>
      </c>
      <c r="Z15" s="3400" t="s">
        <v>142</v>
      </c>
      <c r="AA15" s="3400" t="s">
        <v>142</v>
      </c>
      <c r="AB15" s="3400" t="s">
        <v>142</v>
      </c>
      <c r="AC15" s="3400" t="s">
        <v>142</v>
      </c>
      <c r="AD15" s="3400" t="s">
        <v>142</v>
      </c>
      <c r="AE15" s="3400" t="s">
        <v>142</v>
      </c>
      <c r="AF15" s="3400" t="s">
        <v>142</v>
      </c>
      <c r="AG15" s="3400" t="s">
        <v>142</v>
      </c>
      <c r="AH15" s="3400"/>
      <c r="AI15" s="1534">
        <f>COUNTIF(D15:AH15,"X")</f>
        <v>30</v>
      </c>
      <c r="AJ15" s="1476"/>
      <c r="AK15" s="1476"/>
      <c r="AL15" s="1476"/>
      <c r="AM15" s="1476"/>
      <c r="AN15" s="1476"/>
      <c r="AO15" s="1476"/>
      <c r="AP15" s="1476"/>
      <c r="AQ15" s="1476"/>
      <c r="AR15" s="1476"/>
      <c r="AS15" s="1534">
        <f>COUNTIF(D15:AR15,"p")</f>
        <v>0</v>
      </c>
      <c r="AT15" s="1535">
        <f t="shared" ref="AT15:AT21" si="1">+AI15+AS15</f>
        <v>30</v>
      </c>
    </row>
    <row r="16" spans="1:46">
      <c r="A16" s="1476">
        <v>2</v>
      </c>
      <c r="B16" s="1465"/>
      <c r="C16" s="1464" t="s">
        <v>1306</v>
      </c>
      <c r="D16" s="3400" t="s">
        <v>142</v>
      </c>
      <c r="E16" s="3400" t="s">
        <v>142</v>
      </c>
      <c r="F16" s="3400" t="s">
        <v>142</v>
      </c>
      <c r="G16" s="3400" t="s">
        <v>142</v>
      </c>
      <c r="H16" s="3400" t="s">
        <v>142</v>
      </c>
      <c r="I16" s="3400" t="s">
        <v>142</v>
      </c>
      <c r="J16" s="3400" t="s">
        <v>142</v>
      </c>
      <c r="K16" s="3400" t="s">
        <v>142</v>
      </c>
      <c r="L16" s="3400" t="s">
        <v>142</v>
      </c>
      <c r="M16" s="3400" t="s">
        <v>142</v>
      </c>
      <c r="N16" s="3400" t="s">
        <v>142</v>
      </c>
      <c r="O16" s="3400" t="s">
        <v>142</v>
      </c>
      <c r="P16" s="3400" t="s">
        <v>142</v>
      </c>
      <c r="Q16" s="3400" t="s">
        <v>142</v>
      </c>
      <c r="R16" s="3400" t="s">
        <v>142</v>
      </c>
      <c r="S16" s="3400" t="s">
        <v>142</v>
      </c>
      <c r="T16" s="3400" t="s">
        <v>142</v>
      </c>
      <c r="U16" s="3400" t="s">
        <v>142</v>
      </c>
      <c r="V16" s="3400" t="s">
        <v>142</v>
      </c>
      <c r="W16" s="3400" t="s">
        <v>142</v>
      </c>
      <c r="X16" s="3400" t="s">
        <v>142</v>
      </c>
      <c r="Y16" s="3400" t="s">
        <v>142</v>
      </c>
      <c r="Z16" s="3400" t="s">
        <v>142</v>
      </c>
      <c r="AA16" s="3400" t="s">
        <v>142</v>
      </c>
      <c r="AB16" s="3400" t="s">
        <v>142</v>
      </c>
      <c r="AC16" s="3400" t="s">
        <v>142</v>
      </c>
      <c r="AD16" s="3400" t="s">
        <v>142</v>
      </c>
      <c r="AE16" s="3400" t="s">
        <v>142</v>
      </c>
      <c r="AF16" s="3400" t="s">
        <v>142</v>
      </c>
      <c r="AG16" s="3400" t="s">
        <v>142</v>
      </c>
      <c r="AH16" s="3400"/>
      <c r="AI16" s="1466">
        <f t="shared" ref="AI16:AI21" si="2">COUNTIF(D16:AH16,"X")</f>
        <v>30</v>
      </c>
      <c r="AJ16" s="1464"/>
      <c r="AK16" s="1464"/>
      <c r="AL16" s="1464"/>
      <c r="AM16" s="1464"/>
      <c r="AN16" s="1464"/>
      <c r="AO16" s="1464"/>
      <c r="AP16" s="1464"/>
      <c r="AQ16" s="1464"/>
      <c r="AR16" s="1464"/>
      <c r="AS16" s="1534">
        <f t="shared" ref="AS16:AS21" si="3">COUNTIF(D16:AR16,"p")</f>
        <v>0</v>
      </c>
      <c r="AT16" s="1535">
        <f t="shared" si="1"/>
        <v>30</v>
      </c>
    </row>
    <row r="17" spans="1:46">
      <c r="A17" s="1476">
        <v>3</v>
      </c>
      <c r="B17" s="1465"/>
      <c r="C17" s="1464" t="s">
        <v>1857</v>
      </c>
      <c r="D17" s="3400" t="s">
        <v>142</v>
      </c>
      <c r="E17" s="3400" t="s">
        <v>142</v>
      </c>
      <c r="F17" s="3400" t="s">
        <v>142</v>
      </c>
      <c r="G17" s="3400" t="s">
        <v>142</v>
      </c>
      <c r="H17" s="3400" t="s">
        <v>142</v>
      </c>
      <c r="I17" s="3400" t="s">
        <v>142</v>
      </c>
      <c r="J17" s="3400" t="s">
        <v>142</v>
      </c>
      <c r="K17" s="3400" t="s">
        <v>142</v>
      </c>
      <c r="L17" s="3400" t="s">
        <v>142</v>
      </c>
      <c r="M17" s="3400" t="s">
        <v>142</v>
      </c>
      <c r="N17" s="3400" t="s">
        <v>142</v>
      </c>
      <c r="O17" s="3400" t="s">
        <v>142</v>
      </c>
      <c r="P17" s="3400" t="s">
        <v>142</v>
      </c>
      <c r="Q17" s="3400" t="s">
        <v>142</v>
      </c>
      <c r="R17" s="3400" t="s">
        <v>142</v>
      </c>
      <c r="S17" s="3400" t="s">
        <v>142</v>
      </c>
      <c r="T17" s="3400" t="s">
        <v>142</v>
      </c>
      <c r="U17" s="3400" t="s">
        <v>142</v>
      </c>
      <c r="V17" s="3400" t="s">
        <v>142</v>
      </c>
      <c r="W17" s="3400" t="s">
        <v>142</v>
      </c>
      <c r="X17" s="3400" t="s">
        <v>142</v>
      </c>
      <c r="Y17" s="3400" t="s">
        <v>142</v>
      </c>
      <c r="Z17" s="3400" t="s">
        <v>142</v>
      </c>
      <c r="AA17" s="3400" t="s">
        <v>142</v>
      </c>
      <c r="AB17" s="3400" t="s">
        <v>142</v>
      </c>
      <c r="AC17" s="3400" t="s">
        <v>142</v>
      </c>
      <c r="AD17" s="3400" t="s">
        <v>142</v>
      </c>
      <c r="AE17" s="3400" t="s">
        <v>142</v>
      </c>
      <c r="AF17" s="3400" t="s">
        <v>142</v>
      </c>
      <c r="AG17" s="3400" t="s">
        <v>142</v>
      </c>
      <c r="AH17" s="3400"/>
      <c r="AI17" s="1466">
        <f t="shared" si="2"/>
        <v>30</v>
      </c>
      <c r="AJ17" s="1464"/>
      <c r="AK17" s="1464"/>
      <c r="AL17" s="1464"/>
      <c r="AM17" s="1464"/>
      <c r="AN17" s="1464"/>
      <c r="AO17" s="1464"/>
      <c r="AP17" s="1464"/>
      <c r="AQ17" s="1464"/>
      <c r="AR17" s="1464"/>
      <c r="AS17" s="1534">
        <f t="shared" si="3"/>
        <v>0</v>
      </c>
      <c r="AT17" s="1535">
        <f>+AI17</f>
        <v>30</v>
      </c>
    </row>
    <row r="18" spans="1:46">
      <c r="A18" s="1476">
        <v>4</v>
      </c>
      <c r="B18" s="1475"/>
      <c r="C18" s="1464" t="s">
        <v>1858</v>
      </c>
      <c r="D18" s="3400" t="s">
        <v>142</v>
      </c>
      <c r="E18" s="3400" t="s">
        <v>142</v>
      </c>
      <c r="F18" s="3400" t="s">
        <v>142</v>
      </c>
      <c r="G18" s="3400" t="s">
        <v>142</v>
      </c>
      <c r="H18" s="3400" t="s">
        <v>142</v>
      </c>
      <c r="I18" s="3400" t="s">
        <v>142</v>
      </c>
      <c r="J18" s="3400" t="s">
        <v>142</v>
      </c>
      <c r="K18" s="3400" t="s">
        <v>142</v>
      </c>
      <c r="L18" s="3400" t="s">
        <v>142</v>
      </c>
      <c r="M18" s="3400" t="s">
        <v>142</v>
      </c>
      <c r="N18" s="3400" t="s">
        <v>142</v>
      </c>
      <c r="O18" s="3400" t="s">
        <v>142</v>
      </c>
      <c r="P18" s="3400" t="s">
        <v>142</v>
      </c>
      <c r="Q18" s="3400" t="s">
        <v>142</v>
      </c>
      <c r="R18" s="3400" t="s">
        <v>142</v>
      </c>
      <c r="S18" s="3400" t="s">
        <v>142</v>
      </c>
      <c r="T18" s="3400" t="s">
        <v>142</v>
      </c>
      <c r="U18" s="3400" t="s">
        <v>142</v>
      </c>
      <c r="V18" s="3400" t="s">
        <v>142</v>
      </c>
      <c r="W18" s="3400" t="s">
        <v>142</v>
      </c>
      <c r="X18" s="3400" t="s">
        <v>142</v>
      </c>
      <c r="Y18" s="3400" t="s">
        <v>142</v>
      </c>
      <c r="Z18" s="3400" t="s">
        <v>142</v>
      </c>
      <c r="AA18" s="3400" t="s">
        <v>142</v>
      </c>
      <c r="AB18" s="3400" t="s">
        <v>142</v>
      </c>
      <c r="AC18" s="3400" t="s">
        <v>142</v>
      </c>
      <c r="AD18" s="3400" t="s">
        <v>142</v>
      </c>
      <c r="AE18" s="3400" t="s">
        <v>142</v>
      </c>
      <c r="AF18" s="3400" t="s">
        <v>142</v>
      </c>
      <c r="AG18" s="3400" t="s">
        <v>142</v>
      </c>
      <c r="AH18" s="3400"/>
      <c r="AI18" s="1466">
        <f t="shared" si="2"/>
        <v>30</v>
      </c>
      <c r="AJ18" s="1474"/>
      <c r="AK18" s="1474"/>
      <c r="AL18" s="1474"/>
      <c r="AM18" s="1474"/>
      <c r="AN18" s="1474"/>
      <c r="AO18" s="1474"/>
      <c r="AP18" s="1474"/>
      <c r="AQ18" s="1474"/>
      <c r="AR18" s="1474"/>
      <c r="AS18" s="1534">
        <f t="shared" si="3"/>
        <v>0</v>
      </c>
      <c r="AT18" s="1535">
        <f t="shared" si="1"/>
        <v>30</v>
      </c>
    </row>
    <row r="19" spans="1:46">
      <c r="A19" s="1476">
        <v>5</v>
      </c>
      <c r="B19" s="3820"/>
      <c r="C19" s="1464" t="s">
        <v>96</v>
      </c>
      <c r="D19" s="3400" t="s">
        <v>142</v>
      </c>
      <c r="E19" s="3400" t="s">
        <v>142</v>
      </c>
      <c r="F19" s="3400" t="s">
        <v>142</v>
      </c>
      <c r="G19" s="3400" t="s">
        <v>142</v>
      </c>
      <c r="H19" s="3400" t="s">
        <v>142</v>
      </c>
      <c r="I19" s="3400" t="s">
        <v>142</v>
      </c>
      <c r="J19" s="3400" t="s">
        <v>142</v>
      </c>
      <c r="K19" s="3400" t="s">
        <v>142</v>
      </c>
      <c r="L19" s="3400" t="s">
        <v>142</v>
      </c>
      <c r="M19" s="3400" t="s">
        <v>142</v>
      </c>
      <c r="N19" s="3400" t="s">
        <v>142</v>
      </c>
      <c r="O19" s="3400" t="s">
        <v>142</v>
      </c>
      <c r="P19" s="3400" t="s">
        <v>142</v>
      </c>
      <c r="Q19" s="3400" t="s">
        <v>142</v>
      </c>
      <c r="R19" s="3400" t="s">
        <v>142</v>
      </c>
      <c r="S19" s="3400" t="s">
        <v>142</v>
      </c>
      <c r="T19" s="3400" t="s">
        <v>142</v>
      </c>
      <c r="U19" s="3400" t="s">
        <v>142</v>
      </c>
      <c r="V19" s="3400" t="s">
        <v>142</v>
      </c>
      <c r="W19" s="3400" t="s">
        <v>142</v>
      </c>
      <c r="X19" s="3400" t="s">
        <v>142</v>
      </c>
      <c r="Y19" s="3400" t="s">
        <v>142</v>
      </c>
      <c r="Z19" s="3400" t="s">
        <v>142</v>
      </c>
      <c r="AA19" s="3400" t="s">
        <v>142</v>
      </c>
      <c r="AB19" s="3400" t="s">
        <v>142</v>
      </c>
      <c r="AC19" s="3400" t="s">
        <v>142</v>
      </c>
      <c r="AD19" s="3400" t="s">
        <v>142</v>
      </c>
      <c r="AE19" s="3400" t="s">
        <v>142</v>
      </c>
      <c r="AF19" s="3400" t="s">
        <v>142</v>
      </c>
      <c r="AG19" s="3400" t="s">
        <v>142</v>
      </c>
      <c r="AH19" s="3400"/>
      <c r="AI19" s="1466">
        <f t="shared" si="2"/>
        <v>30</v>
      </c>
      <c r="AJ19" s="3821"/>
      <c r="AK19" s="3821"/>
      <c r="AL19" s="3821"/>
      <c r="AM19" s="3821"/>
      <c r="AN19" s="3821"/>
      <c r="AO19" s="3821"/>
      <c r="AP19" s="3821"/>
      <c r="AQ19" s="3821"/>
      <c r="AR19" s="3821"/>
      <c r="AS19" s="1534">
        <f t="shared" si="3"/>
        <v>0</v>
      </c>
      <c r="AT19" s="1535">
        <f t="shared" si="1"/>
        <v>30</v>
      </c>
    </row>
    <row r="20" spans="1:46" s="3824" customFormat="1">
      <c r="A20" s="1476">
        <v>6</v>
      </c>
      <c r="B20" s="1462"/>
      <c r="C20" s="1476" t="s">
        <v>638</v>
      </c>
      <c r="D20" s="3400" t="s">
        <v>142</v>
      </c>
      <c r="E20" s="3400" t="s">
        <v>142</v>
      </c>
      <c r="F20" s="3400" t="s">
        <v>142</v>
      </c>
      <c r="G20" s="3400" t="s">
        <v>142</v>
      </c>
      <c r="H20" s="3400" t="s">
        <v>142</v>
      </c>
      <c r="I20" s="3400" t="s">
        <v>142</v>
      </c>
      <c r="J20" s="3400" t="s">
        <v>142</v>
      </c>
      <c r="K20" s="3400" t="s">
        <v>142</v>
      </c>
      <c r="L20" s="3400" t="s">
        <v>142</v>
      </c>
      <c r="M20" s="3400" t="s">
        <v>142</v>
      </c>
      <c r="N20" s="3400" t="s">
        <v>142</v>
      </c>
      <c r="O20" s="3400" t="s">
        <v>142</v>
      </c>
      <c r="P20" s="3400" t="s">
        <v>142</v>
      </c>
      <c r="Q20" s="3400" t="s">
        <v>142</v>
      </c>
      <c r="R20" s="3400" t="s">
        <v>142</v>
      </c>
      <c r="S20" s="3400" t="s">
        <v>142</v>
      </c>
      <c r="T20" s="3400" t="s">
        <v>142</v>
      </c>
      <c r="U20" s="3400" t="s">
        <v>142</v>
      </c>
      <c r="V20" s="3400" t="s">
        <v>142</v>
      </c>
      <c r="W20" s="3400" t="s">
        <v>142</v>
      </c>
      <c r="X20" s="3400" t="s">
        <v>142</v>
      </c>
      <c r="Y20" s="3400" t="s">
        <v>142</v>
      </c>
      <c r="Z20" s="3400" t="s">
        <v>142</v>
      </c>
      <c r="AA20" s="3400" t="s">
        <v>142</v>
      </c>
      <c r="AB20" s="3400" t="s">
        <v>142</v>
      </c>
      <c r="AC20" s="3400" t="s">
        <v>142</v>
      </c>
      <c r="AD20" s="3400" t="s">
        <v>142</v>
      </c>
      <c r="AE20" s="3400" t="s">
        <v>142</v>
      </c>
      <c r="AF20" s="3400" t="s">
        <v>142</v>
      </c>
      <c r="AG20" s="3400" t="s">
        <v>142</v>
      </c>
      <c r="AH20" s="3400"/>
      <c r="AI20" s="1466">
        <f t="shared" si="2"/>
        <v>30</v>
      </c>
      <c r="AJ20" s="1476"/>
      <c r="AK20" s="1476"/>
      <c r="AL20" s="1476"/>
      <c r="AM20" s="1476"/>
      <c r="AN20" s="1476"/>
      <c r="AO20" s="1476"/>
      <c r="AP20" s="1476"/>
      <c r="AQ20" s="1476"/>
      <c r="AR20" s="1476"/>
      <c r="AS20" s="1534">
        <f t="shared" si="3"/>
        <v>0</v>
      </c>
      <c r="AT20" s="1535">
        <f t="shared" si="1"/>
        <v>30</v>
      </c>
    </row>
    <row r="21" spans="1:46">
      <c r="A21" s="1476">
        <v>7</v>
      </c>
      <c r="B21" s="3820"/>
      <c r="C21" s="1476" t="s">
        <v>1859</v>
      </c>
      <c r="D21" s="3400" t="s">
        <v>142</v>
      </c>
      <c r="E21" s="3400" t="s">
        <v>142</v>
      </c>
      <c r="F21" s="3400" t="s">
        <v>142</v>
      </c>
      <c r="G21" s="3400" t="s">
        <v>142</v>
      </c>
      <c r="H21" s="3400" t="s">
        <v>142</v>
      </c>
      <c r="I21" s="3400" t="s">
        <v>142</v>
      </c>
      <c r="J21" s="3400" t="s">
        <v>142</v>
      </c>
      <c r="K21" s="3400" t="s">
        <v>142</v>
      </c>
      <c r="L21" s="3400" t="s">
        <v>142</v>
      </c>
      <c r="M21" s="3400" t="s">
        <v>142</v>
      </c>
      <c r="N21" s="3400" t="s">
        <v>142</v>
      </c>
      <c r="O21" s="3400" t="s">
        <v>142</v>
      </c>
      <c r="P21" s="3400" t="s">
        <v>142</v>
      </c>
      <c r="Q21" s="3400" t="s">
        <v>142</v>
      </c>
      <c r="R21" s="3400" t="s">
        <v>142</v>
      </c>
      <c r="S21" s="3400" t="s">
        <v>142</v>
      </c>
      <c r="T21" s="3400" t="s">
        <v>142</v>
      </c>
      <c r="U21" s="3400" t="s">
        <v>142</v>
      </c>
      <c r="V21" s="3400" t="s">
        <v>142</v>
      </c>
      <c r="W21" s="3400" t="s">
        <v>142</v>
      </c>
      <c r="X21" s="3400" t="s">
        <v>142</v>
      </c>
      <c r="Y21" s="3400" t="s">
        <v>142</v>
      </c>
      <c r="Z21" s="3400" t="s">
        <v>142</v>
      </c>
      <c r="AA21" s="3400" t="s">
        <v>142</v>
      </c>
      <c r="AB21" s="3400" t="s">
        <v>142</v>
      </c>
      <c r="AC21" s="3400" t="s">
        <v>142</v>
      </c>
      <c r="AD21" s="3400" t="s">
        <v>142</v>
      </c>
      <c r="AE21" s="3400" t="s">
        <v>142</v>
      </c>
      <c r="AF21" s="3400" t="s">
        <v>142</v>
      </c>
      <c r="AG21" s="3400" t="s">
        <v>142</v>
      </c>
      <c r="AH21" s="3400"/>
      <c r="AI21" s="1534">
        <f t="shared" si="2"/>
        <v>30</v>
      </c>
      <c r="AJ21" s="3821"/>
      <c r="AK21" s="3821"/>
      <c r="AL21" s="3821"/>
      <c r="AM21" s="3821"/>
      <c r="AN21" s="3821"/>
      <c r="AO21" s="3821"/>
      <c r="AP21" s="3821"/>
      <c r="AQ21" s="3821"/>
      <c r="AR21" s="3821"/>
      <c r="AS21" s="1534">
        <f t="shared" si="3"/>
        <v>0</v>
      </c>
      <c r="AT21" s="1535">
        <f t="shared" si="1"/>
        <v>30</v>
      </c>
    </row>
    <row r="22" spans="1:46">
      <c r="A22" s="4504" t="s">
        <v>910</v>
      </c>
      <c r="B22" s="4504"/>
      <c r="C22" s="4504"/>
      <c r="D22" s="1468"/>
      <c r="E22" s="1468"/>
      <c r="F22" s="1468"/>
      <c r="G22" s="1468"/>
      <c r="H22" s="1468"/>
      <c r="I22" s="1468"/>
      <c r="J22" s="1468"/>
      <c r="K22" s="1468"/>
      <c r="L22" s="1468"/>
      <c r="M22" s="1468"/>
      <c r="N22" s="1468"/>
      <c r="O22" s="1468"/>
      <c r="P22" s="1468"/>
      <c r="Q22" s="1468"/>
      <c r="R22" s="1468"/>
      <c r="S22" s="1468"/>
      <c r="T22" s="1468"/>
      <c r="U22" s="1468"/>
      <c r="V22" s="1468"/>
      <c r="W22" s="1468"/>
      <c r="X22" s="1468"/>
      <c r="Y22" s="1468"/>
      <c r="Z22" s="1468"/>
      <c r="AA22" s="1468"/>
      <c r="AB22" s="1468"/>
      <c r="AC22" s="1468"/>
      <c r="AD22" s="1468"/>
      <c r="AE22" s="1468"/>
      <c r="AF22" s="1468"/>
      <c r="AG22" s="1468"/>
      <c r="AH22" s="1468"/>
      <c r="AI22" s="1468">
        <f t="shared" ref="AI22:AT22" si="4">SUM(AI15:AI21)</f>
        <v>210</v>
      </c>
      <c r="AJ22" s="1468">
        <f t="shared" si="4"/>
        <v>0</v>
      </c>
      <c r="AK22" s="1468">
        <f t="shared" si="4"/>
        <v>0</v>
      </c>
      <c r="AL22" s="1468">
        <f t="shared" si="4"/>
        <v>0</v>
      </c>
      <c r="AM22" s="1468">
        <f t="shared" si="4"/>
        <v>0</v>
      </c>
      <c r="AN22" s="1468">
        <f t="shared" si="4"/>
        <v>0</v>
      </c>
      <c r="AO22" s="1468">
        <f t="shared" si="4"/>
        <v>0</v>
      </c>
      <c r="AP22" s="1468">
        <f t="shared" si="4"/>
        <v>0</v>
      </c>
      <c r="AQ22" s="1468">
        <f t="shared" si="4"/>
        <v>0</v>
      </c>
      <c r="AR22" s="1468">
        <f t="shared" si="4"/>
        <v>0</v>
      </c>
      <c r="AS22" s="1468">
        <f t="shared" si="4"/>
        <v>0</v>
      </c>
      <c r="AT22" s="1468">
        <f t="shared" si="4"/>
        <v>210</v>
      </c>
    </row>
    <row r="23" spans="1:46">
      <c r="A23" s="1473" t="s">
        <v>634</v>
      </c>
      <c r="AA23" s="2407"/>
      <c r="AB23" s="2407"/>
      <c r="AC23" s="2407" t="s">
        <v>1803</v>
      </c>
      <c r="AF23" s="2407"/>
      <c r="AH23" s="2407"/>
      <c r="AI23" s="2407"/>
    </row>
    <row r="24" spans="1:46" ht="23.25" customHeight="1">
      <c r="A24" s="3390" t="s">
        <v>142</v>
      </c>
      <c r="B24" s="1458" t="s">
        <v>166</v>
      </c>
      <c r="C24" s="1458" t="s">
        <v>1743</v>
      </c>
      <c r="G24" s="1469" t="s">
        <v>44</v>
      </c>
      <c r="M24" s="1469"/>
      <c r="N24" s="1469"/>
      <c r="O24" s="1469"/>
      <c r="P24" s="1469"/>
      <c r="Q24" s="1469"/>
      <c r="R24" s="1469"/>
      <c r="S24" s="1469"/>
      <c r="T24" s="1469"/>
      <c r="U24" s="1469"/>
      <c r="V24" s="1469"/>
      <c r="W24" s="1469"/>
      <c r="X24" s="1469"/>
      <c r="Y24" s="1469"/>
      <c r="Z24" s="1469"/>
      <c r="AA24" s="1469"/>
      <c r="AB24" s="1469"/>
      <c r="AC24" s="1469"/>
      <c r="AE24" s="1469" t="s">
        <v>615</v>
      </c>
      <c r="AG24" s="1469"/>
    </row>
    <row r="25" spans="1:46" ht="18.75" customHeight="1">
      <c r="A25" s="3390" t="s">
        <v>1707</v>
      </c>
      <c r="B25" s="1471"/>
      <c r="C25" s="1458" t="s">
        <v>1709</v>
      </c>
    </row>
    <row r="26" spans="1:46" ht="15.75">
      <c r="A26" s="3423" t="s">
        <v>1860</v>
      </c>
      <c r="C26" s="1458" t="s">
        <v>1861</v>
      </c>
      <c r="Z26" s="4505"/>
      <c r="AA26" s="4505"/>
      <c r="AB26" s="4505"/>
      <c r="AC26" s="4505"/>
      <c r="AD26" s="4505"/>
      <c r="AE26" s="4505"/>
      <c r="AF26" s="4505"/>
      <c r="AG26" s="4505"/>
      <c r="AH26" s="4505"/>
      <c r="AI26" s="4505"/>
    </row>
    <row r="27" spans="1:46">
      <c r="B27" s="3950"/>
      <c r="C27" s="3950"/>
      <c r="AA27" s="4501"/>
      <c r="AB27" s="4501"/>
      <c r="AC27" s="4501"/>
      <c r="AD27" s="4501"/>
      <c r="AE27" s="4501"/>
      <c r="AF27" s="4501"/>
      <c r="AG27" s="4501"/>
      <c r="AH27" s="4501"/>
      <c r="AI27" s="4501"/>
    </row>
    <row r="28" spans="1:46" s="1472" customFormat="1" ht="14.25">
      <c r="K28" s="3950"/>
      <c r="L28" s="3950"/>
      <c r="M28" s="3950"/>
      <c r="N28" s="3950"/>
      <c r="O28" s="3950"/>
      <c r="P28" s="3950"/>
      <c r="Q28" s="3950"/>
      <c r="R28" s="3950"/>
      <c r="S28" s="3950"/>
      <c r="T28" s="3950"/>
      <c r="AC28" s="3950"/>
      <c r="AD28" s="3950"/>
      <c r="AE28" s="3950"/>
      <c r="AF28" s="3950"/>
      <c r="AG28" s="3950"/>
      <c r="AH28" s="3950"/>
      <c r="AI28" s="3950"/>
    </row>
    <row r="29" spans="1:46">
      <c r="B29" s="4502"/>
      <c r="C29" s="4501"/>
      <c r="K29" s="4502"/>
      <c r="L29" s="4502"/>
      <c r="M29" s="4502"/>
      <c r="N29" s="4502"/>
      <c r="O29" s="4502"/>
      <c r="P29" s="4502"/>
      <c r="Q29" s="4502"/>
      <c r="R29" s="4502"/>
      <c r="S29" s="4502"/>
      <c r="T29" s="4502"/>
      <c r="AC29" s="4502"/>
      <c r="AD29" s="4502"/>
      <c r="AE29" s="4502"/>
      <c r="AF29" s="4502"/>
      <c r="AG29" s="4502"/>
      <c r="AH29" s="4502"/>
      <c r="AI29" s="4502"/>
    </row>
  </sheetData>
  <mergeCells count="25">
    <mergeCell ref="W7:AI7"/>
    <mergeCell ref="A1:AT1"/>
    <mergeCell ref="A2:AT2"/>
    <mergeCell ref="A3:AT3"/>
    <mergeCell ref="A5:O5"/>
    <mergeCell ref="A6:O6"/>
    <mergeCell ref="A8:F8"/>
    <mergeCell ref="W8:AI8"/>
    <mergeCell ref="D10:AH10"/>
    <mergeCell ref="D11:AH11"/>
    <mergeCell ref="A13:A14"/>
    <mergeCell ref="B13:B14"/>
    <mergeCell ref="C13:C14"/>
    <mergeCell ref="AI13:AI14"/>
    <mergeCell ref="AS13:AS14"/>
    <mergeCell ref="AT13:AT14"/>
    <mergeCell ref="A22:C22"/>
    <mergeCell ref="Z26:AI26"/>
    <mergeCell ref="B27:C27"/>
    <mergeCell ref="AA27:AI27"/>
    <mergeCell ref="K28:T28"/>
    <mergeCell ref="AC28:AI28"/>
    <mergeCell ref="B29:C29"/>
    <mergeCell ref="K29:T29"/>
    <mergeCell ref="AC29:AI29"/>
  </mergeCells>
  <conditionalFormatting sqref="AL7:AR8">
    <cfRule type="expression" dxfId="1" priority="1" stopIfTrue="1">
      <formula>#REF!=""</formula>
    </cfRule>
  </conditionalFormatting>
  <pageMargins left="0.19685039370078741" right="0.19685039370078741" top="0.39370078740157483" bottom="0.39370078740157483" header="0.31496062992125984" footer="0.31496062992125984"/>
  <pageSetup paperSize="9" scale="85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AT23"/>
  <sheetViews>
    <sheetView workbookViewId="0">
      <selection activeCell="Y20" sqref="Y20"/>
    </sheetView>
  </sheetViews>
  <sheetFormatPr defaultRowHeight="15"/>
  <cols>
    <col min="1" max="1" width="3" style="1458" customWidth="1"/>
    <col min="2" max="2" width="2.375" style="1458" hidden="1" customWidth="1"/>
    <col min="3" max="3" width="21.5" style="1458" customWidth="1"/>
    <col min="4" max="31" width="3.625" style="1458" customWidth="1"/>
    <col min="32" max="32" width="2.875" style="1458" customWidth="1"/>
    <col min="33" max="33" width="3.375" style="1458" customWidth="1"/>
    <col min="34" max="34" width="3.25" style="1458" customWidth="1"/>
    <col min="35" max="35" width="6" style="1458" customWidth="1"/>
    <col min="36" max="42" width="0" style="1458" hidden="1" customWidth="1"/>
    <col min="43" max="43" width="6.875" style="1458" hidden="1" customWidth="1"/>
    <col min="44" max="44" width="3.125" style="1458" hidden="1" customWidth="1"/>
    <col min="45" max="46" width="5.625" style="1458" customWidth="1"/>
    <col min="47" max="256" width="9" style="1458"/>
    <col min="257" max="257" width="9" style="1458" customWidth="1"/>
    <col min="258" max="258" width="24" style="1458" customWidth="1"/>
    <col min="259" max="289" width="4.25" style="1458" customWidth="1"/>
    <col min="290" max="290" width="9.25" style="1458" customWidth="1"/>
    <col min="291" max="300" width="0" style="1458" hidden="1" customWidth="1"/>
    <col min="301" max="512" width="9" style="1458"/>
    <col min="513" max="513" width="9" style="1458" customWidth="1"/>
    <col min="514" max="514" width="24" style="1458" customWidth="1"/>
    <col min="515" max="545" width="4.25" style="1458" customWidth="1"/>
    <col min="546" max="546" width="9.25" style="1458" customWidth="1"/>
    <col min="547" max="556" width="0" style="1458" hidden="1" customWidth="1"/>
    <col min="557" max="768" width="9" style="1458"/>
    <col min="769" max="769" width="9" style="1458" customWidth="1"/>
    <col min="770" max="770" width="24" style="1458" customWidth="1"/>
    <col min="771" max="801" width="4.25" style="1458" customWidth="1"/>
    <col min="802" max="802" width="9.25" style="1458" customWidth="1"/>
    <col min="803" max="812" width="0" style="1458" hidden="1" customWidth="1"/>
    <col min="813" max="1024" width="9" style="1458"/>
    <col min="1025" max="1025" width="9" style="1458" customWidth="1"/>
    <col min="1026" max="1026" width="24" style="1458" customWidth="1"/>
    <col min="1027" max="1057" width="4.25" style="1458" customWidth="1"/>
    <col min="1058" max="1058" width="9.25" style="1458" customWidth="1"/>
    <col min="1059" max="1068" width="0" style="1458" hidden="1" customWidth="1"/>
    <col min="1069" max="1280" width="9" style="1458"/>
    <col min="1281" max="1281" width="9" style="1458" customWidth="1"/>
    <col min="1282" max="1282" width="24" style="1458" customWidth="1"/>
    <col min="1283" max="1313" width="4.25" style="1458" customWidth="1"/>
    <col min="1314" max="1314" width="9.25" style="1458" customWidth="1"/>
    <col min="1315" max="1324" width="0" style="1458" hidden="1" customWidth="1"/>
    <col min="1325" max="1536" width="9" style="1458"/>
    <col min="1537" max="1537" width="9" style="1458" customWidth="1"/>
    <col min="1538" max="1538" width="24" style="1458" customWidth="1"/>
    <col min="1539" max="1569" width="4.25" style="1458" customWidth="1"/>
    <col min="1570" max="1570" width="9.25" style="1458" customWidth="1"/>
    <col min="1571" max="1580" width="0" style="1458" hidden="1" customWidth="1"/>
    <col min="1581" max="1792" width="9" style="1458"/>
    <col min="1793" max="1793" width="9" style="1458" customWidth="1"/>
    <col min="1794" max="1794" width="24" style="1458" customWidth="1"/>
    <col min="1795" max="1825" width="4.25" style="1458" customWidth="1"/>
    <col min="1826" max="1826" width="9.25" style="1458" customWidth="1"/>
    <col min="1827" max="1836" width="0" style="1458" hidden="1" customWidth="1"/>
    <col min="1837" max="2048" width="9" style="1458"/>
    <col min="2049" max="2049" width="9" style="1458" customWidth="1"/>
    <col min="2050" max="2050" width="24" style="1458" customWidth="1"/>
    <col min="2051" max="2081" width="4.25" style="1458" customWidth="1"/>
    <col min="2082" max="2082" width="9.25" style="1458" customWidth="1"/>
    <col min="2083" max="2092" width="0" style="1458" hidden="1" customWidth="1"/>
    <col min="2093" max="2304" width="9" style="1458"/>
    <col min="2305" max="2305" width="9" style="1458" customWidth="1"/>
    <col min="2306" max="2306" width="24" style="1458" customWidth="1"/>
    <col min="2307" max="2337" width="4.25" style="1458" customWidth="1"/>
    <col min="2338" max="2338" width="9.25" style="1458" customWidth="1"/>
    <col min="2339" max="2348" width="0" style="1458" hidden="1" customWidth="1"/>
    <col min="2349" max="2560" width="9" style="1458"/>
    <col min="2561" max="2561" width="9" style="1458" customWidth="1"/>
    <col min="2562" max="2562" width="24" style="1458" customWidth="1"/>
    <col min="2563" max="2593" width="4.25" style="1458" customWidth="1"/>
    <col min="2594" max="2594" width="9.25" style="1458" customWidth="1"/>
    <col min="2595" max="2604" width="0" style="1458" hidden="1" customWidth="1"/>
    <col min="2605" max="2816" width="9" style="1458"/>
    <col min="2817" max="2817" width="9" style="1458" customWidth="1"/>
    <col min="2818" max="2818" width="24" style="1458" customWidth="1"/>
    <col min="2819" max="2849" width="4.25" style="1458" customWidth="1"/>
    <col min="2850" max="2850" width="9.25" style="1458" customWidth="1"/>
    <col min="2851" max="2860" width="0" style="1458" hidden="1" customWidth="1"/>
    <col min="2861" max="3072" width="9" style="1458"/>
    <col min="3073" max="3073" width="9" style="1458" customWidth="1"/>
    <col min="3074" max="3074" width="24" style="1458" customWidth="1"/>
    <col min="3075" max="3105" width="4.25" style="1458" customWidth="1"/>
    <col min="3106" max="3106" width="9.25" style="1458" customWidth="1"/>
    <col min="3107" max="3116" width="0" style="1458" hidden="1" customWidth="1"/>
    <col min="3117" max="3328" width="9" style="1458"/>
    <col min="3329" max="3329" width="9" style="1458" customWidth="1"/>
    <col min="3330" max="3330" width="24" style="1458" customWidth="1"/>
    <col min="3331" max="3361" width="4.25" style="1458" customWidth="1"/>
    <col min="3362" max="3362" width="9.25" style="1458" customWidth="1"/>
    <col min="3363" max="3372" width="0" style="1458" hidden="1" customWidth="1"/>
    <col min="3373" max="3584" width="9" style="1458"/>
    <col min="3585" max="3585" width="9" style="1458" customWidth="1"/>
    <col min="3586" max="3586" width="24" style="1458" customWidth="1"/>
    <col min="3587" max="3617" width="4.25" style="1458" customWidth="1"/>
    <col min="3618" max="3618" width="9.25" style="1458" customWidth="1"/>
    <col min="3619" max="3628" width="0" style="1458" hidden="1" customWidth="1"/>
    <col min="3629" max="3840" width="9" style="1458"/>
    <col min="3841" max="3841" width="9" style="1458" customWidth="1"/>
    <col min="3842" max="3842" width="24" style="1458" customWidth="1"/>
    <col min="3843" max="3873" width="4.25" style="1458" customWidth="1"/>
    <col min="3874" max="3874" width="9.25" style="1458" customWidth="1"/>
    <col min="3875" max="3884" width="0" style="1458" hidden="1" customWidth="1"/>
    <col min="3885" max="4096" width="9" style="1458"/>
    <col min="4097" max="4097" width="9" style="1458" customWidth="1"/>
    <col min="4098" max="4098" width="24" style="1458" customWidth="1"/>
    <col min="4099" max="4129" width="4.25" style="1458" customWidth="1"/>
    <col min="4130" max="4130" width="9.25" style="1458" customWidth="1"/>
    <col min="4131" max="4140" width="0" style="1458" hidden="1" customWidth="1"/>
    <col min="4141" max="4352" width="9" style="1458"/>
    <col min="4353" max="4353" width="9" style="1458" customWidth="1"/>
    <col min="4354" max="4354" width="24" style="1458" customWidth="1"/>
    <col min="4355" max="4385" width="4.25" style="1458" customWidth="1"/>
    <col min="4386" max="4386" width="9.25" style="1458" customWidth="1"/>
    <col min="4387" max="4396" width="0" style="1458" hidden="1" customWidth="1"/>
    <col min="4397" max="4608" width="9" style="1458"/>
    <col min="4609" max="4609" width="9" style="1458" customWidth="1"/>
    <col min="4610" max="4610" width="24" style="1458" customWidth="1"/>
    <col min="4611" max="4641" width="4.25" style="1458" customWidth="1"/>
    <col min="4642" max="4642" width="9.25" style="1458" customWidth="1"/>
    <col min="4643" max="4652" width="0" style="1458" hidden="1" customWidth="1"/>
    <col min="4653" max="4864" width="9" style="1458"/>
    <col min="4865" max="4865" width="9" style="1458" customWidth="1"/>
    <col min="4866" max="4866" width="24" style="1458" customWidth="1"/>
    <col min="4867" max="4897" width="4.25" style="1458" customWidth="1"/>
    <col min="4898" max="4898" width="9.25" style="1458" customWidth="1"/>
    <col min="4899" max="4908" width="0" style="1458" hidden="1" customWidth="1"/>
    <col min="4909" max="5120" width="9" style="1458"/>
    <col min="5121" max="5121" width="9" style="1458" customWidth="1"/>
    <col min="5122" max="5122" width="24" style="1458" customWidth="1"/>
    <col min="5123" max="5153" width="4.25" style="1458" customWidth="1"/>
    <col min="5154" max="5154" width="9.25" style="1458" customWidth="1"/>
    <col min="5155" max="5164" width="0" style="1458" hidden="1" customWidth="1"/>
    <col min="5165" max="5376" width="9" style="1458"/>
    <col min="5377" max="5377" width="9" style="1458" customWidth="1"/>
    <col min="5378" max="5378" width="24" style="1458" customWidth="1"/>
    <col min="5379" max="5409" width="4.25" style="1458" customWidth="1"/>
    <col min="5410" max="5410" width="9.25" style="1458" customWidth="1"/>
    <col min="5411" max="5420" width="0" style="1458" hidden="1" customWidth="1"/>
    <col min="5421" max="5632" width="9" style="1458"/>
    <col min="5633" max="5633" width="9" style="1458" customWidth="1"/>
    <col min="5634" max="5634" width="24" style="1458" customWidth="1"/>
    <col min="5635" max="5665" width="4.25" style="1458" customWidth="1"/>
    <col min="5666" max="5666" width="9.25" style="1458" customWidth="1"/>
    <col min="5667" max="5676" width="0" style="1458" hidden="1" customWidth="1"/>
    <col min="5677" max="5888" width="9" style="1458"/>
    <col min="5889" max="5889" width="9" style="1458" customWidth="1"/>
    <col min="5890" max="5890" width="24" style="1458" customWidth="1"/>
    <col min="5891" max="5921" width="4.25" style="1458" customWidth="1"/>
    <col min="5922" max="5922" width="9.25" style="1458" customWidth="1"/>
    <col min="5923" max="5932" width="0" style="1458" hidden="1" customWidth="1"/>
    <col min="5933" max="6144" width="9" style="1458"/>
    <col min="6145" max="6145" width="9" style="1458" customWidth="1"/>
    <col min="6146" max="6146" width="24" style="1458" customWidth="1"/>
    <col min="6147" max="6177" width="4.25" style="1458" customWidth="1"/>
    <col min="6178" max="6178" width="9.25" style="1458" customWidth="1"/>
    <col min="6179" max="6188" width="0" style="1458" hidden="1" customWidth="1"/>
    <col min="6189" max="6400" width="9" style="1458"/>
    <col min="6401" max="6401" width="9" style="1458" customWidth="1"/>
    <col min="6402" max="6402" width="24" style="1458" customWidth="1"/>
    <col min="6403" max="6433" width="4.25" style="1458" customWidth="1"/>
    <col min="6434" max="6434" width="9.25" style="1458" customWidth="1"/>
    <col min="6435" max="6444" width="0" style="1458" hidden="1" customWidth="1"/>
    <col min="6445" max="6656" width="9" style="1458"/>
    <col min="6657" max="6657" width="9" style="1458" customWidth="1"/>
    <col min="6658" max="6658" width="24" style="1458" customWidth="1"/>
    <col min="6659" max="6689" width="4.25" style="1458" customWidth="1"/>
    <col min="6690" max="6690" width="9.25" style="1458" customWidth="1"/>
    <col min="6691" max="6700" width="0" style="1458" hidden="1" customWidth="1"/>
    <col min="6701" max="6912" width="9" style="1458"/>
    <col min="6913" max="6913" width="9" style="1458" customWidth="1"/>
    <col min="6914" max="6914" width="24" style="1458" customWidth="1"/>
    <col min="6915" max="6945" width="4.25" style="1458" customWidth="1"/>
    <col min="6946" max="6946" width="9.25" style="1458" customWidth="1"/>
    <col min="6947" max="6956" width="0" style="1458" hidden="1" customWidth="1"/>
    <col min="6957" max="7168" width="9" style="1458"/>
    <col min="7169" max="7169" width="9" style="1458" customWidth="1"/>
    <col min="7170" max="7170" width="24" style="1458" customWidth="1"/>
    <col min="7171" max="7201" width="4.25" style="1458" customWidth="1"/>
    <col min="7202" max="7202" width="9.25" style="1458" customWidth="1"/>
    <col min="7203" max="7212" width="0" style="1458" hidden="1" customWidth="1"/>
    <col min="7213" max="7424" width="9" style="1458"/>
    <col min="7425" max="7425" width="9" style="1458" customWidth="1"/>
    <col min="7426" max="7426" width="24" style="1458" customWidth="1"/>
    <col min="7427" max="7457" width="4.25" style="1458" customWidth="1"/>
    <col min="7458" max="7458" width="9.25" style="1458" customWidth="1"/>
    <col min="7459" max="7468" width="0" style="1458" hidden="1" customWidth="1"/>
    <col min="7469" max="7680" width="9" style="1458"/>
    <col min="7681" max="7681" width="9" style="1458" customWidth="1"/>
    <col min="7682" max="7682" width="24" style="1458" customWidth="1"/>
    <col min="7683" max="7713" width="4.25" style="1458" customWidth="1"/>
    <col min="7714" max="7714" width="9.25" style="1458" customWidth="1"/>
    <col min="7715" max="7724" width="0" style="1458" hidden="1" customWidth="1"/>
    <col min="7725" max="7936" width="9" style="1458"/>
    <col min="7937" max="7937" width="9" style="1458" customWidth="1"/>
    <col min="7938" max="7938" width="24" style="1458" customWidth="1"/>
    <col min="7939" max="7969" width="4.25" style="1458" customWidth="1"/>
    <col min="7970" max="7970" width="9.25" style="1458" customWidth="1"/>
    <col min="7971" max="7980" width="0" style="1458" hidden="1" customWidth="1"/>
    <col min="7981" max="8192" width="9" style="1458"/>
    <col min="8193" max="8193" width="9" style="1458" customWidth="1"/>
    <col min="8194" max="8194" width="24" style="1458" customWidth="1"/>
    <col min="8195" max="8225" width="4.25" style="1458" customWidth="1"/>
    <col min="8226" max="8226" width="9.25" style="1458" customWidth="1"/>
    <col min="8227" max="8236" width="0" style="1458" hidden="1" customWidth="1"/>
    <col min="8237" max="8448" width="9" style="1458"/>
    <col min="8449" max="8449" width="9" style="1458" customWidth="1"/>
    <col min="8450" max="8450" width="24" style="1458" customWidth="1"/>
    <col min="8451" max="8481" width="4.25" style="1458" customWidth="1"/>
    <col min="8482" max="8482" width="9.25" style="1458" customWidth="1"/>
    <col min="8483" max="8492" width="0" style="1458" hidden="1" customWidth="1"/>
    <col min="8493" max="8704" width="9" style="1458"/>
    <col min="8705" max="8705" width="9" style="1458" customWidth="1"/>
    <col min="8706" max="8706" width="24" style="1458" customWidth="1"/>
    <col min="8707" max="8737" width="4.25" style="1458" customWidth="1"/>
    <col min="8738" max="8738" width="9.25" style="1458" customWidth="1"/>
    <col min="8739" max="8748" width="0" style="1458" hidden="1" customWidth="1"/>
    <col min="8749" max="8960" width="9" style="1458"/>
    <col min="8961" max="8961" width="9" style="1458" customWidth="1"/>
    <col min="8962" max="8962" width="24" style="1458" customWidth="1"/>
    <col min="8963" max="8993" width="4.25" style="1458" customWidth="1"/>
    <col min="8994" max="8994" width="9.25" style="1458" customWidth="1"/>
    <col min="8995" max="9004" width="0" style="1458" hidden="1" customWidth="1"/>
    <col min="9005" max="9216" width="9" style="1458"/>
    <col min="9217" max="9217" width="9" style="1458" customWidth="1"/>
    <col min="9218" max="9218" width="24" style="1458" customWidth="1"/>
    <col min="9219" max="9249" width="4.25" style="1458" customWidth="1"/>
    <col min="9250" max="9250" width="9.25" style="1458" customWidth="1"/>
    <col min="9251" max="9260" width="0" style="1458" hidden="1" customWidth="1"/>
    <col min="9261" max="9472" width="9" style="1458"/>
    <col min="9473" max="9473" width="9" style="1458" customWidth="1"/>
    <col min="9474" max="9474" width="24" style="1458" customWidth="1"/>
    <col min="9475" max="9505" width="4.25" style="1458" customWidth="1"/>
    <col min="9506" max="9506" width="9.25" style="1458" customWidth="1"/>
    <col min="9507" max="9516" width="0" style="1458" hidden="1" customWidth="1"/>
    <col min="9517" max="9728" width="9" style="1458"/>
    <col min="9729" max="9729" width="9" style="1458" customWidth="1"/>
    <col min="9730" max="9730" width="24" style="1458" customWidth="1"/>
    <col min="9731" max="9761" width="4.25" style="1458" customWidth="1"/>
    <col min="9762" max="9762" width="9.25" style="1458" customWidth="1"/>
    <col min="9763" max="9772" width="0" style="1458" hidden="1" customWidth="1"/>
    <col min="9773" max="9984" width="9" style="1458"/>
    <col min="9985" max="9985" width="9" style="1458" customWidth="1"/>
    <col min="9986" max="9986" width="24" style="1458" customWidth="1"/>
    <col min="9987" max="10017" width="4.25" style="1458" customWidth="1"/>
    <col min="10018" max="10018" width="9.25" style="1458" customWidth="1"/>
    <col min="10019" max="10028" width="0" style="1458" hidden="1" customWidth="1"/>
    <col min="10029" max="10240" width="9" style="1458"/>
    <col min="10241" max="10241" width="9" style="1458" customWidth="1"/>
    <col min="10242" max="10242" width="24" style="1458" customWidth="1"/>
    <col min="10243" max="10273" width="4.25" style="1458" customWidth="1"/>
    <col min="10274" max="10274" width="9.25" style="1458" customWidth="1"/>
    <col min="10275" max="10284" width="0" style="1458" hidden="1" customWidth="1"/>
    <col min="10285" max="10496" width="9" style="1458"/>
    <col min="10497" max="10497" width="9" style="1458" customWidth="1"/>
    <col min="10498" max="10498" width="24" style="1458" customWidth="1"/>
    <col min="10499" max="10529" width="4.25" style="1458" customWidth="1"/>
    <col min="10530" max="10530" width="9.25" style="1458" customWidth="1"/>
    <col min="10531" max="10540" width="0" style="1458" hidden="1" customWidth="1"/>
    <col min="10541" max="10752" width="9" style="1458"/>
    <col min="10753" max="10753" width="9" style="1458" customWidth="1"/>
    <col min="10754" max="10754" width="24" style="1458" customWidth="1"/>
    <col min="10755" max="10785" width="4.25" style="1458" customWidth="1"/>
    <col min="10786" max="10786" width="9.25" style="1458" customWidth="1"/>
    <col min="10787" max="10796" width="0" style="1458" hidden="1" customWidth="1"/>
    <col min="10797" max="11008" width="9" style="1458"/>
    <col min="11009" max="11009" width="9" style="1458" customWidth="1"/>
    <col min="11010" max="11010" width="24" style="1458" customWidth="1"/>
    <col min="11011" max="11041" width="4.25" style="1458" customWidth="1"/>
    <col min="11042" max="11042" width="9.25" style="1458" customWidth="1"/>
    <col min="11043" max="11052" width="0" style="1458" hidden="1" customWidth="1"/>
    <col min="11053" max="11264" width="9" style="1458"/>
    <col min="11265" max="11265" width="9" style="1458" customWidth="1"/>
    <col min="11266" max="11266" width="24" style="1458" customWidth="1"/>
    <col min="11267" max="11297" width="4.25" style="1458" customWidth="1"/>
    <col min="11298" max="11298" width="9.25" style="1458" customWidth="1"/>
    <col min="11299" max="11308" width="0" style="1458" hidden="1" customWidth="1"/>
    <col min="11309" max="11520" width="9" style="1458"/>
    <col min="11521" max="11521" width="9" style="1458" customWidth="1"/>
    <col min="11522" max="11522" width="24" style="1458" customWidth="1"/>
    <col min="11523" max="11553" width="4.25" style="1458" customWidth="1"/>
    <col min="11554" max="11554" width="9.25" style="1458" customWidth="1"/>
    <col min="11555" max="11564" width="0" style="1458" hidden="1" customWidth="1"/>
    <col min="11565" max="11776" width="9" style="1458"/>
    <col min="11777" max="11777" width="9" style="1458" customWidth="1"/>
    <col min="11778" max="11778" width="24" style="1458" customWidth="1"/>
    <col min="11779" max="11809" width="4.25" style="1458" customWidth="1"/>
    <col min="11810" max="11810" width="9.25" style="1458" customWidth="1"/>
    <col min="11811" max="11820" width="0" style="1458" hidden="1" customWidth="1"/>
    <col min="11821" max="12032" width="9" style="1458"/>
    <col min="12033" max="12033" width="9" style="1458" customWidth="1"/>
    <col min="12034" max="12034" width="24" style="1458" customWidth="1"/>
    <col min="12035" max="12065" width="4.25" style="1458" customWidth="1"/>
    <col min="12066" max="12066" width="9.25" style="1458" customWidth="1"/>
    <col min="12067" max="12076" width="0" style="1458" hidden="1" customWidth="1"/>
    <col min="12077" max="12288" width="9" style="1458"/>
    <col min="12289" max="12289" width="9" style="1458" customWidth="1"/>
    <col min="12290" max="12290" width="24" style="1458" customWidth="1"/>
    <col min="12291" max="12321" width="4.25" style="1458" customWidth="1"/>
    <col min="12322" max="12322" width="9.25" style="1458" customWidth="1"/>
    <col min="12323" max="12332" width="0" style="1458" hidden="1" customWidth="1"/>
    <col min="12333" max="12544" width="9" style="1458"/>
    <col min="12545" max="12545" width="9" style="1458" customWidth="1"/>
    <col min="12546" max="12546" width="24" style="1458" customWidth="1"/>
    <col min="12547" max="12577" width="4.25" style="1458" customWidth="1"/>
    <col min="12578" max="12578" width="9.25" style="1458" customWidth="1"/>
    <col min="12579" max="12588" width="0" style="1458" hidden="1" customWidth="1"/>
    <col min="12589" max="12800" width="9" style="1458"/>
    <col min="12801" max="12801" width="9" style="1458" customWidth="1"/>
    <col min="12802" max="12802" width="24" style="1458" customWidth="1"/>
    <col min="12803" max="12833" width="4.25" style="1458" customWidth="1"/>
    <col min="12834" max="12834" width="9.25" style="1458" customWidth="1"/>
    <col min="12835" max="12844" width="0" style="1458" hidden="1" customWidth="1"/>
    <col min="12845" max="13056" width="9" style="1458"/>
    <col min="13057" max="13057" width="9" style="1458" customWidth="1"/>
    <col min="13058" max="13058" width="24" style="1458" customWidth="1"/>
    <col min="13059" max="13089" width="4.25" style="1458" customWidth="1"/>
    <col min="13090" max="13090" width="9.25" style="1458" customWidth="1"/>
    <col min="13091" max="13100" width="0" style="1458" hidden="1" customWidth="1"/>
    <col min="13101" max="13312" width="9" style="1458"/>
    <col min="13313" max="13313" width="9" style="1458" customWidth="1"/>
    <col min="13314" max="13314" width="24" style="1458" customWidth="1"/>
    <col min="13315" max="13345" width="4.25" style="1458" customWidth="1"/>
    <col min="13346" max="13346" width="9.25" style="1458" customWidth="1"/>
    <col min="13347" max="13356" width="0" style="1458" hidden="1" customWidth="1"/>
    <col min="13357" max="13568" width="9" style="1458"/>
    <col min="13569" max="13569" width="9" style="1458" customWidth="1"/>
    <col min="13570" max="13570" width="24" style="1458" customWidth="1"/>
    <col min="13571" max="13601" width="4.25" style="1458" customWidth="1"/>
    <col min="13602" max="13602" width="9.25" style="1458" customWidth="1"/>
    <col min="13603" max="13612" width="0" style="1458" hidden="1" customWidth="1"/>
    <col min="13613" max="13824" width="9" style="1458"/>
    <col min="13825" max="13825" width="9" style="1458" customWidth="1"/>
    <col min="13826" max="13826" width="24" style="1458" customWidth="1"/>
    <col min="13827" max="13857" width="4.25" style="1458" customWidth="1"/>
    <col min="13858" max="13858" width="9.25" style="1458" customWidth="1"/>
    <col min="13859" max="13868" width="0" style="1458" hidden="1" customWidth="1"/>
    <col min="13869" max="14080" width="9" style="1458"/>
    <col min="14081" max="14081" width="9" style="1458" customWidth="1"/>
    <col min="14082" max="14082" width="24" style="1458" customWidth="1"/>
    <col min="14083" max="14113" width="4.25" style="1458" customWidth="1"/>
    <col min="14114" max="14114" width="9.25" style="1458" customWidth="1"/>
    <col min="14115" max="14124" width="0" style="1458" hidden="1" customWidth="1"/>
    <col min="14125" max="14336" width="9" style="1458"/>
    <col min="14337" max="14337" width="9" style="1458" customWidth="1"/>
    <col min="14338" max="14338" width="24" style="1458" customWidth="1"/>
    <col min="14339" max="14369" width="4.25" style="1458" customWidth="1"/>
    <col min="14370" max="14370" width="9.25" style="1458" customWidth="1"/>
    <col min="14371" max="14380" width="0" style="1458" hidden="1" customWidth="1"/>
    <col min="14381" max="14592" width="9" style="1458"/>
    <col min="14593" max="14593" width="9" style="1458" customWidth="1"/>
    <col min="14594" max="14594" width="24" style="1458" customWidth="1"/>
    <col min="14595" max="14625" width="4.25" style="1458" customWidth="1"/>
    <col min="14626" max="14626" width="9.25" style="1458" customWidth="1"/>
    <col min="14627" max="14636" width="0" style="1458" hidden="1" customWidth="1"/>
    <col min="14637" max="14848" width="9" style="1458"/>
    <col min="14849" max="14849" width="9" style="1458" customWidth="1"/>
    <col min="14850" max="14850" width="24" style="1458" customWidth="1"/>
    <col min="14851" max="14881" width="4.25" style="1458" customWidth="1"/>
    <col min="14882" max="14882" width="9.25" style="1458" customWidth="1"/>
    <col min="14883" max="14892" width="0" style="1458" hidden="1" customWidth="1"/>
    <col min="14893" max="15104" width="9" style="1458"/>
    <col min="15105" max="15105" width="9" style="1458" customWidth="1"/>
    <col min="15106" max="15106" width="24" style="1458" customWidth="1"/>
    <col min="15107" max="15137" width="4.25" style="1458" customWidth="1"/>
    <col min="15138" max="15138" width="9.25" style="1458" customWidth="1"/>
    <col min="15139" max="15148" width="0" style="1458" hidden="1" customWidth="1"/>
    <col min="15149" max="15360" width="9" style="1458"/>
    <col min="15361" max="15361" width="9" style="1458" customWidth="1"/>
    <col min="15362" max="15362" width="24" style="1458" customWidth="1"/>
    <col min="15363" max="15393" width="4.25" style="1458" customWidth="1"/>
    <col min="15394" max="15394" width="9.25" style="1458" customWidth="1"/>
    <col min="15395" max="15404" width="0" style="1458" hidden="1" customWidth="1"/>
    <col min="15405" max="15616" width="9" style="1458"/>
    <col min="15617" max="15617" width="9" style="1458" customWidth="1"/>
    <col min="15618" max="15618" width="24" style="1458" customWidth="1"/>
    <col min="15619" max="15649" width="4.25" style="1458" customWidth="1"/>
    <col min="15650" max="15650" width="9.25" style="1458" customWidth="1"/>
    <col min="15651" max="15660" width="0" style="1458" hidden="1" customWidth="1"/>
    <col min="15661" max="15872" width="9" style="1458"/>
    <col min="15873" max="15873" width="9" style="1458" customWidth="1"/>
    <col min="15874" max="15874" width="24" style="1458" customWidth="1"/>
    <col min="15875" max="15905" width="4.25" style="1458" customWidth="1"/>
    <col min="15906" max="15906" width="9.25" style="1458" customWidth="1"/>
    <col min="15907" max="15916" width="0" style="1458" hidden="1" customWidth="1"/>
    <col min="15917" max="16128" width="9" style="1458"/>
    <col min="16129" max="16129" width="9" style="1458" customWidth="1"/>
    <col min="16130" max="16130" width="24" style="1458" customWidth="1"/>
    <col min="16131" max="16161" width="4.25" style="1458" customWidth="1"/>
    <col min="16162" max="16162" width="9.25" style="1458" customWidth="1"/>
    <col min="16163" max="16172" width="0" style="1458" hidden="1" customWidth="1"/>
    <col min="16173" max="16382" width="9" style="1458"/>
    <col min="16383" max="16383" width="9" style="1458" customWidth="1"/>
    <col min="16384" max="16384" width="9" style="1458"/>
  </cols>
  <sheetData>
    <row r="1" spans="1:46" s="1623" customFormat="1" ht="15" customHeight="1">
      <c r="A1" s="4150" t="s">
        <v>165</v>
      </c>
      <c r="B1" s="4150"/>
      <c r="C1" s="4150"/>
      <c r="D1" s="4150"/>
      <c r="E1" s="4150"/>
      <c r="F1" s="4150"/>
      <c r="G1" s="4150"/>
      <c r="H1" s="4150"/>
      <c r="I1" s="4150"/>
      <c r="J1" s="4150"/>
      <c r="K1" s="4150"/>
      <c r="L1" s="4150"/>
      <c r="M1" s="4150"/>
      <c r="N1" s="4150"/>
      <c r="O1" s="4150"/>
      <c r="P1" s="4150"/>
      <c r="Q1" s="4150"/>
      <c r="R1" s="4150"/>
      <c r="S1" s="4150"/>
      <c r="T1" s="4150"/>
      <c r="U1" s="4150"/>
      <c r="V1" s="4150"/>
      <c r="W1" s="4150"/>
      <c r="X1" s="4150"/>
      <c r="Y1" s="4150"/>
      <c r="Z1" s="4150"/>
      <c r="AA1" s="4150"/>
      <c r="AB1" s="4150"/>
      <c r="AC1" s="4150"/>
      <c r="AD1" s="4150"/>
      <c r="AE1" s="4150"/>
      <c r="AF1" s="4150"/>
      <c r="AG1" s="4150"/>
      <c r="AH1" s="4150"/>
      <c r="AI1" s="4150"/>
      <c r="AJ1" s="4150"/>
      <c r="AK1" s="4150"/>
      <c r="AL1" s="4150"/>
      <c r="AM1" s="4150"/>
      <c r="AN1" s="4150"/>
      <c r="AO1" s="4150"/>
      <c r="AP1" s="4150"/>
      <c r="AQ1" s="4150"/>
      <c r="AR1" s="4150"/>
      <c r="AS1" s="4150"/>
      <c r="AT1" s="4150"/>
    </row>
    <row r="2" spans="1:46" s="1623" customFormat="1" ht="15" customHeight="1">
      <c r="A2" s="4150" t="s">
        <v>991</v>
      </c>
      <c r="B2" s="4150"/>
      <c r="C2" s="4150"/>
      <c r="D2" s="4150"/>
      <c r="E2" s="4150"/>
      <c r="F2" s="4150"/>
      <c r="G2" s="4150"/>
      <c r="H2" s="4150"/>
      <c r="I2" s="4150"/>
      <c r="J2" s="4150"/>
      <c r="K2" s="4150"/>
      <c r="L2" s="4150"/>
      <c r="M2" s="4150"/>
      <c r="N2" s="4150"/>
      <c r="O2" s="4150"/>
      <c r="P2" s="4150"/>
      <c r="Q2" s="4150"/>
      <c r="R2" s="4150"/>
      <c r="S2" s="4150"/>
      <c r="T2" s="4150"/>
      <c r="U2" s="4150"/>
      <c r="V2" s="4150"/>
      <c r="W2" s="4150"/>
      <c r="X2" s="4150"/>
      <c r="Y2" s="4150"/>
      <c r="Z2" s="4150"/>
      <c r="AA2" s="4150"/>
      <c r="AB2" s="4150"/>
      <c r="AC2" s="4150"/>
      <c r="AD2" s="4150"/>
      <c r="AE2" s="4150"/>
      <c r="AF2" s="4150"/>
      <c r="AG2" s="4150"/>
      <c r="AH2" s="4150"/>
      <c r="AI2" s="4150"/>
      <c r="AJ2" s="4150"/>
      <c r="AK2" s="4150"/>
      <c r="AL2" s="4150"/>
      <c r="AM2" s="4150"/>
      <c r="AN2" s="4150"/>
      <c r="AO2" s="4150"/>
      <c r="AP2" s="4150"/>
      <c r="AQ2" s="4150"/>
      <c r="AR2" s="4150"/>
      <c r="AS2" s="4150"/>
      <c r="AT2" s="4150"/>
    </row>
    <row r="3" spans="1:46" s="1623" customFormat="1" ht="17.25" customHeight="1">
      <c r="A3" s="4520" t="s">
        <v>992</v>
      </c>
      <c r="B3" s="4520"/>
      <c r="C3" s="4520"/>
      <c r="D3" s="4520"/>
      <c r="E3" s="4520"/>
      <c r="F3" s="4520"/>
      <c r="G3" s="4520"/>
      <c r="H3" s="4520"/>
      <c r="I3" s="4520"/>
      <c r="J3" s="4520"/>
      <c r="K3" s="4520"/>
      <c r="L3" s="4520"/>
      <c r="M3" s="4520"/>
      <c r="N3" s="4520"/>
      <c r="O3" s="4520"/>
      <c r="P3" s="4520"/>
      <c r="Q3" s="4520"/>
      <c r="R3" s="4520"/>
      <c r="S3" s="4520"/>
      <c r="T3" s="4520"/>
      <c r="U3" s="4520"/>
      <c r="V3" s="4520"/>
      <c r="W3" s="4520"/>
      <c r="X3" s="4520"/>
      <c r="Y3" s="4520"/>
      <c r="Z3" s="4520"/>
      <c r="AA3" s="4520"/>
      <c r="AB3" s="4520"/>
      <c r="AC3" s="4520"/>
      <c r="AD3" s="4520"/>
      <c r="AE3" s="4520"/>
      <c r="AF3" s="4520"/>
      <c r="AG3" s="4520"/>
      <c r="AH3" s="4520"/>
      <c r="AI3" s="4520"/>
      <c r="AJ3" s="4520"/>
      <c r="AK3" s="4520"/>
      <c r="AL3" s="4520"/>
      <c r="AM3" s="4520"/>
      <c r="AN3" s="4520"/>
      <c r="AO3" s="4520"/>
      <c r="AP3" s="4520"/>
      <c r="AQ3" s="4520"/>
      <c r="AR3" s="4520"/>
      <c r="AS3" s="4520"/>
      <c r="AT3" s="4520"/>
    </row>
    <row r="4" spans="1:46" s="1623" customFormat="1" ht="9" customHeight="1">
      <c r="A4" s="1624"/>
      <c r="B4" s="1624"/>
      <c r="C4" s="1624"/>
      <c r="D4" s="1624"/>
      <c r="E4" s="1624"/>
      <c r="F4" s="1624"/>
      <c r="G4" s="1624"/>
      <c r="H4" s="1624"/>
      <c r="I4" s="1624"/>
      <c r="J4" s="1624"/>
      <c r="K4" s="1624"/>
      <c r="L4" s="1624"/>
      <c r="M4" s="1624"/>
      <c r="N4" s="1624"/>
      <c r="O4" s="1624"/>
      <c r="P4" s="1624"/>
      <c r="Q4" s="1624"/>
      <c r="R4" s="1624"/>
      <c r="S4" s="1624"/>
      <c r="T4" s="1624"/>
      <c r="U4" s="1624"/>
      <c r="V4" s="1624"/>
      <c r="W4" s="1624"/>
      <c r="X4" s="1624"/>
      <c r="Y4" s="1624"/>
      <c r="Z4" s="1624"/>
      <c r="AA4" s="1624"/>
      <c r="AB4" s="1624"/>
      <c r="AC4" s="1624"/>
      <c r="AD4" s="1624"/>
      <c r="AE4" s="1624"/>
      <c r="AF4" s="1624"/>
      <c r="AG4" s="1624"/>
      <c r="AH4" s="1624"/>
      <c r="AI4" s="1624"/>
      <c r="AJ4" s="1624"/>
    </row>
    <row r="5" spans="1:46" s="1623" customFormat="1" ht="23.25" customHeight="1">
      <c r="A5" s="4176" t="s">
        <v>574</v>
      </c>
      <c r="B5" s="4176"/>
      <c r="C5" s="4176"/>
      <c r="D5" s="4176"/>
      <c r="E5" s="4176"/>
      <c r="F5" s="4176"/>
      <c r="G5" s="4176"/>
      <c r="H5" s="4176"/>
      <c r="I5" s="4176"/>
      <c r="J5" s="4176"/>
      <c r="K5" s="4176"/>
      <c r="L5" s="4176"/>
      <c r="M5" s="4176"/>
      <c r="N5" s="4176"/>
      <c r="O5" s="4176"/>
      <c r="P5" s="1624"/>
      <c r="Q5" s="1624"/>
      <c r="R5" s="1624"/>
      <c r="S5" s="1624"/>
      <c r="T5" s="1624"/>
      <c r="U5" s="1624"/>
      <c r="V5" s="1624"/>
      <c r="W5" s="1624"/>
      <c r="X5" s="1624"/>
      <c r="Y5" s="1624"/>
      <c r="Z5" s="1624"/>
      <c r="AA5" s="1624"/>
      <c r="AB5" s="1624"/>
      <c r="AC5" s="1624"/>
      <c r="AD5" s="1624"/>
      <c r="AE5" s="1624"/>
      <c r="AF5" s="1624"/>
      <c r="AG5" s="1624"/>
      <c r="AH5" s="1624"/>
      <c r="AI5" s="1624"/>
      <c r="AJ5" s="1624"/>
    </row>
    <row r="6" spans="1:46" s="1623" customFormat="1" ht="18" customHeight="1">
      <c r="A6" s="4153" t="s">
        <v>1192</v>
      </c>
      <c r="B6" s="4153"/>
      <c r="C6" s="4153"/>
      <c r="D6" s="4153"/>
      <c r="E6" s="4153"/>
      <c r="F6" s="4153"/>
      <c r="G6" s="4153"/>
      <c r="H6" s="4153"/>
      <c r="I6" s="4153"/>
      <c r="J6" s="4153"/>
      <c r="K6" s="4153"/>
      <c r="L6" s="4153"/>
      <c r="M6" s="4153"/>
      <c r="N6" s="4153"/>
      <c r="O6" s="4153"/>
      <c r="P6" s="1624"/>
      <c r="Q6" s="1624"/>
      <c r="R6" s="1624"/>
      <c r="S6" s="1624"/>
      <c r="T6" s="1624"/>
      <c r="U6" s="1624"/>
      <c r="V6" s="1624"/>
      <c r="W6" s="1624"/>
      <c r="X6" s="1624"/>
      <c r="Y6" s="1624"/>
      <c r="Z6" s="1624"/>
      <c r="AA6" s="1624"/>
      <c r="AB6" s="1624"/>
      <c r="AC6" s="1624"/>
      <c r="AD6" s="1624"/>
      <c r="AE6" s="1624"/>
      <c r="AF6" s="1624"/>
      <c r="AG6" s="1624"/>
      <c r="AH6" s="1624"/>
      <c r="AI6" s="1624"/>
      <c r="AJ6" s="1624"/>
    </row>
    <row r="7" spans="1:46" ht="15" hidden="1" customHeight="1">
      <c r="W7" s="4501"/>
      <c r="X7" s="4501"/>
      <c r="Y7" s="4501"/>
      <c r="Z7" s="4501"/>
      <c r="AA7" s="4501"/>
      <c r="AB7" s="4501"/>
      <c r="AC7" s="4501"/>
      <c r="AD7" s="4501"/>
      <c r="AE7" s="4501"/>
      <c r="AF7" s="4501"/>
      <c r="AG7" s="4501"/>
      <c r="AH7" s="4501"/>
      <c r="AI7" s="4501"/>
      <c r="AL7" s="2278">
        <v>1</v>
      </c>
      <c r="AM7" s="2278">
        <v>2</v>
      </c>
      <c r="AN7" s="2278">
        <v>3</v>
      </c>
      <c r="AO7" s="2278">
        <v>4</v>
      </c>
      <c r="AP7" s="2278">
        <v>5</v>
      </c>
      <c r="AQ7" s="2279">
        <v>6</v>
      </c>
      <c r="AR7" s="2279">
        <v>7</v>
      </c>
    </row>
    <row r="8" spans="1:46" ht="15" hidden="1" customHeight="1">
      <c r="A8" s="4506"/>
      <c r="B8" s="4506"/>
      <c r="C8" s="4506"/>
      <c r="D8" s="4506"/>
      <c r="E8" s="4506"/>
      <c r="F8" s="4506"/>
      <c r="W8" s="4501"/>
      <c r="X8" s="4501"/>
      <c r="Y8" s="4501"/>
      <c r="Z8" s="4501"/>
      <c r="AA8" s="4501"/>
      <c r="AB8" s="4501"/>
      <c r="AC8" s="4501"/>
      <c r="AD8" s="4501"/>
      <c r="AE8" s="4501"/>
      <c r="AF8" s="4501"/>
      <c r="AG8" s="4501"/>
      <c r="AH8" s="4501"/>
      <c r="AI8" s="4501"/>
      <c r="AL8" s="2278" t="s">
        <v>237</v>
      </c>
      <c r="AM8" s="2278" t="s">
        <v>1193</v>
      </c>
      <c r="AN8" s="2278" t="s">
        <v>1194</v>
      </c>
      <c r="AO8" s="2278" t="s">
        <v>1195</v>
      </c>
      <c r="AP8" s="2278" t="s">
        <v>1196</v>
      </c>
      <c r="AQ8" s="2279" t="s">
        <v>1197</v>
      </c>
      <c r="AR8" s="2279" t="s">
        <v>1198</v>
      </c>
    </row>
    <row r="9" spans="1:46" ht="15" hidden="1" customHeight="1">
      <c r="AL9" s="2280"/>
      <c r="AM9" s="2280"/>
      <c r="AN9" s="2280"/>
      <c r="AO9" s="2280"/>
      <c r="AP9" s="2280"/>
    </row>
    <row r="10" spans="1:46" ht="18.75">
      <c r="D10" s="4170" t="s">
        <v>1708</v>
      </c>
      <c r="E10" s="4170"/>
      <c r="F10" s="4170"/>
      <c r="G10" s="4170"/>
      <c r="H10" s="4170"/>
      <c r="I10" s="4170"/>
      <c r="J10" s="4170"/>
      <c r="K10" s="4170"/>
      <c r="L10" s="4170"/>
      <c r="M10" s="4170"/>
      <c r="N10" s="4170"/>
      <c r="O10" s="4170"/>
      <c r="P10" s="4170"/>
      <c r="Q10" s="4170"/>
      <c r="R10" s="4170"/>
      <c r="S10" s="4170"/>
      <c r="T10" s="4170"/>
      <c r="U10" s="4170"/>
      <c r="V10" s="4170"/>
      <c r="W10" s="4170"/>
      <c r="X10" s="4170"/>
      <c r="Y10" s="4170"/>
      <c r="Z10" s="4170"/>
      <c r="AA10" s="4170"/>
      <c r="AB10" s="4170"/>
      <c r="AC10" s="4170"/>
      <c r="AD10" s="4170"/>
      <c r="AE10" s="4170"/>
      <c r="AF10" s="4170"/>
      <c r="AG10" s="4170"/>
      <c r="AH10" s="4170"/>
      <c r="AL10" s="2280"/>
      <c r="AM10" s="2280"/>
      <c r="AN10" s="2280"/>
      <c r="AO10" s="2280"/>
      <c r="AP10" s="2280"/>
    </row>
    <row r="11" spans="1:46" ht="15.75">
      <c r="B11" s="1459" t="s">
        <v>912</v>
      </c>
      <c r="C11" s="1459">
        <v>2025</v>
      </c>
      <c r="D11" s="4518" t="str">
        <f>"Tháng "&amp;IF(LEN($C$12)=1,"0"&amp;$C$12,$C$12)&amp;" năm "&amp;C11</f>
        <v>Tháng 03 năm 2025</v>
      </c>
      <c r="E11" s="4518"/>
      <c r="F11" s="4518"/>
      <c r="G11" s="4518"/>
      <c r="H11" s="4518"/>
      <c r="I11" s="4518"/>
      <c r="J11" s="4518"/>
      <c r="K11" s="4518"/>
      <c r="L11" s="4518"/>
      <c r="M11" s="4518"/>
      <c r="N11" s="4518"/>
      <c r="O11" s="4518"/>
      <c r="P11" s="4518"/>
      <c r="Q11" s="4518"/>
      <c r="R11" s="4518"/>
      <c r="S11" s="4518"/>
      <c r="T11" s="4518"/>
      <c r="U11" s="4518"/>
      <c r="V11" s="4518"/>
      <c r="W11" s="4518"/>
      <c r="X11" s="4518"/>
      <c r="Y11" s="4518"/>
      <c r="Z11" s="4518"/>
      <c r="AA11" s="4518"/>
      <c r="AB11" s="4518"/>
      <c r="AC11" s="4518"/>
      <c r="AD11" s="4518"/>
      <c r="AE11" s="4518"/>
      <c r="AF11" s="4518"/>
      <c r="AG11" s="4518"/>
      <c r="AH11" s="4518"/>
    </row>
    <row r="12" spans="1:46">
      <c r="B12" s="1459" t="s">
        <v>913</v>
      </c>
      <c r="C12" s="1459">
        <v>3</v>
      </c>
    </row>
    <row r="13" spans="1:46" ht="15" customHeight="1">
      <c r="A13" s="4521" t="s">
        <v>1</v>
      </c>
      <c r="B13" s="4509" t="s">
        <v>914</v>
      </c>
      <c r="C13" s="4510" t="s">
        <v>915</v>
      </c>
      <c r="D13" s="3922">
        <v>1</v>
      </c>
      <c r="E13" s="3922">
        <v>2</v>
      </c>
      <c r="F13" s="3922">
        <v>3</v>
      </c>
      <c r="G13" s="3922">
        <v>4</v>
      </c>
      <c r="H13" s="3922">
        <v>5</v>
      </c>
      <c r="I13" s="3922">
        <v>6</v>
      </c>
      <c r="J13" s="3922">
        <v>7</v>
      </c>
      <c r="K13" s="3922">
        <v>8</v>
      </c>
      <c r="L13" s="3922">
        <v>9</v>
      </c>
      <c r="M13" s="3922">
        <v>10</v>
      </c>
      <c r="N13" s="3922">
        <v>11</v>
      </c>
      <c r="O13" s="3922">
        <v>12</v>
      </c>
      <c r="P13" s="3922">
        <v>13</v>
      </c>
      <c r="Q13" s="3922">
        <v>14</v>
      </c>
      <c r="R13" s="3922">
        <v>15</v>
      </c>
      <c r="S13" s="3922">
        <v>16</v>
      </c>
      <c r="T13" s="3922">
        <v>17</v>
      </c>
      <c r="U13" s="3922">
        <v>18</v>
      </c>
      <c r="V13" s="3922">
        <v>19</v>
      </c>
      <c r="W13" s="3922">
        <v>20</v>
      </c>
      <c r="X13" s="3922">
        <v>21</v>
      </c>
      <c r="Y13" s="3922">
        <v>22</v>
      </c>
      <c r="Z13" s="3922">
        <v>23</v>
      </c>
      <c r="AA13" s="3922">
        <v>24</v>
      </c>
      <c r="AB13" s="3922">
        <v>25</v>
      </c>
      <c r="AC13" s="3922">
        <v>26</v>
      </c>
      <c r="AD13" s="3922">
        <v>27</v>
      </c>
      <c r="AE13" s="3922">
        <v>28</v>
      </c>
      <c r="AF13" s="3922">
        <f>IF(DAY(DATE(C11,C12+1,1)-1)&lt;29,"",29)</f>
        <v>29</v>
      </c>
      <c r="AG13" s="3922">
        <v>30</v>
      </c>
      <c r="AH13" s="3922">
        <v>31</v>
      </c>
      <c r="AI13" s="4503" t="s">
        <v>922</v>
      </c>
      <c r="AJ13" s="1536"/>
      <c r="AK13" s="1536"/>
      <c r="AL13" s="1536"/>
      <c r="AM13" s="1536"/>
      <c r="AN13" s="1536"/>
      <c r="AO13" s="1536"/>
      <c r="AP13" s="1536"/>
      <c r="AQ13" s="1536"/>
      <c r="AR13" s="1536"/>
      <c r="AS13" s="4503" t="s">
        <v>1709</v>
      </c>
      <c r="AT13" s="4503" t="s">
        <v>923</v>
      </c>
    </row>
    <row r="14" spans="1:46" ht="37.5" customHeight="1">
      <c r="A14" s="4521"/>
      <c r="B14" s="4509"/>
      <c r="C14" s="4511"/>
      <c r="D14" s="2408" t="str">
        <f t="shared" ref="D14:AF14" si="0">IF(D13="","",HLOOKUP(WEEKDAY(DATE($C$11,$C$12,D13)),$AL$7:$AR$8,2,0))</f>
        <v>Bảy</v>
      </c>
      <c r="E14" s="2408" t="str">
        <f t="shared" si="0"/>
        <v>CN</v>
      </c>
      <c r="F14" s="2408" t="str">
        <f t="shared" si="0"/>
        <v>Hai</v>
      </c>
      <c r="G14" s="2408" t="str">
        <f t="shared" si="0"/>
        <v>Ba</v>
      </c>
      <c r="H14" s="2408" t="str">
        <f t="shared" si="0"/>
        <v>Tư</v>
      </c>
      <c r="I14" s="2408" t="str">
        <f t="shared" si="0"/>
        <v>Năm</v>
      </c>
      <c r="J14" s="2408" t="str">
        <f t="shared" si="0"/>
        <v>Sáu</v>
      </c>
      <c r="K14" s="2408" t="str">
        <f t="shared" si="0"/>
        <v>Bảy</v>
      </c>
      <c r="L14" s="2408" t="str">
        <f t="shared" si="0"/>
        <v>CN</v>
      </c>
      <c r="M14" s="2408" t="str">
        <f t="shared" si="0"/>
        <v>Hai</v>
      </c>
      <c r="N14" s="2408" t="str">
        <f t="shared" si="0"/>
        <v>Ba</v>
      </c>
      <c r="O14" s="2408" t="str">
        <f t="shared" si="0"/>
        <v>Tư</v>
      </c>
      <c r="P14" s="2408" t="str">
        <f t="shared" si="0"/>
        <v>Năm</v>
      </c>
      <c r="Q14" s="2408" t="str">
        <f t="shared" si="0"/>
        <v>Sáu</v>
      </c>
      <c r="R14" s="2408" t="str">
        <f t="shared" si="0"/>
        <v>Bảy</v>
      </c>
      <c r="S14" s="2408" t="str">
        <f t="shared" si="0"/>
        <v>CN</v>
      </c>
      <c r="T14" s="2408" t="str">
        <f t="shared" si="0"/>
        <v>Hai</v>
      </c>
      <c r="U14" s="2408" t="str">
        <f t="shared" si="0"/>
        <v>Ba</v>
      </c>
      <c r="V14" s="2408" t="str">
        <f t="shared" si="0"/>
        <v>Tư</v>
      </c>
      <c r="W14" s="2408" t="str">
        <f t="shared" si="0"/>
        <v>Năm</v>
      </c>
      <c r="X14" s="2408" t="str">
        <f t="shared" si="0"/>
        <v>Sáu</v>
      </c>
      <c r="Y14" s="2408" t="str">
        <f t="shared" si="0"/>
        <v>Bảy</v>
      </c>
      <c r="Z14" s="2408" t="str">
        <f t="shared" si="0"/>
        <v>CN</v>
      </c>
      <c r="AA14" s="2408" t="str">
        <f t="shared" si="0"/>
        <v>Hai</v>
      </c>
      <c r="AB14" s="2408" t="str">
        <f t="shared" si="0"/>
        <v>Ba</v>
      </c>
      <c r="AC14" s="2408" t="str">
        <f t="shared" si="0"/>
        <v>Tư</v>
      </c>
      <c r="AD14" s="2408" t="str">
        <f t="shared" si="0"/>
        <v>Năm</v>
      </c>
      <c r="AE14" s="2408" t="str">
        <f t="shared" si="0"/>
        <v>Sáu</v>
      </c>
      <c r="AF14" s="2409" t="str">
        <f t="shared" si="0"/>
        <v>Bảy</v>
      </c>
      <c r="AG14" s="2409" t="str">
        <f>IF(AG13="","",HLOOKUP(WEEKDAY(DATE($C$11,$C$12,AG13)),$AL$7:$AR$8,2,0))</f>
        <v>CN</v>
      </c>
      <c r="AH14" s="2409" t="str">
        <f>IF(AH13="","",HLOOKUP(WEEKDAY(DATE($C$11,$C$12,AH13)),$AL$7:$AR$8,2,0))</f>
        <v>Hai</v>
      </c>
      <c r="AI14" s="4503"/>
      <c r="AJ14" s="1536"/>
      <c r="AK14" s="1536"/>
      <c r="AL14" s="1536"/>
      <c r="AM14" s="1536"/>
      <c r="AN14" s="1536"/>
      <c r="AO14" s="1536"/>
      <c r="AP14" s="1536"/>
      <c r="AQ14" s="1536"/>
      <c r="AR14" s="1536"/>
      <c r="AS14" s="4503"/>
      <c r="AT14" s="4504"/>
    </row>
    <row r="15" spans="1:46" ht="32.25" customHeight="1">
      <c r="A15" s="3819">
        <v>1</v>
      </c>
      <c r="B15" s="3820"/>
      <c r="C15" s="1476" t="s">
        <v>1859</v>
      </c>
      <c r="D15" s="3826"/>
      <c r="E15" s="3826"/>
      <c r="F15" s="3826"/>
      <c r="G15" s="3826"/>
      <c r="H15" s="3826"/>
      <c r="I15" s="3826"/>
      <c r="J15" s="3826"/>
      <c r="K15" s="3826"/>
      <c r="L15" s="3826"/>
      <c r="M15" s="3826"/>
      <c r="N15" s="3826"/>
      <c r="O15" s="3826"/>
      <c r="P15" s="3826"/>
      <c r="Q15" s="3826"/>
      <c r="R15" s="3826"/>
      <c r="S15" s="3826"/>
      <c r="T15" s="3826"/>
      <c r="U15" s="3826"/>
      <c r="V15" s="3826"/>
      <c r="W15" s="3826" t="s">
        <v>142</v>
      </c>
      <c r="X15" s="3826" t="s">
        <v>142</v>
      </c>
      <c r="Y15" s="3826" t="s">
        <v>142</v>
      </c>
      <c r="Z15" s="3826" t="s">
        <v>142</v>
      </c>
      <c r="AA15" s="3826" t="s">
        <v>142</v>
      </c>
      <c r="AB15" s="3826" t="s">
        <v>142</v>
      </c>
      <c r="AC15" s="3826" t="s">
        <v>142</v>
      </c>
      <c r="AD15" s="3826" t="s">
        <v>142</v>
      </c>
      <c r="AE15" s="3826" t="s">
        <v>142</v>
      </c>
      <c r="AF15" s="3826" t="s">
        <v>142</v>
      </c>
      <c r="AG15" s="3826" t="s">
        <v>142</v>
      </c>
      <c r="AH15" s="3826" t="s">
        <v>142</v>
      </c>
      <c r="AI15" s="1534">
        <f t="shared" ref="AI15" si="1">COUNTIF(D15:AH15,"X")</f>
        <v>12</v>
      </c>
      <c r="AJ15" s="3821"/>
      <c r="AK15" s="3821"/>
      <c r="AL15" s="3821"/>
      <c r="AM15" s="3821"/>
      <c r="AN15" s="3821"/>
      <c r="AO15" s="3821"/>
      <c r="AP15" s="3821"/>
      <c r="AQ15" s="3821"/>
      <c r="AR15" s="3821"/>
      <c r="AS15" s="1534">
        <f t="shared" ref="AS15" si="2">COUNTIF(D15:AR15,"p")</f>
        <v>0</v>
      </c>
      <c r="AT15" s="1535">
        <f t="shared" ref="AT15" si="3">+AI15+AS15</f>
        <v>12</v>
      </c>
    </row>
    <row r="16" spans="1:46" ht="26.25" customHeight="1">
      <c r="A16" s="4504" t="s">
        <v>910</v>
      </c>
      <c r="B16" s="4504"/>
      <c r="C16" s="4504"/>
      <c r="D16" s="1468"/>
      <c r="E16" s="1468"/>
      <c r="F16" s="1468"/>
      <c r="G16" s="1468"/>
      <c r="H16" s="1468"/>
      <c r="I16" s="1468"/>
      <c r="J16" s="1468"/>
      <c r="K16" s="1468"/>
      <c r="L16" s="1468"/>
      <c r="M16" s="1468"/>
      <c r="N16" s="1468"/>
      <c r="O16" s="1468"/>
      <c r="P16" s="1468"/>
      <c r="Q16" s="1468"/>
      <c r="R16" s="1468"/>
      <c r="S16" s="1468"/>
      <c r="T16" s="1468"/>
      <c r="U16" s="1468"/>
      <c r="V16" s="1468"/>
      <c r="W16" s="1468"/>
      <c r="X16" s="1468"/>
      <c r="Y16" s="1468"/>
      <c r="Z16" s="1468"/>
      <c r="AA16" s="1468"/>
      <c r="AB16" s="1468"/>
      <c r="AC16" s="1468"/>
      <c r="AD16" s="1468"/>
      <c r="AE16" s="1468"/>
      <c r="AF16" s="1468"/>
      <c r="AG16" s="1468"/>
      <c r="AH16" s="1468"/>
      <c r="AI16" s="1468">
        <f t="shared" ref="AI16:AT16" si="4">SUM(AI15:AI15)</f>
        <v>12</v>
      </c>
      <c r="AJ16" s="1468">
        <f t="shared" si="4"/>
        <v>0</v>
      </c>
      <c r="AK16" s="1468">
        <f t="shared" si="4"/>
        <v>0</v>
      </c>
      <c r="AL16" s="1468">
        <f t="shared" si="4"/>
        <v>0</v>
      </c>
      <c r="AM16" s="1468">
        <f t="shared" si="4"/>
        <v>0</v>
      </c>
      <c r="AN16" s="1468">
        <f t="shared" si="4"/>
        <v>0</v>
      </c>
      <c r="AO16" s="1468">
        <f t="shared" si="4"/>
        <v>0</v>
      </c>
      <c r="AP16" s="1468">
        <f t="shared" si="4"/>
        <v>0</v>
      </c>
      <c r="AQ16" s="1468">
        <f t="shared" si="4"/>
        <v>0</v>
      </c>
      <c r="AR16" s="1468">
        <f t="shared" si="4"/>
        <v>0</v>
      </c>
      <c r="AS16" s="1468">
        <f t="shared" si="4"/>
        <v>0</v>
      </c>
      <c r="AT16" s="1468">
        <f t="shared" si="4"/>
        <v>12</v>
      </c>
    </row>
    <row r="17" spans="1:35">
      <c r="A17" s="1473" t="s">
        <v>634</v>
      </c>
      <c r="AA17" s="2407"/>
      <c r="AB17" s="2407"/>
      <c r="AC17" s="2407" t="s">
        <v>1803</v>
      </c>
      <c r="AF17" s="2407"/>
      <c r="AH17" s="2407"/>
      <c r="AI17" s="2407"/>
    </row>
    <row r="18" spans="1:35" ht="23.25" customHeight="1">
      <c r="A18" s="3921" t="s">
        <v>142</v>
      </c>
      <c r="B18" s="1458" t="s">
        <v>166</v>
      </c>
      <c r="C18" s="1458" t="s">
        <v>1743</v>
      </c>
      <c r="G18" s="1469" t="s">
        <v>44</v>
      </c>
      <c r="M18" s="1469"/>
      <c r="N18" s="1469"/>
      <c r="O18" s="1469"/>
      <c r="P18" s="1469"/>
      <c r="Q18" s="1469"/>
      <c r="R18" s="1469"/>
      <c r="S18" s="1469"/>
      <c r="T18" s="1469"/>
      <c r="U18" s="1469"/>
      <c r="V18" s="1469"/>
      <c r="W18" s="1469"/>
      <c r="X18" s="1469"/>
      <c r="Y18" s="1469"/>
      <c r="Z18" s="1469"/>
      <c r="AA18" s="1469"/>
      <c r="AB18" s="1469"/>
      <c r="AC18" s="1469"/>
      <c r="AE18" s="1469" t="s">
        <v>615</v>
      </c>
      <c r="AG18" s="1469"/>
    </row>
    <row r="19" spans="1:35" ht="18.75" customHeight="1">
      <c r="A19" s="3921" t="s">
        <v>1707</v>
      </c>
      <c r="B19" s="1471"/>
      <c r="C19" s="1458" t="s">
        <v>1709</v>
      </c>
    </row>
    <row r="20" spans="1:35" ht="15.75">
      <c r="A20" s="3423" t="s">
        <v>1860</v>
      </c>
      <c r="C20" s="1458" t="s">
        <v>1861</v>
      </c>
      <c r="Z20" s="4505"/>
      <c r="AA20" s="4505"/>
      <c r="AB20" s="4505"/>
      <c r="AC20" s="4505"/>
      <c r="AD20" s="4505"/>
      <c r="AE20" s="4505"/>
      <c r="AF20" s="4505"/>
      <c r="AG20" s="4505"/>
      <c r="AH20" s="4505"/>
      <c r="AI20" s="4505"/>
    </row>
    <row r="21" spans="1:35">
      <c r="B21" s="3950"/>
      <c r="C21" s="3950"/>
      <c r="AA21" s="4501"/>
      <c r="AB21" s="4501"/>
      <c r="AC21" s="4501"/>
      <c r="AD21" s="4501"/>
      <c r="AE21" s="4501"/>
      <c r="AF21" s="4501"/>
      <c r="AG21" s="4501"/>
      <c r="AH21" s="4501"/>
      <c r="AI21" s="4501"/>
    </row>
    <row r="22" spans="1:35" s="1472" customFormat="1" ht="14.25">
      <c r="K22" s="3950"/>
      <c r="L22" s="3950"/>
      <c r="M22" s="3950"/>
      <c r="N22" s="3950"/>
      <c r="O22" s="3950"/>
      <c r="P22" s="3950"/>
      <c r="Q22" s="3950"/>
      <c r="R22" s="3950"/>
      <c r="S22" s="3950"/>
      <c r="T22" s="3950"/>
      <c r="AC22" s="3950"/>
      <c r="AD22" s="3950"/>
      <c r="AE22" s="3950"/>
      <c r="AF22" s="3950"/>
      <c r="AG22" s="3950"/>
      <c r="AH22" s="3950"/>
      <c r="AI22" s="3950"/>
    </row>
    <row r="23" spans="1:35">
      <c r="B23" s="4502"/>
      <c r="C23" s="4501"/>
      <c r="K23" s="4502"/>
      <c r="L23" s="4502"/>
      <c r="M23" s="4502"/>
      <c r="N23" s="4502"/>
      <c r="O23" s="4502"/>
      <c r="P23" s="4502"/>
      <c r="Q23" s="4502"/>
      <c r="R23" s="4502"/>
      <c r="S23" s="4502"/>
      <c r="T23" s="4502"/>
      <c r="AC23" s="4502"/>
      <c r="AD23" s="4502"/>
      <c r="AE23" s="4502"/>
      <c r="AF23" s="4502"/>
      <c r="AG23" s="4502"/>
      <c r="AH23" s="4502"/>
      <c r="AI23" s="4502"/>
    </row>
  </sheetData>
  <mergeCells count="25">
    <mergeCell ref="W7:AI7"/>
    <mergeCell ref="A1:AT1"/>
    <mergeCell ref="A2:AT2"/>
    <mergeCell ref="A3:AT3"/>
    <mergeCell ref="A5:O5"/>
    <mergeCell ref="A6:O6"/>
    <mergeCell ref="A8:F8"/>
    <mergeCell ref="W8:AI8"/>
    <mergeCell ref="D10:AH10"/>
    <mergeCell ref="D11:AH11"/>
    <mergeCell ref="A13:A14"/>
    <mergeCell ref="B13:B14"/>
    <mergeCell ref="C13:C14"/>
    <mergeCell ref="AI13:AI14"/>
    <mergeCell ref="AS13:AS14"/>
    <mergeCell ref="AT13:AT14"/>
    <mergeCell ref="A16:C16"/>
    <mergeCell ref="Z20:AI20"/>
    <mergeCell ref="B21:C21"/>
    <mergeCell ref="AA21:AI21"/>
    <mergeCell ref="K22:T22"/>
    <mergeCell ref="AC22:AI22"/>
    <mergeCell ref="B23:C23"/>
    <mergeCell ref="K23:T23"/>
    <mergeCell ref="AC23:AI23"/>
  </mergeCells>
  <conditionalFormatting sqref="AL7:AR8">
    <cfRule type="expression" dxfId="0" priority="1" stopIfTrue="1">
      <formula>#REF!=""</formula>
    </cfRule>
  </conditionalFormatting>
  <pageMargins left="0.19685039370078741" right="0.19685039370078741" top="0.39370078740157483" bottom="0.39370078740157483" header="0.31496062992125984" footer="0.31496062992125984"/>
  <pageSetup paperSize="9" scale="85" orientation="landscape" verticalDpi="0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29"/>
  <sheetViews>
    <sheetView topLeftCell="A8" workbookViewId="0">
      <selection activeCell="G23" sqref="G23:I23"/>
    </sheetView>
  </sheetViews>
  <sheetFormatPr defaultColWidth="8" defaultRowHeight="15"/>
  <cols>
    <col min="1" max="1" width="8.375" style="3401" customWidth="1"/>
    <col min="2" max="2" width="6.125" style="3401" hidden="1" customWidth="1"/>
    <col min="3" max="3" width="6" style="3401" customWidth="1"/>
    <col min="4" max="4" width="20.75" style="3401" customWidth="1"/>
    <col min="5" max="5" width="19.875" style="3401" customWidth="1"/>
    <col min="6" max="6" width="10.125" style="3401" customWidth="1"/>
    <col min="7" max="7" width="13.25" style="3401" customWidth="1"/>
    <col min="8" max="8" width="3.375" style="3401" hidden="1" customWidth="1"/>
    <col min="9" max="9" width="13" style="3410" customWidth="1"/>
    <col min="10" max="10" width="11.375" style="3401" hidden="1" customWidth="1"/>
    <col min="11" max="11" width="9.75" style="3401" hidden="1" customWidth="1"/>
    <col min="12" max="12" width="11.375" style="3401" hidden="1" customWidth="1"/>
    <col min="13" max="13" width="6" style="3401" hidden="1" customWidth="1"/>
    <col min="14" max="14" width="8" style="3401" hidden="1" customWidth="1"/>
    <col min="15" max="15" width="10" style="3401" hidden="1" customWidth="1"/>
    <col min="16" max="16" width="0.875" style="3401" hidden="1" customWidth="1"/>
    <col min="17" max="17" width="14.875" style="3401" customWidth="1"/>
    <col min="18" max="18" width="17" style="3401" customWidth="1"/>
    <col min="19" max="19" width="9" style="3401" customWidth="1"/>
    <col min="20" max="20" width="6.375" style="3401" customWidth="1"/>
    <col min="21" max="21" width="8.75" style="3401" bestFit="1" customWidth="1"/>
    <col min="22" max="22" width="15.625" style="3401" customWidth="1"/>
    <col min="23" max="23" width="13.75" style="3401" bestFit="1" customWidth="1"/>
    <col min="24" max="16384" width="8" style="3401"/>
  </cols>
  <sheetData>
    <row r="1" spans="1:23">
      <c r="A1" s="4531" t="s">
        <v>1710</v>
      </c>
      <c r="B1" s="4531"/>
      <c r="C1" s="4531"/>
      <c r="D1" s="4531"/>
      <c r="E1" s="4531"/>
      <c r="F1" s="4531"/>
      <c r="G1" s="4531"/>
      <c r="H1" s="4531"/>
      <c r="I1" s="4531"/>
      <c r="J1" s="4531"/>
      <c r="K1" s="4531"/>
      <c r="L1" s="4531"/>
      <c r="M1" s="4531"/>
      <c r="N1" s="4531"/>
      <c r="O1" s="4531"/>
      <c r="P1" s="4531"/>
      <c r="Q1" s="4531"/>
      <c r="R1" s="4531"/>
      <c r="S1" s="3567"/>
      <c r="T1" s="3567"/>
    </row>
    <row r="2" spans="1:23" s="3402" customFormat="1" ht="14.25">
      <c r="A2" s="4531" t="s">
        <v>1711</v>
      </c>
      <c r="B2" s="4531"/>
      <c r="C2" s="4531"/>
      <c r="D2" s="4531"/>
      <c r="E2" s="4531"/>
      <c r="F2" s="4531"/>
      <c r="G2" s="4531"/>
      <c r="H2" s="4531"/>
      <c r="I2" s="4531"/>
      <c r="J2" s="4531"/>
      <c r="K2" s="4531"/>
      <c r="L2" s="4531"/>
      <c r="M2" s="4531"/>
      <c r="N2" s="4531"/>
      <c r="O2" s="4531"/>
      <c r="P2" s="4531"/>
      <c r="Q2" s="4531"/>
      <c r="R2" s="4531"/>
      <c r="S2" s="3567"/>
      <c r="T2" s="3567"/>
    </row>
    <row r="3" spans="1:23" s="3402" customFormat="1" ht="14.25">
      <c r="A3" s="4530" t="s">
        <v>1712</v>
      </c>
      <c r="B3" s="4530"/>
      <c r="C3" s="4530"/>
      <c r="D3" s="4530"/>
      <c r="E3" s="4530"/>
      <c r="F3" s="4530"/>
      <c r="G3" s="4530"/>
      <c r="H3" s="4530"/>
      <c r="I3" s="4530"/>
      <c r="J3" s="4530"/>
      <c r="K3" s="4530"/>
      <c r="L3" s="4530"/>
      <c r="M3" s="4530"/>
      <c r="N3" s="4530"/>
      <c r="O3" s="4530"/>
      <c r="P3" s="4530"/>
      <c r="Q3" s="4530"/>
      <c r="R3" s="4530"/>
      <c r="S3" s="3568"/>
      <c r="T3" s="3568"/>
    </row>
    <row r="4" spans="1:23" s="3402" customFormat="1">
      <c r="A4" s="4533" t="s">
        <v>574</v>
      </c>
      <c r="B4" s="4533"/>
      <c r="C4" s="4533"/>
      <c r="D4" s="4533"/>
      <c r="E4" s="4533"/>
      <c r="F4" s="4533"/>
      <c r="G4" s="4533"/>
      <c r="H4" s="4533"/>
      <c r="I4" s="4533"/>
      <c r="J4" s="4533"/>
      <c r="K4" s="4533"/>
      <c r="L4" s="4533"/>
      <c r="M4" s="4533"/>
      <c r="N4" s="4533"/>
      <c r="O4" s="4533"/>
      <c r="P4" s="4533"/>
      <c r="Q4" s="4533"/>
      <c r="R4" s="4533"/>
    </row>
    <row r="5" spans="1:23" s="3402" customFormat="1" ht="14.25">
      <c r="A5" s="4531" t="s">
        <v>1192</v>
      </c>
      <c r="B5" s="4531"/>
      <c r="C5" s="4531"/>
      <c r="D5" s="4531"/>
      <c r="E5" s="3567"/>
      <c r="F5" s="3567"/>
      <c r="G5" s="3403"/>
      <c r="H5" s="3403"/>
      <c r="I5" s="3403"/>
      <c r="J5" s="3403"/>
      <c r="K5" s="3403"/>
      <c r="L5" s="3403"/>
      <c r="M5" s="3403"/>
      <c r="N5" s="3403"/>
      <c r="O5" s="3403"/>
      <c r="P5" s="3403"/>
      <c r="Q5" s="3403"/>
      <c r="R5" s="3403"/>
    </row>
    <row r="6" spans="1:23" s="3402" customFormat="1" ht="14.25">
      <c r="A6" s="4531"/>
      <c r="B6" s="4531"/>
      <c r="C6" s="4531"/>
      <c r="D6" s="4531"/>
      <c r="E6" s="4531"/>
      <c r="F6" s="4531"/>
      <c r="G6" s="4531"/>
      <c r="H6" s="4531"/>
      <c r="I6" s="4531"/>
      <c r="J6" s="4531"/>
      <c r="K6" s="4531"/>
      <c r="L6" s="4531"/>
      <c r="M6" s="4531"/>
      <c r="N6" s="4531"/>
      <c r="O6" s="4531"/>
      <c r="P6" s="4531"/>
      <c r="Q6" s="4531"/>
      <c r="R6" s="4531"/>
    </row>
    <row r="7" spans="1:23" ht="18.75">
      <c r="A7" s="4532" t="s">
        <v>1862</v>
      </c>
      <c r="B7" s="4532"/>
      <c r="C7" s="4532"/>
      <c r="D7" s="4532"/>
      <c r="E7" s="4532"/>
      <c r="F7" s="4532"/>
      <c r="G7" s="4532"/>
      <c r="H7" s="4532"/>
      <c r="I7" s="4532"/>
      <c r="J7" s="4532"/>
      <c r="K7" s="4532"/>
      <c r="L7" s="4532"/>
      <c r="M7" s="4532"/>
      <c r="N7" s="4532"/>
      <c r="O7" s="4532"/>
      <c r="P7" s="4532"/>
      <c r="Q7" s="4532"/>
      <c r="R7" s="4532"/>
      <c r="S7" s="3569"/>
      <c r="T7" s="3569"/>
    </row>
    <row r="8" spans="1:23" s="3402" customFormat="1" ht="12" customHeight="1">
      <c r="I8" s="3404"/>
      <c r="R8" s="3605" t="s">
        <v>1677</v>
      </c>
      <c r="S8" s="3405"/>
      <c r="T8" s="3405"/>
    </row>
    <row r="9" spans="1:23" ht="15.75" customHeight="1">
      <c r="A9" s="4522" t="s">
        <v>1</v>
      </c>
      <c r="B9" s="4526" t="s">
        <v>1713</v>
      </c>
      <c r="C9" s="4534" t="s">
        <v>2</v>
      </c>
      <c r="D9" s="4535"/>
      <c r="E9" s="4526" t="s">
        <v>5</v>
      </c>
      <c r="F9" s="4522" t="s">
        <v>781</v>
      </c>
      <c r="G9" s="4522"/>
      <c r="H9" s="4522"/>
      <c r="I9" s="4522"/>
      <c r="J9" s="4522"/>
      <c r="K9" s="4524" t="s">
        <v>1169</v>
      </c>
      <c r="L9" s="4526" t="s">
        <v>10</v>
      </c>
      <c r="M9" s="4526" t="s">
        <v>11</v>
      </c>
      <c r="N9" s="4527" t="s">
        <v>619</v>
      </c>
      <c r="O9" s="4526" t="s">
        <v>12</v>
      </c>
      <c r="P9" s="4526" t="s">
        <v>16</v>
      </c>
      <c r="Q9" s="4526" t="s">
        <v>17</v>
      </c>
      <c r="R9" s="4526" t="s">
        <v>1714</v>
      </c>
      <c r="S9" s="3406"/>
    </row>
    <row r="10" spans="1:23" ht="34.5" customHeight="1">
      <c r="A10" s="4522"/>
      <c r="B10" s="4526"/>
      <c r="C10" s="4536"/>
      <c r="D10" s="4537"/>
      <c r="E10" s="4526"/>
      <c r="F10" s="3570" t="s">
        <v>50</v>
      </c>
      <c r="G10" s="3571" t="s">
        <v>707</v>
      </c>
      <c r="H10" s="3407" t="s">
        <v>1715</v>
      </c>
      <c r="I10" s="3606" t="s">
        <v>24</v>
      </c>
      <c r="J10" s="3407" t="s">
        <v>25</v>
      </c>
      <c r="K10" s="4525"/>
      <c r="L10" s="4526"/>
      <c r="M10" s="4522"/>
      <c r="N10" s="4527"/>
      <c r="O10" s="4522"/>
      <c r="P10" s="4522"/>
      <c r="Q10" s="4522"/>
      <c r="R10" s="4522"/>
      <c r="S10" s="3409"/>
      <c r="T10" s="3410"/>
      <c r="V10" s="3411"/>
    </row>
    <row r="11" spans="1:23" s="3423" customFormat="1" ht="27" customHeight="1">
      <c r="A11" s="3412">
        <v>1</v>
      </c>
      <c r="B11" s="3413"/>
      <c r="C11" s="4528" t="str">
        <f>'CHẤM CÔNG XĂNG XE'!C15</f>
        <v>Phạm Đắc Nhân</v>
      </c>
      <c r="D11" s="4529"/>
      <c r="E11" s="3414" t="s">
        <v>680</v>
      </c>
      <c r="F11" s="3415">
        <f>VLOOKUP(C11,'CHẤM CÔNG XĂNG XE'!C15:AT15,44,0)</f>
        <v>30</v>
      </c>
      <c r="G11" s="3416">
        <v>20000</v>
      </c>
      <c r="H11" s="3415"/>
      <c r="I11" s="3417">
        <f>F11*G11</f>
        <v>600000</v>
      </c>
      <c r="J11" s="3417"/>
      <c r="K11" s="3417"/>
      <c r="L11" s="3417">
        <f>+J11+K11</f>
        <v>0</v>
      </c>
      <c r="M11" s="3417"/>
      <c r="N11" s="3417"/>
      <c r="O11" s="3417"/>
      <c r="P11" s="3417">
        <f>L11-M11-O11</f>
        <v>0</v>
      </c>
      <c r="Q11" s="3418"/>
      <c r="R11" s="3419"/>
      <c r="S11" s="3420"/>
      <c r="T11" s="3421"/>
      <c r="U11" s="3422"/>
      <c r="V11" s="3421"/>
      <c r="W11" s="3422"/>
    </row>
    <row r="12" spans="1:23" s="3423" customFormat="1" ht="27" customHeight="1">
      <c r="A12" s="3412">
        <v>2</v>
      </c>
      <c r="B12" s="3413"/>
      <c r="C12" s="4528" t="str">
        <f>'CHẤM CÔNG XĂNG XE'!C16</f>
        <v>Hồ Tất Minh Tâm</v>
      </c>
      <c r="D12" s="4529"/>
      <c r="E12" s="3414" t="s">
        <v>1357</v>
      </c>
      <c r="F12" s="3415">
        <f>VLOOKUP(C12,'CHẤM CÔNG XĂNG XE'!C16:AT16,44,0)</f>
        <v>30</v>
      </c>
      <c r="G12" s="3416">
        <v>20000</v>
      </c>
      <c r="H12" s="3415"/>
      <c r="I12" s="3417">
        <f>F12*G12</f>
        <v>600000</v>
      </c>
      <c r="J12" s="3417"/>
      <c r="K12" s="3417"/>
      <c r="L12" s="3417">
        <f t="shared" ref="L12:L14" si="0">+J12+K12</f>
        <v>0</v>
      </c>
      <c r="M12" s="3417"/>
      <c r="N12" s="3417"/>
      <c r="O12" s="3417"/>
      <c r="P12" s="3417">
        <f t="shared" ref="P12:P14" si="1">L12-M12-O12</f>
        <v>0</v>
      </c>
      <c r="Q12" s="3424"/>
      <c r="R12" s="3419"/>
      <c r="S12" s="3420"/>
      <c r="T12" s="3421"/>
      <c r="U12" s="3422"/>
      <c r="W12" s="3422"/>
    </row>
    <row r="13" spans="1:23" s="3423" customFormat="1" ht="27" customHeight="1">
      <c r="A13" s="3412">
        <v>3</v>
      </c>
      <c r="B13" s="3413"/>
      <c r="C13" s="4528" t="str">
        <f>'CHẤM CÔNG XĂNG XE'!C17</f>
        <v>Trần Văn Sơn</v>
      </c>
      <c r="D13" s="4529"/>
      <c r="E13" s="3414" t="s">
        <v>1717</v>
      </c>
      <c r="F13" s="3415">
        <f>VLOOKUP(C13,'CHẤM CÔNG XĂNG XE'!C17:AT17,44,0)</f>
        <v>30</v>
      </c>
      <c r="G13" s="3416">
        <v>20000</v>
      </c>
      <c r="H13" s="3415"/>
      <c r="I13" s="3417">
        <f>F13*G13</f>
        <v>600000</v>
      </c>
      <c r="J13" s="3417"/>
      <c r="K13" s="3417"/>
      <c r="L13" s="3417">
        <f t="shared" si="0"/>
        <v>0</v>
      </c>
      <c r="M13" s="3417"/>
      <c r="N13" s="3417"/>
      <c r="O13" s="3417"/>
      <c r="P13" s="3417">
        <f t="shared" si="1"/>
        <v>0</v>
      </c>
      <c r="Q13" s="3424"/>
      <c r="R13" s="3419"/>
      <c r="S13" s="3420"/>
      <c r="T13" s="3421"/>
      <c r="U13" s="3422"/>
      <c r="V13" s="3421"/>
      <c r="W13" s="3422"/>
    </row>
    <row r="14" spans="1:23" s="3423" customFormat="1" ht="27" customHeight="1">
      <c r="A14" s="3412">
        <v>4</v>
      </c>
      <c r="B14" s="3413"/>
      <c r="C14" s="4528" t="str">
        <f>'CHẤM CÔNG XĂNG XE'!C18</f>
        <v>Đoàn Nhật Nam</v>
      </c>
      <c r="D14" s="4529"/>
      <c r="E14" s="3414" t="s">
        <v>1863</v>
      </c>
      <c r="F14" s="3415">
        <f>VLOOKUP(C14,'CHẤM CÔNG XĂNG XE'!C18:AT18,44,0)</f>
        <v>30</v>
      </c>
      <c r="G14" s="3416">
        <v>20000</v>
      </c>
      <c r="H14" s="3415"/>
      <c r="I14" s="3417">
        <f>F14*G14</f>
        <v>600000</v>
      </c>
      <c r="J14" s="3417"/>
      <c r="K14" s="3417"/>
      <c r="L14" s="3417">
        <f t="shared" si="0"/>
        <v>0</v>
      </c>
      <c r="M14" s="3417"/>
      <c r="N14" s="3417"/>
      <c r="O14" s="3417"/>
      <c r="P14" s="3417">
        <f t="shared" si="1"/>
        <v>0</v>
      </c>
      <c r="Q14" s="3424"/>
      <c r="R14" s="3419"/>
      <c r="S14" s="3420"/>
      <c r="T14" s="3421"/>
      <c r="U14" s="3422"/>
      <c r="V14" s="3421"/>
      <c r="W14" s="3422"/>
    </row>
    <row r="15" spans="1:23" s="3423" customFormat="1" ht="27" customHeight="1">
      <c r="A15" s="3412">
        <v>5</v>
      </c>
      <c r="B15" s="3413"/>
      <c r="C15" s="3667" t="str">
        <f>'CHẤM CÔNG XĂNG XE'!C19</f>
        <v>Dương Văn Việt</v>
      </c>
      <c r="D15" s="3668"/>
      <c r="E15" s="3414" t="s">
        <v>1716</v>
      </c>
      <c r="F15" s="3415">
        <f>VLOOKUP(C15,'CHẤM CÔNG XĂNG XE'!C19:AT19,44,0)</f>
        <v>30</v>
      </c>
      <c r="G15" s="3416">
        <v>20000</v>
      </c>
      <c r="H15" s="3415"/>
      <c r="I15" s="3417">
        <f t="shared" ref="I15:I18" si="2">F15*G15</f>
        <v>600000</v>
      </c>
      <c r="J15" s="3417"/>
      <c r="K15" s="3417"/>
      <c r="L15" s="3417"/>
      <c r="M15" s="3417"/>
      <c r="N15" s="3417"/>
      <c r="O15" s="3417"/>
      <c r="P15" s="3417"/>
      <c r="Q15" s="3424"/>
      <c r="R15" s="3419"/>
      <c r="S15" s="3420"/>
      <c r="T15" s="3421"/>
      <c r="U15" s="3422"/>
      <c r="V15" s="3421"/>
      <c r="W15" s="3422"/>
    </row>
    <row r="16" spans="1:23" s="3423" customFormat="1" ht="27" customHeight="1">
      <c r="A16" s="3412">
        <v>6</v>
      </c>
      <c r="B16" s="3413"/>
      <c r="C16" s="3667" t="str">
        <f>'CHẤM CÔNG XĂNG XE'!C20</f>
        <v>Hồ Tiến Đạt</v>
      </c>
      <c r="D16" s="3668"/>
      <c r="E16" s="3414" t="s">
        <v>1864</v>
      </c>
      <c r="F16" s="3415">
        <f>VLOOKUP(C16,'CHẤM CÔNG XĂNG XE'!C20:AT20,44,0)</f>
        <v>30</v>
      </c>
      <c r="G16" s="3416">
        <v>20000</v>
      </c>
      <c r="H16" s="3415"/>
      <c r="I16" s="3417">
        <f t="shared" si="2"/>
        <v>600000</v>
      </c>
      <c r="J16" s="3417"/>
      <c r="K16" s="3417"/>
      <c r="L16" s="3417"/>
      <c r="M16" s="3417"/>
      <c r="N16" s="3417"/>
      <c r="O16" s="3417"/>
      <c r="P16" s="3417"/>
      <c r="Q16" s="3424"/>
      <c r="R16" s="3419"/>
      <c r="S16" s="3420"/>
      <c r="T16" s="3421"/>
      <c r="U16" s="3422"/>
      <c r="V16" s="3421"/>
      <c r="W16" s="3422"/>
    </row>
    <row r="17" spans="1:23" s="3423" customFormat="1" ht="27" customHeight="1">
      <c r="A17" s="3412">
        <v>7</v>
      </c>
      <c r="B17" s="3413"/>
      <c r="C17" s="3667" t="str">
        <f>'CHẤM CÔNG XĂNG XE'!C21</f>
        <v>Souvannasane Lamngeune</v>
      </c>
      <c r="D17" s="3668"/>
      <c r="E17" s="3414" t="s">
        <v>1357</v>
      </c>
      <c r="F17" s="3415">
        <f>VLOOKUP(C17,'CHẤM CÔNG XĂNG XE'!C21:AT21,44,0)</f>
        <v>30</v>
      </c>
      <c r="G17" s="3416">
        <v>20000</v>
      </c>
      <c r="H17" s="3415"/>
      <c r="I17" s="3417">
        <f t="shared" si="2"/>
        <v>600000</v>
      </c>
      <c r="J17" s="3417"/>
      <c r="K17" s="3417"/>
      <c r="L17" s="3417"/>
      <c r="M17" s="3417"/>
      <c r="N17" s="3417"/>
      <c r="O17" s="3417"/>
      <c r="P17" s="3417"/>
      <c r="Q17" s="3424"/>
      <c r="R17" s="3419"/>
      <c r="S17" s="3420"/>
      <c r="T17" s="3421"/>
      <c r="U17" s="3422"/>
      <c r="V17" s="3421"/>
      <c r="W17" s="3422"/>
    </row>
    <row r="18" spans="1:23" s="3423" customFormat="1" ht="27" customHeight="1">
      <c r="A18" s="3412">
        <v>8</v>
      </c>
      <c r="B18" s="3413"/>
      <c r="C18" s="3907" t="str">
        <f>'XĂNG XE T3'!C15</f>
        <v>Souvannasane Lamngeune</v>
      </c>
      <c r="D18" s="3908"/>
      <c r="E18" s="3414" t="s">
        <v>1357</v>
      </c>
      <c r="F18" s="3415">
        <f>VLOOKUP(C18,'XĂNG XE T3'!C15:AI15,33,0)</f>
        <v>12</v>
      </c>
      <c r="G18" s="3416">
        <v>20000</v>
      </c>
      <c r="H18" s="3415"/>
      <c r="I18" s="3417">
        <f t="shared" si="2"/>
        <v>240000</v>
      </c>
      <c r="J18" s="3417"/>
      <c r="K18" s="3417"/>
      <c r="L18" s="3417"/>
      <c r="M18" s="3417"/>
      <c r="N18" s="3417"/>
      <c r="O18" s="3417"/>
      <c r="P18" s="3417"/>
      <c r="Q18" s="3424"/>
      <c r="R18" s="3920" t="s">
        <v>1912</v>
      </c>
      <c r="S18" s="3420"/>
      <c r="T18" s="3421"/>
      <c r="U18" s="3422"/>
      <c r="V18" s="3421"/>
      <c r="W18" s="3422"/>
    </row>
    <row r="19" spans="1:23" s="3423" customFormat="1" ht="21" customHeight="1">
      <c r="A19" s="4522" t="s">
        <v>187</v>
      </c>
      <c r="B19" s="4522"/>
      <c r="C19" s="4522"/>
      <c r="D19" s="4522"/>
      <c r="E19" s="4522"/>
      <c r="F19" s="3425">
        <f>SUM(F11:F18)</f>
        <v>222</v>
      </c>
      <c r="G19" s="3425"/>
      <c r="H19" s="3408"/>
      <c r="I19" s="3426">
        <f>SUM(I11:I18)</f>
        <v>4440000</v>
      </c>
      <c r="J19" s="3426">
        <f t="shared" ref="J19:P19" si="3">SUM(J11:J14)</f>
        <v>0</v>
      </c>
      <c r="K19" s="3426">
        <f t="shared" si="3"/>
        <v>0</v>
      </c>
      <c r="L19" s="3426">
        <f t="shared" si="3"/>
        <v>0</v>
      </c>
      <c r="M19" s="3426">
        <f t="shared" si="3"/>
        <v>0</v>
      </c>
      <c r="N19" s="3426">
        <f t="shared" si="3"/>
        <v>0</v>
      </c>
      <c r="O19" s="3426">
        <f t="shared" si="3"/>
        <v>0</v>
      </c>
      <c r="P19" s="3426">
        <f t="shared" si="3"/>
        <v>0</v>
      </c>
      <c r="Q19" s="3408"/>
      <c r="R19" s="3408"/>
      <c r="S19" s="3427"/>
      <c r="T19" s="3428"/>
      <c r="U19" s="3422"/>
      <c r="V19" s="3429"/>
      <c r="W19" s="3422"/>
    </row>
    <row r="20" spans="1:23" s="3403" customFormat="1" ht="15.75" customHeight="1">
      <c r="A20" s="4523" t="s">
        <v>1910</v>
      </c>
      <c r="B20" s="4523"/>
      <c r="C20" s="4523"/>
      <c r="D20" s="4523"/>
      <c r="E20" s="4523"/>
      <c r="F20" s="4523"/>
      <c r="G20" s="4523"/>
      <c r="H20" s="4523"/>
      <c r="I20" s="4523"/>
      <c r="J20" s="4523"/>
      <c r="K20" s="4523"/>
      <c r="L20" s="4523"/>
      <c r="M20" s="4523"/>
      <c r="N20" s="4523"/>
      <c r="O20" s="4523"/>
      <c r="P20" s="4523"/>
      <c r="Q20" s="4523"/>
      <c r="R20" s="4523"/>
      <c r="S20" s="3430"/>
      <c r="T20" s="3431"/>
      <c r="V20" s="3432"/>
    </row>
    <row r="21" spans="1:23" s="3403" customFormat="1" ht="10.5" customHeight="1">
      <c r="E21" s="3433"/>
      <c r="F21" s="3433"/>
      <c r="G21" s="3433"/>
      <c r="H21" s="3433"/>
      <c r="I21" s="3433"/>
      <c r="J21" s="3433"/>
      <c r="K21" s="3433"/>
      <c r="L21" s="3433"/>
      <c r="M21" s="3433"/>
      <c r="N21" s="3433"/>
      <c r="O21" s="3433"/>
      <c r="P21" s="3433"/>
      <c r="T21" s="3431"/>
    </row>
    <row r="22" spans="1:23" ht="15" customHeight="1">
      <c r="A22" s="3434"/>
      <c r="B22" s="3434"/>
      <c r="D22" s="3435"/>
      <c r="F22" s="3436"/>
      <c r="I22" s="4538" t="s">
        <v>1913</v>
      </c>
      <c r="J22" s="4538"/>
      <c r="K22" s="4538"/>
      <c r="L22" s="4538"/>
      <c r="M22" s="4538"/>
      <c r="N22" s="4538"/>
      <c r="O22" s="4538"/>
      <c r="P22" s="4538"/>
      <c r="Q22" s="4538"/>
      <c r="R22" s="4538"/>
      <c r="S22" s="3437"/>
      <c r="T22" s="3438"/>
      <c r="U22" s="3439"/>
    </row>
    <row r="23" spans="1:23" ht="15.75">
      <c r="A23" s="4539" t="s">
        <v>45</v>
      </c>
      <c r="B23" s="4539"/>
      <c r="C23" s="4539"/>
      <c r="D23" s="4539"/>
      <c r="E23" s="4539" t="s">
        <v>44</v>
      </c>
      <c r="F23" s="4539"/>
      <c r="G23" s="4539" t="s">
        <v>615</v>
      </c>
      <c r="H23" s="4539"/>
      <c r="I23" s="4539"/>
      <c r="J23" s="3440"/>
      <c r="K23" s="3440"/>
      <c r="L23" s="3440"/>
      <c r="M23" s="4539" t="s">
        <v>614</v>
      </c>
      <c r="N23" s="4539"/>
      <c r="O23" s="4539"/>
      <c r="P23" s="4539"/>
      <c r="Q23" s="4539"/>
      <c r="R23" s="4539"/>
      <c r="S23" s="3441"/>
      <c r="T23" s="3440"/>
    </row>
    <row r="26" spans="1:23" ht="57.75" customHeight="1"/>
    <row r="28" spans="1:23" s="3403" customFormat="1" ht="14.25">
      <c r="A28" s="4531"/>
      <c r="B28" s="4531"/>
      <c r="C28" s="4531"/>
      <c r="D28" s="4531"/>
      <c r="E28" s="4531"/>
      <c r="F28" s="4531"/>
      <c r="I28" s="3442"/>
      <c r="P28" s="4531"/>
      <c r="Q28" s="4531"/>
      <c r="R28" s="4531"/>
    </row>
    <row r="29" spans="1:23">
      <c r="P29" s="4531"/>
      <c r="Q29" s="4531"/>
      <c r="R29" s="4531"/>
      <c r="S29" s="3443"/>
    </row>
  </sheetData>
  <mergeCells count="35">
    <mergeCell ref="P29:R29"/>
    <mergeCell ref="I22:R22"/>
    <mergeCell ref="A23:D23"/>
    <mergeCell ref="E23:F23"/>
    <mergeCell ref="M23:R23"/>
    <mergeCell ref="A28:D28"/>
    <mergeCell ref="E28:F28"/>
    <mergeCell ref="P28:R28"/>
    <mergeCell ref="G23:I23"/>
    <mergeCell ref="A3:R3"/>
    <mergeCell ref="A2:R2"/>
    <mergeCell ref="A1:R1"/>
    <mergeCell ref="A7:R7"/>
    <mergeCell ref="P9:P10"/>
    <mergeCell ref="Q9:Q10"/>
    <mergeCell ref="R9:R10"/>
    <mergeCell ref="A4:R4"/>
    <mergeCell ref="A6:R6"/>
    <mergeCell ref="A9:A10"/>
    <mergeCell ref="B9:B10"/>
    <mergeCell ref="C9:D10"/>
    <mergeCell ref="E9:E10"/>
    <mergeCell ref="F9:J9"/>
    <mergeCell ref="A5:D5"/>
    <mergeCell ref="A19:E19"/>
    <mergeCell ref="A20:R20"/>
    <mergeCell ref="K9:K10"/>
    <mergeCell ref="L9:L10"/>
    <mergeCell ref="M9:M10"/>
    <mergeCell ref="N9:N10"/>
    <mergeCell ref="O9:O10"/>
    <mergeCell ref="C14:D14"/>
    <mergeCell ref="C13:D13"/>
    <mergeCell ref="C12:D12"/>
    <mergeCell ref="C11:D11"/>
  </mergeCells>
  <pageMargins left="0.39370078740157483" right="0.39370078740157483" top="0.39370078740157483" bottom="0.39370078740157483" header="0.59055118110236227" footer="0.59055118110236227"/>
  <pageSetup paperSize="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I24"/>
  <sheetViews>
    <sheetView zoomScaleNormal="100" workbookViewId="0">
      <selection activeCell="D11" sqref="D11:L15"/>
    </sheetView>
  </sheetViews>
  <sheetFormatPr defaultRowHeight="15"/>
  <cols>
    <col min="1" max="1" width="5.375" style="1458" customWidth="1"/>
    <col min="2" max="2" width="9" style="1458" hidden="1" customWidth="1"/>
    <col min="3" max="3" width="18.875" style="1458" customWidth="1"/>
    <col min="4" max="6" width="4.25" style="1458" customWidth="1"/>
    <col min="7" max="7" width="5.25" style="1458" customWidth="1"/>
    <col min="8" max="13" width="4.25" style="1458" customWidth="1"/>
    <col min="14" max="14" width="4.875" style="1458" customWidth="1"/>
    <col min="15" max="27" width="4.25" style="1458" customWidth="1"/>
    <col min="28" max="28" width="4.625" style="1458" customWidth="1"/>
    <col min="29" max="31" width="4.25" style="1458" customWidth="1"/>
    <col min="32" max="33" width="5.375" style="1458" customWidth="1"/>
    <col min="34" max="34" width="4.25" style="1458" customWidth="1"/>
    <col min="35" max="35" width="7.75" style="1458" customWidth="1"/>
    <col min="36" max="242" width="9" style="1458"/>
    <col min="243" max="243" width="9" style="1458" customWidth="1"/>
    <col min="244" max="244" width="24" style="1458" customWidth="1"/>
    <col min="245" max="275" width="4.25" style="1458" customWidth="1"/>
    <col min="276" max="276" width="9.25" style="1458" customWidth="1"/>
    <col min="277" max="286" width="0" style="1458" hidden="1" customWidth="1"/>
    <col min="287" max="498" width="9" style="1458"/>
    <col min="499" max="499" width="9" style="1458" customWidth="1"/>
    <col min="500" max="500" width="24" style="1458" customWidth="1"/>
    <col min="501" max="531" width="4.25" style="1458" customWidth="1"/>
    <col min="532" max="532" width="9.25" style="1458" customWidth="1"/>
    <col min="533" max="542" width="0" style="1458" hidden="1" customWidth="1"/>
    <col min="543" max="754" width="9" style="1458"/>
    <col min="755" max="755" width="9" style="1458" customWidth="1"/>
    <col min="756" max="756" width="24" style="1458" customWidth="1"/>
    <col min="757" max="787" width="4.25" style="1458" customWidth="1"/>
    <col min="788" max="788" width="9.25" style="1458" customWidth="1"/>
    <col min="789" max="798" width="0" style="1458" hidden="1" customWidth="1"/>
    <col min="799" max="1010" width="9" style="1458"/>
    <col min="1011" max="1011" width="9" style="1458" customWidth="1"/>
    <col min="1012" max="1012" width="24" style="1458" customWidth="1"/>
    <col min="1013" max="1043" width="4.25" style="1458" customWidth="1"/>
    <col min="1044" max="1044" width="9.25" style="1458" customWidth="1"/>
    <col min="1045" max="1054" width="0" style="1458" hidden="1" customWidth="1"/>
    <col min="1055" max="1266" width="9" style="1458"/>
    <col min="1267" max="1267" width="9" style="1458" customWidth="1"/>
    <col min="1268" max="1268" width="24" style="1458" customWidth="1"/>
    <col min="1269" max="1299" width="4.25" style="1458" customWidth="1"/>
    <col min="1300" max="1300" width="9.25" style="1458" customWidth="1"/>
    <col min="1301" max="1310" width="0" style="1458" hidden="1" customWidth="1"/>
    <col min="1311" max="1522" width="9" style="1458"/>
    <col min="1523" max="1523" width="9" style="1458" customWidth="1"/>
    <col min="1524" max="1524" width="24" style="1458" customWidth="1"/>
    <col min="1525" max="1555" width="4.25" style="1458" customWidth="1"/>
    <col min="1556" max="1556" width="9.25" style="1458" customWidth="1"/>
    <col min="1557" max="1566" width="0" style="1458" hidden="1" customWidth="1"/>
    <col min="1567" max="1778" width="9" style="1458"/>
    <col min="1779" max="1779" width="9" style="1458" customWidth="1"/>
    <col min="1780" max="1780" width="24" style="1458" customWidth="1"/>
    <col min="1781" max="1811" width="4.25" style="1458" customWidth="1"/>
    <col min="1812" max="1812" width="9.25" style="1458" customWidth="1"/>
    <col min="1813" max="1822" width="0" style="1458" hidden="1" customWidth="1"/>
    <col min="1823" max="2034" width="9" style="1458"/>
    <col min="2035" max="2035" width="9" style="1458" customWidth="1"/>
    <col min="2036" max="2036" width="24" style="1458" customWidth="1"/>
    <col min="2037" max="2067" width="4.25" style="1458" customWidth="1"/>
    <col min="2068" max="2068" width="9.25" style="1458" customWidth="1"/>
    <col min="2069" max="2078" width="0" style="1458" hidden="1" customWidth="1"/>
    <col min="2079" max="2290" width="9" style="1458"/>
    <col min="2291" max="2291" width="9" style="1458" customWidth="1"/>
    <col min="2292" max="2292" width="24" style="1458" customWidth="1"/>
    <col min="2293" max="2323" width="4.25" style="1458" customWidth="1"/>
    <col min="2324" max="2324" width="9.25" style="1458" customWidth="1"/>
    <col min="2325" max="2334" width="0" style="1458" hidden="1" customWidth="1"/>
    <col min="2335" max="2546" width="9" style="1458"/>
    <col min="2547" max="2547" width="9" style="1458" customWidth="1"/>
    <col min="2548" max="2548" width="24" style="1458" customWidth="1"/>
    <col min="2549" max="2579" width="4.25" style="1458" customWidth="1"/>
    <col min="2580" max="2580" width="9.25" style="1458" customWidth="1"/>
    <col min="2581" max="2590" width="0" style="1458" hidden="1" customWidth="1"/>
    <col min="2591" max="2802" width="9" style="1458"/>
    <col min="2803" max="2803" width="9" style="1458" customWidth="1"/>
    <col min="2804" max="2804" width="24" style="1458" customWidth="1"/>
    <col min="2805" max="2835" width="4.25" style="1458" customWidth="1"/>
    <col min="2836" max="2836" width="9.25" style="1458" customWidth="1"/>
    <col min="2837" max="2846" width="0" style="1458" hidden="1" customWidth="1"/>
    <col min="2847" max="3058" width="9" style="1458"/>
    <col min="3059" max="3059" width="9" style="1458" customWidth="1"/>
    <col min="3060" max="3060" width="24" style="1458" customWidth="1"/>
    <col min="3061" max="3091" width="4.25" style="1458" customWidth="1"/>
    <col min="3092" max="3092" width="9.25" style="1458" customWidth="1"/>
    <col min="3093" max="3102" width="0" style="1458" hidden="1" customWidth="1"/>
    <col min="3103" max="3314" width="9" style="1458"/>
    <col min="3315" max="3315" width="9" style="1458" customWidth="1"/>
    <col min="3316" max="3316" width="24" style="1458" customWidth="1"/>
    <col min="3317" max="3347" width="4.25" style="1458" customWidth="1"/>
    <col min="3348" max="3348" width="9.25" style="1458" customWidth="1"/>
    <col min="3349" max="3358" width="0" style="1458" hidden="1" customWidth="1"/>
    <col min="3359" max="3570" width="9" style="1458"/>
    <col min="3571" max="3571" width="9" style="1458" customWidth="1"/>
    <col min="3572" max="3572" width="24" style="1458" customWidth="1"/>
    <col min="3573" max="3603" width="4.25" style="1458" customWidth="1"/>
    <col min="3604" max="3604" width="9.25" style="1458" customWidth="1"/>
    <col min="3605" max="3614" width="0" style="1458" hidden="1" customWidth="1"/>
    <col min="3615" max="3826" width="9" style="1458"/>
    <col min="3827" max="3827" width="9" style="1458" customWidth="1"/>
    <col min="3828" max="3828" width="24" style="1458" customWidth="1"/>
    <col min="3829" max="3859" width="4.25" style="1458" customWidth="1"/>
    <col min="3860" max="3860" width="9.25" style="1458" customWidth="1"/>
    <col min="3861" max="3870" width="0" style="1458" hidden="1" customWidth="1"/>
    <col min="3871" max="4082" width="9" style="1458"/>
    <col min="4083" max="4083" width="9" style="1458" customWidth="1"/>
    <col min="4084" max="4084" width="24" style="1458" customWidth="1"/>
    <col min="4085" max="4115" width="4.25" style="1458" customWidth="1"/>
    <col min="4116" max="4116" width="9.25" style="1458" customWidth="1"/>
    <col min="4117" max="4126" width="0" style="1458" hidden="1" customWidth="1"/>
    <col min="4127" max="4338" width="9" style="1458"/>
    <col min="4339" max="4339" width="9" style="1458" customWidth="1"/>
    <col min="4340" max="4340" width="24" style="1458" customWidth="1"/>
    <col min="4341" max="4371" width="4.25" style="1458" customWidth="1"/>
    <col min="4372" max="4372" width="9.25" style="1458" customWidth="1"/>
    <col min="4373" max="4382" width="0" style="1458" hidden="1" customWidth="1"/>
    <col min="4383" max="4594" width="9" style="1458"/>
    <col min="4595" max="4595" width="9" style="1458" customWidth="1"/>
    <col min="4596" max="4596" width="24" style="1458" customWidth="1"/>
    <col min="4597" max="4627" width="4.25" style="1458" customWidth="1"/>
    <col min="4628" max="4628" width="9.25" style="1458" customWidth="1"/>
    <col min="4629" max="4638" width="0" style="1458" hidden="1" customWidth="1"/>
    <col min="4639" max="4850" width="9" style="1458"/>
    <col min="4851" max="4851" width="9" style="1458" customWidth="1"/>
    <col min="4852" max="4852" width="24" style="1458" customWidth="1"/>
    <col min="4853" max="4883" width="4.25" style="1458" customWidth="1"/>
    <col min="4884" max="4884" width="9.25" style="1458" customWidth="1"/>
    <col min="4885" max="4894" width="0" style="1458" hidden="1" customWidth="1"/>
    <col min="4895" max="5106" width="9" style="1458"/>
    <col min="5107" max="5107" width="9" style="1458" customWidth="1"/>
    <col min="5108" max="5108" width="24" style="1458" customWidth="1"/>
    <col min="5109" max="5139" width="4.25" style="1458" customWidth="1"/>
    <col min="5140" max="5140" width="9.25" style="1458" customWidth="1"/>
    <col min="5141" max="5150" width="0" style="1458" hidden="1" customWidth="1"/>
    <col min="5151" max="5362" width="9" style="1458"/>
    <col min="5363" max="5363" width="9" style="1458" customWidth="1"/>
    <col min="5364" max="5364" width="24" style="1458" customWidth="1"/>
    <col min="5365" max="5395" width="4.25" style="1458" customWidth="1"/>
    <col min="5396" max="5396" width="9.25" style="1458" customWidth="1"/>
    <col min="5397" max="5406" width="0" style="1458" hidden="1" customWidth="1"/>
    <col min="5407" max="5618" width="9" style="1458"/>
    <col min="5619" max="5619" width="9" style="1458" customWidth="1"/>
    <col min="5620" max="5620" width="24" style="1458" customWidth="1"/>
    <col min="5621" max="5651" width="4.25" style="1458" customWidth="1"/>
    <col min="5652" max="5652" width="9.25" style="1458" customWidth="1"/>
    <col min="5653" max="5662" width="0" style="1458" hidden="1" customWidth="1"/>
    <col min="5663" max="5874" width="9" style="1458"/>
    <col min="5875" max="5875" width="9" style="1458" customWidth="1"/>
    <col min="5876" max="5876" width="24" style="1458" customWidth="1"/>
    <col min="5877" max="5907" width="4.25" style="1458" customWidth="1"/>
    <col min="5908" max="5908" width="9.25" style="1458" customWidth="1"/>
    <col min="5909" max="5918" width="0" style="1458" hidden="1" customWidth="1"/>
    <col min="5919" max="6130" width="9" style="1458"/>
    <col min="6131" max="6131" width="9" style="1458" customWidth="1"/>
    <col min="6132" max="6132" width="24" style="1458" customWidth="1"/>
    <col min="6133" max="6163" width="4.25" style="1458" customWidth="1"/>
    <col min="6164" max="6164" width="9.25" style="1458" customWidth="1"/>
    <col min="6165" max="6174" width="0" style="1458" hidden="1" customWidth="1"/>
    <col min="6175" max="6386" width="9" style="1458"/>
    <col min="6387" max="6387" width="9" style="1458" customWidth="1"/>
    <col min="6388" max="6388" width="24" style="1458" customWidth="1"/>
    <col min="6389" max="6419" width="4.25" style="1458" customWidth="1"/>
    <col min="6420" max="6420" width="9.25" style="1458" customWidth="1"/>
    <col min="6421" max="6430" width="0" style="1458" hidden="1" customWidth="1"/>
    <col min="6431" max="6642" width="9" style="1458"/>
    <col min="6643" max="6643" width="9" style="1458" customWidth="1"/>
    <col min="6644" max="6644" width="24" style="1458" customWidth="1"/>
    <col min="6645" max="6675" width="4.25" style="1458" customWidth="1"/>
    <col min="6676" max="6676" width="9.25" style="1458" customWidth="1"/>
    <col min="6677" max="6686" width="0" style="1458" hidden="1" customWidth="1"/>
    <col min="6687" max="6898" width="9" style="1458"/>
    <col min="6899" max="6899" width="9" style="1458" customWidth="1"/>
    <col min="6900" max="6900" width="24" style="1458" customWidth="1"/>
    <col min="6901" max="6931" width="4.25" style="1458" customWidth="1"/>
    <col min="6932" max="6932" width="9.25" style="1458" customWidth="1"/>
    <col min="6933" max="6942" width="0" style="1458" hidden="1" customWidth="1"/>
    <col min="6943" max="7154" width="9" style="1458"/>
    <col min="7155" max="7155" width="9" style="1458" customWidth="1"/>
    <col min="7156" max="7156" width="24" style="1458" customWidth="1"/>
    <col min="7157" max="7187" width="4.25" style="1458" customWidth="1"/>
    <col min="7188" max="7188" width="9.25" style="1458" customWidth="1"/>
    <col min="7189" max="7198" width="0" style="1458" hidden="1" customWidth="1"/>
    <col min="7199" max="7410" width="9" style="1458"/>
    <col min="7411" max="7411" width="9" style="1458" customWidth="1"/>
    <col min="7412" max="7412" width="24" style="1458" customWidth="1"/>
    <col min="7413" max="7443" width="4.25" style="1458" customWidth="1"/>
    <col min="7444" max="7444" width="9.25" style="1458" customWidth="1"/>
    <col min="7445" max="7454" width="0" style="1458" hidden="1" customWidth="1"/>
    <col min="7455" max="7666" width="9" style="1458"/>
    <col min="7667" max="7667" width="9" style="1458" customWidth="1"/>
    <col min="7668" max="7668" width="24" style="1458" customWidth="1"/>
    <col min="7669" max="7699" width="4.25" style="1458" customWidth="1"/>
    <col min="7700" max="7700" width="9.25" style="1458" customWidth="1"/>
    <col min="7701" max="7710" width="0" style="1458" hidden="1" customWidth="1"/>
    <col min="7711" max="7922" width="9" style="1458"/>
    <col min="7923" max="7923" width="9" style="1458" customWidth="1"/>
    <col min="7924" max="7924" width="24" style="1458" customWidth="1"/>
    <col min="7925" max="7955" width="4.25" style="1458" customWidth="1"/>
    <col min="7956" max="7956" width="9.25" style="1458" customWidth="1"/>
    <col min="7957" max="7966" width="0" style="1458" hidden="1" customWidth="1"/>
    <col min="7967" max="8178" width="9" style="1458"/>
    <col min="8179" max="8179" width="9" style="1458" customWidth="1"/>
    <col min="8180" max="8180" width="24" style="1458" customWidth="1"/>
    <col min="8181" max="8211" width="4.25" style="1458" customWidth="1"/>
    <col min="8212" max="8212" width="9.25" style="1458" customWidth="1"/>
    <col min="8213" max="8222" width="0" style="1458" hidden="1" customWidth="1"/>
    <col min="8223" max="8434" width="9" style="1458"/>
    <col min="8435" max="8435" width="9" style="1458" customWidth="1"/>
    <col min="8436" max="8436" width="24" style="1458" customWidth="1"/>
    <col min="8437" max="8467" width="4.25" style="1458" customWidth="1"/>
    <col min="8468" max="8468" width="9.25" style="1458" customWidth="1"/>
    <col min="8469" max="8478" width="0" style="1458" hidden="1" customWidth="1"/>
    <col min="8479" max="8690" width="9" style="1458"/>
    <col min="8691" max="8691" width="9" style="1458" customWidth="1"/>
    <col min="8692" max="8692" width="24" style="1458" customWidth="1"/>
    <col min="8693" max="8723" width="4.25" style="1458" customWidth="1"/>
    <col min="8724" max="8724" width="9.25" style="1458" customWidth="1"/>
    <col min="8725" max="8734" width="0" style="1458" hidden="1" customWidth="1"/>
    <col min="8735" max="8946" width="9" style="1458"/>
    <col min="8947" max="8947" width="9" style="1458" customWidth="1"/>
    <col min="8948" max="8948" width="24" style="1458" customWidth="1"/>
    <col min="8949" max="8979" width="4.25" style="1458" customWidth="1"/>
    <col min="8980" max="8980" width="9.25" style="1458" customWidth="1"/>
    <col min="8981" max="8990" width="0" style="1458" hidden="1" customWidth="1"/>
    <col min="8991" max="9202" width="9" style="1458"/>
    <col min="9203" max="9203" width="9" style="1458" customWidth="1"/>
    <col min="9204" max="9204" width="24" style="1458" customWidth="1"/>
    <col min="9205" max="9235" width="4.25" style="1458" customWidth="1"/>
    <col min="9236" max="9236" width="9.25" style="1458" customWidth="1"/>
    <col min="9237" max="9246" width="0" style="1458" hidden="1" customWidth="1"/>
    <col min="9247" max="9458" width="9" style="1458"/>
    <col min="9459" max="9459" width="9" style="1458" customWidth="1"/>
    <col min="9460" max="9460" width="24" style="1458" customWidth="1"/>
    <col min="9461" max="9491" width="4.25" style="1458" customWidth="1"/>
    <col min="9492" max="9492" width="9.25" style="1458" customWidth="1"/>
    <col min="9493" max="9502" width="0" style="1458" hidden="1" customWidth="1"/>
    <col min="9503" max="9714" width="9" style="1458"/>
    <col min="9715" max="9715" width="9" style="1458" customWidth="1"/>
    <col min="9716" max="9716" width="24" style="1458" customWidth="1"/>
    <col min="9717" max="9747" width="4.25" style="1458" customWidth="1"/>
    <col min="9748" max="9748" width="9.25" style="1458" customWidth="1"/>
    <col min="9749" max="9758" width="0" style="1458" hidden="1" customWidth="1"/>
    <col min="9759" max="9970" width="9" style="1458"/>
    <col min="9971" max="9971" width="9" style="1458" customWidth="1"/>
    <col min="9972" max="9972" width="24" style="1458" customWidth="1"/>
    <col min="9973" max="10003" width="4.25" style="1458" customWidth="1"/>
    <col min="10004" max="10004" width="9.25" style="1458" customWidth="1"/>
    <col min="10005" max="10014" width="0" style="1458" hidden="1" customWidth="1"/>
    <col min="10015" max="10226" width="9" style="1458"/>
    <col min="10227" max="10227" width="9" style="1458" customWidth="1"/>
    <col min="10228" max="10228" width="24" style="1458" customWidth="1"/>
    <col min="10229" max="10259" width="4.25" style="1458" customWidth="1"/>
    <col min="10260" max="10260" width="9.25" style="1458" customWidth="1"/>
    <col min="10261" max="10270" width="0" style="1458" hidden="1" customWidth="1"/>
    <col min="10271" max="10482" width="9" style="1458"/>
    <col min="10483" max="10483" width="9" style="1458" customWidth="1"/>
    <col min="10484" max="10484" width="24" style="1458" customWidth="1"/>
    <col min="10485" max="10515" width="4.25" style="1458" customWidth="1"/>
    <col min="10516" max="10516" width="9.25" style="1458" customWidth="1"/>
    <col min="10517" max="10526" width="0" style="1458" hidden="1" customWidth="1"/>
    <col min="10527" max="10738" width="9" style="1458"/>
    <col min="10739" max="10739" width="9" style="1458" customWidth="1"/>
    <col min="10740" max="10740" width="24" style="1458" customWidth="1"/>
    <col min="10741" max="10771" width="4.25" style="1458" customWidth="1"/>
    <col min="10772" max="10772" width="9.25" style="1458" customWidth="1"/>
    <col min="10773" max="10782" width="0" style="1458" hidden="1" customWidth="1"/>
    <col min="10783" max="10994" width="9" style="1458"/>
    <col min="10995" max="10995" width="9" style="1458" customWidth="1"/>
    <col min="10996" max="10996" width="24" style="1458" customWidth="1"/>
    <col min="10997" max="11027" width="4.25" style="1458" customWidth="1"/>
    <col min="11028" max="11028" width="9.25" style="1458" customWidth="1"/>
    <col min="11029" max="11038" width="0" style="1458" hidden="1" customWidth="1"/>
    <col min="11039" max="11250" width="9" style="1458"/>
    <col min="11251" max="11251" width="9" style="1458" customWidth="1"/>
    <col min="11252" max="11252" width="24" style="1458" customWidth="1"/>
    <col min="11253" max="11283" width="4.25" style="1458" customWidth="1"/>
    <col min="11284" max="11284" width="9.25" style="1458" customWidth="1"/>
    <col min="11285" max="11294" width="0" style="1458" hidden="1" customWidth="1"/>
    <col min="11295" max="11506" width="9" style="1458"/>
    <col min="11507" max="11507" width="9" style="1458" customWidth="1"/>
    <col min="11508" max="11508" width="24" style="1458" customWidth="1"/>
    <col min="11509" max="11539" width="4.25" style="1458" customWidth="1"/>
    <col min="11540" max="11540" width="9.25" style="1458" customWidth="1"/>
    <col min="11541" max="11550" width="0" style="1458" hidden="1" customWidth="1"/>
    <col min="11551" max="11762" width="9" style="1458"/>
    <col min="11763" max="11763" width="9" style="1458" customWidth="1"/>
    <col min="11764" max="11764" width="24" style="1458" customWidth="1"/>
    <col min="11765" max="11795" width="4.25" style="1458" customWidth="1"/>
    <col min="11796" max="11796" width="9.25" style="1458" customWidth="1"/>
    <col min="11797" max="11806" width="0" style="1458" hidden="1" customWidth="1"/>
    <col min="11807" max="12018" width="9" style="1458"/>
    <col min="12019" max="12019" width="9" style="1458" customWidth="1"/>
    <col min="12020" max="12020" width="24" style="1458" customWidth="1"/>
    <col min="12021" max="12051" width="4.25" style="1458" customWidth="1"/>
    <col min="12052" max="12052" width="9.25" style="1458" customWidth="1"/>
    <col min="12053" max="12062" width="0" style="1458" hidden="1" customWidth="1"/>
    <col min="12063" max="12274" width="9" style="1458"/>
    <col min="12275" max="12275" width="9" style="1458" customWidth="1"/>
    <col min="12276" max="12276" width="24" style="1458" customWidth="1"/>
    <col min="12277" max="12307" width="4.25" style="1458" customWidth="1"/>
    <col min="12308" max="12308" width="9.25" style="1458" customWidth="1"/>
    <col min="12309" max="12318" width="0" style="1458" hidden="1" customWidth="1"/>
    <col min="12319" max="12530" width="9" style="1458"/>
    <col min="12531" max="12531" width="9" style="1458" customWidth="1"/>
    <col min="12532" max="12532" width="24" style="1458" customWidth="1"/>
    <col min="12533" max="12563" width="4.25" style="1458" customWidth="1"/>
    <col min="12564" max="12564" width="9.25" style="1458" customWidth="1"/>
    <col min="12565" max="12574" width="0" style="1458" hidden="1" customWidth="1"/>
    <col min="12575" max="12786" width="9" style="1458"/>
    <col min="12787" max="12787" width="9" style="1458" customWidth="1"/>
    <col min="12788" max="12788" width="24" style="1458" customWidth="1"/>
    <col min="12789" max="12819" width="4.25" style="1458" customWidth="1"/>
    <col min="12820" max="12820" width="9.25" style="1458" customWidth="1"/>
    <col min="12821" max="12830" width="0" style="1458" hidden="1" customWidth="1"/>
    <col min="12831" max="13042" width="9" style="1458"/>
    <col min="13043" max="13043" width="9" style="1458" customWidth="1"/>
    <col min="13044" max="13044" width="24" style="1458" customWidth="1"/>
    <col min="13045" max="13075" width="4.25" style="1458" customWidth="1"/>
    <col min="13076" max="13076" width="9.25" style="1458" customWidth="1"/>
    <col min="13077" max="13086" width="0" style="1458" hidden="1" customWidth="1"/>
    <col min="13087" max="13298" width="9" style="1458"/>
    <col min="13299" max="13299" width="9" style="1458" customWidth="1"/>
    <col min="13300" max="13300" width="24" style="1458" customWidth="1"/>
    <col min="13301" max="13331" width="4.25" style="1458" customWidth="1"/>
    <col min="13332" max="13332" width="9.25" style="1458" customWidth="1"/>
    <col min="13333" max="13342" width="0" style="1458" hidden="1" customWidth="1"/>
    <col min="13343" max="13554" width="9" style="1458"/>
    <col min="13555" max="13555" width="9" style="1458" customWidth="1"/>
    <col min="13556" max="13556" width="24" style="1458" customWidth="1"/>
    <col min="13557" max="13587" width="4.25" style="1458" customWidth="1"/>
    <col min="13588" max="13588" width="9.25" style="1458" customWidth="1"/>
    <col min="13589" max="13598" width="0" style="1458" hidden="1" customWidth="1"/>
    <col min="13599" max="13810" width="9" style="1458"/>
    <col min="13811" max="13811" width="9" style="1458" customWidth="1"/>
    <col min="13812" max="13812" width="24" style="1458" customWidth="1"/>
    <col min="13813" max="13843" width="4.25" style="1458" customWidth="1"/>
    <col min="13844" max="13844" width="9.25" style="1458" customWidth="1"/>
    <col min="13845" max="13854" width="0" style="1458" hidden="1" customWidth="1"/>
    <col min="13855" max="14066" width="9" style="1458"/>
    <col min="14067" max="14067" width="9" style="1458" customWidth="1"/>
    <col min="14068" max="14068" width="24" style="1458" customWidth="1"/>
    <col min="14069" max="14099" width="4.25" style="1458" customWidth="1"/>
    <col min="14100" max="14100" width="9.25" style="1458" customWidth="1"/>
    <col min="14101" max="14110" width="0" style="1458" hidden="1" customWidth="1"/>
    <col min="14111" max="14322" width="9" style="1458"/>
    <col min="14323" max="14323" width="9" style="1458" customWidth="1"/>
    <col min="14324" max="14324" width="24" style="1458" customWidth="1"/>
    <col min="14325" max="14355" width="4.25" style="1458" customWidth="1"/>
    <col min="14356" max="14356" width="9.25" style="1458" customWidth="1"/>
    <col min="14357" max="14366" width="0" style="1458" hidden="1" customWidth="1"/>
    <col min="14367" max="14578" width="9" style="1458"/>
    <col min="14579" max="14579" width="9" style="1458" customWidth="1"/>
    <col min="14580" max="14580" width="24" style="1458" customWidth="1"/>
    <col min="14581" max="14611" width="4.25" style="1458" customWidth="1"/>
    <col min="14612" max="14612" width="9.25" style="1458" customWidth="1"/>
    <col min="14613" max="14622" width="0" style="1458" hidden="1" customWidth="1"/>
    <col min="14623" max="14834" width="9" style="1458"/>
    <col min="14835" max="14835" width="9" style="1458" customWidth="1"/>
    <col min="14836" max="14836" width="24" style="1458" customWidth="1"/>
    <col min="14837" max="14867" width="4.25" style="1458" customWidth="1"/>
    <col min="14868" max="14868" width="9.25" style="1458" customWidth="1"/>
    <col min="14869" max="14878" width="0" style="1458" hidden="1" customWidth="1"/>
    <col min="14879" max="15090" width="9" style="1458"/>
    <col min="15091" max="15091" width="9" style="1458" customWidth="1"/>
    <col min="15092" max="15092" width="24" style="1458" customWidth="1"/>
    <col min="15093" max="15123" width="4.25" style="1458" customWidth="1"/>
    <col min="15124" max="15124" width="9.25" style="1458" customWidth="1"/>
    <col min="15125" max="15134" width="0" style="1458" hidden="1" customWidth="1"/>
    <col min="15135" max="15346" width="9" style="1458"/>
    <col min="15347" max="15347" width="9" style="1458" customWidth="1"/>
    <col min="15348" max="15348" width="24" style="1458" customWidth="1"/>
    <col min="15349" max="15379" width="4.25" style="1458" customWidth="1"/>
    <col min="15380" max="15380" width="9.25" style="1458" customWidth="1"/>
    <col min="15381" max="15390" width="0" style="1458" hidden="1" customWidth="1"/>
    <col min="15391" max="15602" width="9" style="1458"/>
    <col min="15603" max="15603" width="9" style="1458" customWidth="1"/>
    <col min="15604" max="15604" width="24" style="1458" customWidth="1"/>
    <col min="15605" max="15635" width="4.25" style="1458" customWidth="1"/>
    <col min="15636" max="15636" width="9.25" style="1458" customWidth="1"/>
    <col min="15637" max="15646" width="0" style="1458" hidden="1" customWidth="1"/>
    <col min="15647" max="15858" width="9" style="1458"/>
    <col min="15859" max="15859" width="9" style="1458" customWidth="1"/>
    <col min="15860" max="15860" width="24" style="1458" customWidth="1"/>
    <col min="15861" max="15891" width="4.25" style="1458" customWidth="1"/>
    <col min="15892" max="15892" width="9.25" style="1458" customWidth="1"/>
    <col min="15893" max="15902" width="0" style="1458" hidden="1" customWidth="1"/>
    <col min="15903" max="16114" width="9" style="1458"/>
    <col min="16115" max="16115" width="9" style="1458" customWidth="1"/>
    <col min="16116" max="16116" width="24" style="1458" customWidth="1"/>
    <col min="16117" max="16147" width="4.25" style="1458" customWidth="1"/>
    <col min="16148" max="16148" width="9.25" style="1458" customWidth="1"/>
    <col min="16149" max="16158" width="0" style="1458" hidden="1" customWidth="1"/>
    <col min="16159" max="16368" width="9" style="1458"/>
    <col min="16369" max="16384" width="9" style="1458" customWidth="1"/>
  </cols>
  <sheetData>
    <row r="1" spans="1:35">
      <c r="A1" s="3950" t="s">
        <v>165</v>
      </c>
      <c r="B1" s="3950"/>
      <c r="C1" s="3950"/>
      <c r="D1" s="3950"/>
      <c r="E1" s="3950"/>
      <c r="F1" s="3950"/>
      <c r="G1" s="3950"/>
      <c r="H1" s="3950"/>
      <c r="I1" s="3950"/>
      <c r="J1" s="3950"/>
      <c r="K1" s="3950"/>
      <c r="L1" s="3950"/>
      <c r="M1" s="3950"/>
      <c r="N1" s="3950"/>
      <c r="O1" s="3950"/>
      <c r="P1" s="3950"/>
      <c r="Q1" s="3950"/>
      <c r="R1" s="3950"/>
      <c r="S1" s="3950"/>
      <c r="T1" s="3950"/>
      <c r="U1" s="3950"/>
      <c r="V1" s="3950"/>
      <c r="W1" s="3950"/>
      <c r="X1" s="3950"/>
      <c r="Y1" s="3950"/>
      <c r="Z1" s="3950"/>
      <c r="AA1" s="3950"/>
      <c r="AB1" s="3950"/>
      <c r="AC1" s="3950"/>
      <c r="AD1" s="3950"/>
      <c r="AE1" s="3950"/>
      <c r="AF1" s="3950"/>
      <c r="AG1" s="3950"/>
      <c r="AH1" s="3950"/>
      <c r="AI1" s="3950"/>
    </row>
    <row r="2" spans="1:35">
      <c r="A2" s="3950" t="s">
        <v>55</v>
      </c>
      <c r="B2" s="3950"/>
      <c r="C2" s="3950"/>
      <c r="D2" s="3950"/>
      <c r="E2" s="3950"/>
      <c r="F2" s="3950"/>
      <c r="G2" s="3950"/>
      <c r="H2" s="3950"/>
      <c r="I2" s="3950"/>
      <c r="J2" s="3950"/>
      <c r="K2" s="3950"/>
      <c r="L2" s="3950"/>
      <c r="M2" s="3950"/>
      <c r="N2" s="3950"/>
      <c r="O2" s="3950"/>
      <c r="P2" s="3950"/>
      <c r="Q2" s="3950"/>
      <c r="R2" s="3950"/>
      <c r="S2" s="3950"/>
      <c r="T2" s="3950"/>
      <c r="U2" s="3950"/>
      <c r="V2" s="3950"/>
      <c r="W2" s="3950"/>
      <c r="X2" s="3950"/>
      <c r="Y2" s="3950"/>
      <c r="Z2" s="3950"/>
      <c r="AA2" s="3950"/>
      <c r="AB2" s="3950"/>
      <c r="AC2" s="3950"/>
      <c r="AD2" s="3950"/>
      <c r="AE2" s="3950"/>
      <c r="AF2" s="3950"/>
      <c r="AG2" s="3950"/>
      <c r="AH2" s="3950"/>
      <c r="AI2" s="3950"/>
    </row>
    <row r="3" spans="1:35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3950"/>
      <c r="L3" s="3950"/>
      <c r="M3" s="3950"/>
      <c r="N3" s="3950"/>
      <c r="O3" s="3950"/>
      <c r="P3" s="3950"/>
      <c r="Q3" s="3950"/>
      <c r="R3" s="3950"/>
      <c r="S3" s="3950"/>
      <c r="T3" s="3950"/>
      <c r="U3" s="3950"/>
      <c r="V3" s="3950"/>
      <c r="W3" s="3950"/>
      <c r="X3" s="3950"/>
      <c r="Y3" s="3950"/>
      <c r="Z3" s="3950"/>
      <c r="AA3" s="3950"/>
      <c r="AB3" s="3950"/>
      <c r="AC3" s="3950"/>
      <c r="AD3" s="3950"/>
      <c r="AE3" s="3950"/>
      <c r="AF3" s="3950"/>
      <c r="AG3" s="3950"/>
      <c r="AH3" s="3950"/>
      <c r="AI3" s="3950"/>
    </row>
    <row r="4" spans="1:35" ht="16.5">
      <c r="A4" s="1529" t="s">
        <v>574</v>
      </c>
      <c r="B4" s="1529"/>
      <c r="C4" s="1529"/>
      <c r="D4" s="1529"/>
    </row>
    <row r="5" spans="1:35" ht="16.5">
      <c r="A5" s="4541" t="s">
        <v>541</v>
      </c>
      <c r="B5" s="4541"/>
      <c r="C5" s="4541"/>
      <c r="D5" s="4541"/>
      <c r="E5" s="4541"/>
      <c r="F5" s="4541"/>
      <c r="G5" s="4541"/>
      <c r="H5" s="4541"/>
      <c r="I5" s="4541"/>
      <c r="J5" s="4541"/>
    </row>
    <row r="6" spans="1:35" ht="16.5">
      <c r="A6" s="1518"/>
      <c r="B6" s="1518"/>
      <c r="C6" s="1518"/>
      <c r="D6" s="1518"/>
      <c r="E6" s="1518"/>
      <c r="F6" s="1518"/>
      <c r="G6" s="1518"/>
      <c r="H6" s="1518"/>
      <c r="I6" s="1518"/>
      <c r="J6" s="1518"/>
    </row>
    <row r="7" spans="1:35" ht="18.75">
      <c r="D7" s="4170" t="s">
        <v>924</v>
      </c>
      <c r="E7" s="4170"/>
      <c r="F7" s="4170"/>
      <c r="G7" s="4170"/>
      <c r="H7" s="4170"/>
      <c r="I7" s="4170"/>
      <c r="J7" s="4170"/>
      <c r="K7" s="4170"/>
      <c r="L7" s="4170"/>
      <c r="M7" s="4170"/>
      <c r="N7" s="4170"/>
      <c r="O7" s="4170"/>
      <c r="P7" s="4170"/>
      <c r="Q7" s="4170"/>
      <c r="R7" s="4170"/>
      <c r="S7" s="4170"/>
      <c r="T7" s="4170"/>
      <c r="U7" s="4170"/>
      <c r="V7" s="4170"/>
      <c r="W7" s="4170"/>
      <c r="X7" s="4170"/>
      <c r="Y7" s="4170"/>
      <c r="Z7" s="4170"/>
      <c r="AA7" s="4170"/>
      <c r="AB7" s="4170"/>
      <c r="AC7" s="4170"/>
      <c r="AD7" s="4170"/>
      <c r="AE7" s="4170"/>
      <c r="AF7" s="4170"/>
      <c r="AG7" s="4170"/>
      <c r="AH7" s="4170"/>
    </row>
    <row r="8" spans="1:35" ht="15.75">
      <c r="B8" s="1459" t="s">
        <v>912</v>
      </c>
      <c r="C8" s="1459">
        <v>2024</v>
      </c>
      <c r="D8" s="4518" t="str">
        <f>"Tháng "&amp;IF(LEN($C$9)=1,"0"&amp;$C$9,$C$9)&amp;" năm "&amp;C8</f>
        <v>Tháng 05 năm 2024</v>
      </c>
      <c r="E8" s="4518"/>
      <c r="F8" s="4518"/>
      <c r="G8" s="4518"/>
      <c r="H8" s="4518"/>
      <c r="I8" s="4518"/>
      <c r="J8" s="4518"/>
      <c r="K8" s="4518"/>
      <c r="L8" s="4518"/>
      <c r="M8" s="4518"/>
      <c r="N8" s="4518"/>
      <c r="O8" s="4518"/>
      <c r="P8" s="4518"/>
      <c r="Q8" s="4518"/>
      <c r="R8" s="4518"/>
      <c r="S8" s="4518"/>
      <c r="T8" s="4518"/>
      <c r="U8" s="4518"/>
      <c r="V8" s="4518"/>
      <c r="W8" s="4518"/>
      <c r="X8" s="4518"/>
      <c r="Y8" s="4518"/>
      <c r="Z8" s="4518"/>
      <c r="AA8" s="4518"/>
      <c r="AB8" s="4518"/>
      <c r="AC8" s="4518"/>
      <c r="AD8" s="4518"/>
      <c r="AE8" s="4518"/>
      <c r="AF8" s="4518"/>
      <c r="AG8" s="4518"/>
      <c r="AH8" s="4518"/>
    </row>
    <row r="9" spans="1:35" ht="30.75" customHeight="1">
      <c r="B9" s="1459" t="s">
        <v>913</v>
      </c>
      <c r="C9" s="1459">
        <v>5</v>
      </c>
    </row>
    <row r="10" spans="1:35" ht="39" customHeight="1">
      <c r="A10" s="1522" t="s">
        <v>1</v>
      </c>
      <c r="B10" s="1523" t="s">
        <v>914</v>
      </c>
      <c r="C10" s="1524" t="s">
        <v>915</v>
      </c>
      <c r="D10" s="1467">
        <v>1</v>
      </c>
      <c r="E10" s="1467">
        <v>2</v>
      </c>
      <c r="F10" s="1526">
        <v>3</v>
      </c>
      <c r="G10" s="1526">
        <v>4</v>
      </c>
      <c r="H10" s="1526">
        <v>5</v>
      </c>
      <c r="I10" s="1526">
        <v>6</v>
      </c>
      <c r="J10" s="1526">
        <v>7</v>
      </c>
      <c r="K10" s="1526">
        <v>8</v>
      </c>
      <c r="L10" s="1526">
        <v>9</v>
      </c>
      <c r="M10" s="1526">
        <v>10</v>
      </c>
      <c r="N10" s="1526">
        <v>11</v>
      </c>
      <c r="O10" s="1526">
        <v>12</v>
      </c>
      <c r="P10" s="1526">
        <v>13</v>
      </c>
      <c r="Q10" s="1526">
        <v>14</v>
      </c>
      <c r="R10" s="1526">
        <v>15</v>
      </c>
      <c r="S10" s="1526">
        <v>16</v>
      </c>
      <c r="T10" s="1526">
        <v>17</v>
      </c>
      <c r="U10" s="1526">
        <v>18</v>
      </c>
      <c r="V10" s="1526">
        <v>19</v>
      </c>
      <c r="W10" s="1526">
        <v>20</v>
      </c>
      <c r="X10" s="1526">
        <v>21</v>
      </c>
      <c r="Y10" s="1526">
        <v>22</v>
      </c>
      <c r="Z10" s="1526">
        <v>23</v>
      </c>
      <c r="AA10" s="1526">
        <v>24</v>
      </c>
      <c r="AB10" s="1526">
        <v>25</v>
      </c>
      <c r="AC10" s="1526">
        <v>26</v>
      </c>
      <c r="AD10" s="1526">
        <v>27</v>
      </c>
      <c r="AE10" s="1526">
        <v>28</v>
      </c>
      <c r="AF10" s="1526">
        <v>29</v>
      </c>
      <c r="AG10" s="1526">
        <v>30</v>
      </c>
      <c r="AH10" s="1526">
        <v>31</v>
      </c>
      <c r="AI10" s="1525" t="s">
        <v>922</v>
      </c>
    </row>
    <row r="11" spans="1:35" ht="21" customHeight="1">
      <c r="A11" s="1460">
        <v>1</v>
      </c>
      <c r="B11" s="1461"/>
      <c r="C11" s="1460" t="s">
        <v>336</v>
      </c>
      <c r="D11" s="1461"/>
      <c r="E11" s="1461"/>
      <c r="F11" s="1461"/>
      <c r="G11" s="1461"/>
      <c r="H11" s="1461"/>
      <c r="I11" s="1461"/>
      <c r="J11" s="1461"/>
      <c r="K11" s="1461"/>
      <c r="L11" s="1461"/>
      <c r="M11" s="1461"/>
      <c r="N11" s="1461"/>
      <c r="O11" s="1461"/>
      <c r="P11" s="1461"/>
      <c r="Q11" s="1461"/>
      <c r="R11" s="1461"/>
      <c r="S11" s="1461"/>
      <c r="T11" s="1461"/>
      <c r="U11" s="1461"/>
      <c r="V11" s="1461"/>
      <c r="W11" s="1461"/>
      <c r="X11" s="1461"/>
      <c r="Y11" s="1461"/>
      <c r="Z11" s="1461"/>
      <c r="AA11" s="1461"/>
      <c r="AB11" s="1461"/>
      <c r="AC11" s="1461"/>
      <c r="AD11" s="1461"/>
      <c r="AE11" s="1461"/>
      <c r="AF11" s="1461"/>
      <c r="AG11" s="1461"/>
      <c r="AH11" s="1461"/>
      <c r="AI11" s="1463">
        <f>COUNTIF(D11:AH11,"X")</f>
        <v>0</v>
      </c>
    </row>
    <row r="12" spans="1:35" ht="21" customHeight="1">
      <c r="A12" s="1464">
        <v>2</v>
      </c>
      <c r="B12" s="1465"/>
      <c r="C12" s="1464" t="s">
        <v>917</v>
      </c>
      <c r="D12" s="1465"/>
      <c r="E12" s="1465"/>
      <c r="F12" s="1465"/>
      <c r="G12" s="1465"/>
      <c r="H12" s="1465"/>
      <c r="I12" s="1465"/>
      <c r="J12" s="1465"/>
      <c r="K12" s="1465"/>
      <c r="L12" s="1465"/>
      <c r="M12" s="1465"/>
      <c r="N12" s="1465"/>
      <c r="O12" s="1465"/>
      <c r="P12" s="1465"/>
      <c r="Q12" s="1465"/>
      <c r="R12" s="1465"/>
      <c r="S12" s="1465"/>
      <c r="T12" s="1465"/>
      <c r="U12" s="1465"/>
      <c r="V12" s="1465"/>
      <c r="W12" s="1465"/>
      <c r="X12" s="1465"/>
      <c r="Y12" s="1465"/>
      <c r="Z12" s="1465"/>
      <c r="AA12" s="1465"/>
      <c r="AB12" s="1465"/>
      <c r="AC12" s="1465"/>
      <c r="AD12" s="1465"/>
      <c r="AE12" s="1465"/>
      <c r="AF12" s="1465"/>
      <c r="AG12" s="1465"/>
      <c r="AH12" s="1465"/>
      <c r="AI12" s="1466">
        <f t="shared" ref="AI12:AI15" si="0">COUNTIF(D12:AH12,"X")</f>
        <v>0</v>
      </c>
    </row>
    <row r="13" spans="1:35" ht="21" customHeight="1">
      <c r="A13" s="1460">
        <v>3</v>
      </c>
      <c r="B13" s="1465"/>
      <c r="C13" s="1464" t="s">
        <v>96</v>
      </c>
      <c r="D13" s="1465"/>
      <c r="E13" s="1465"/>
      <c r="F13" s="1465"/>
      <c r="G13" s="1465"/>
      <c r="H13" s="1465"/>
      <c r="I13" s="1465"/>
      <c r="J13" s="1465"/>
      <c r="K13" s="1465"/>
      <c r="L13" s="1465"/>
      <c r="M13" s="1465"/>
      <c r="N13" s="1465"/>
      <c r="O13" s="1465"/>
      <c r="P13" s="1465"/>
      <c r="Q13" s="1465"/>
      <c r="R13" s="1465"/>
      <c r="S13" s="1465"/>
      <c r="T13" s="1465"/>
      <c r="U13" s="1465"/>
      <c r="V13" s="1465"/>
      <c r="W13" s="1465"/>
      <c r="X13" s="1465"/>
      <c r="Y13" s="1465"/>
      <c r="Z13" s="1465"/>
      <c r="AA13" s="1465"/>
      <c r="AB13" s="1465"/>
      <c r="AC13" s="1465"/>
      <c r="AD13" s="1465"/>
      <c r="AE13" s="1465"/>
      <c r="AF13" s="1465"/>
      <c r="AG13" s="1465"/>
      <c r="AH13" s="1465"/>
      <c r="AI13" s="1466">
        <f t="shared" si="0"/>
        <v>0</v>
      </c>
    </row>
    <row r="14" spans="1:35" ht="21" customHeight="1">
      <c r="A14" s="1464">
        <v>4</v>
      </c>
      <c r="B14" s="1465"/>
      <c r="C14" s="1464" t="s">
        <v>918</v>
      </c>
      <c r="D14" s="1465"/>
      <c r="E14" s="1465"/>
      <c r="F14" s="1465"/>
      <c r="G14" s="1465"/>
      <c r="H14" s="1465"/>
      <c r="I14" s="1465"/>
      <c r="J14" s="1465"/>
      <c r="K14" s="1465"/>
      <c r="L14" s="1465"/>
      <c r="M14" s="1465"/>
      <c r="N14" s="1465"/>
      <c r="O14" s="1465"/>
      <c r="P14" s="1465"/>
      <c r="Q14" s="1465"/>
      <c r="R14" s="1465"/>
      <c r="S14" s="1465"/>
      <c r="T14" s="1465"/>
      <c r="U14" s="1465"/>
      <c r="V14" s="1465"/>
      <c r="W14" s="1465"/>
      <c r="X14" s="1465"/>
      <c r="Y14" s="1465"/>
      <c r="Z14" s="1465"/>
      <c r="AA14" s="1465"/>
      <c r="AB14" s="1465"/>
      <c r="AC14" s="1465"/>
      <c r="AD14" s="1465"/>
      <c r="AE14" s="1465"/>
      <c r="AF14" s="1465"/>
      <c r="AG14" s="1465"/>
      <c r="AH14" s="1465"/>
      <c r="AI14" s="1466">
        <f t="shared" si="0"/>
        <v>0</v>
      </c>
    </row>
    <row r="15" spans="1:35" ht="20.25" customHeight="1">
      <c r="A15" s="1460">
        <v>5</v>
      </c>
      <c r="B15" s="1475"/>
      <c r="C15" s="1474" t="s">
        <v>919</v>
      </c>
      <c r="D15" s="1475"/>
      <c r="E15" s="1475"/>
      <c r="F15" s="1475"/>
      <c r="G15" s="1475"/>
      <c r="H15" s="1475"/>
      <c r="I15" s="1475"/>
      <c r="J15" s="1475"/>
      <c r="K15" s="1475"/>
      <c r="L15" s="1475"/>
      <c r="M15" s="1475"/>
      <c r="N15" s="1475"/>
      <c r="O15" s="1475"/>
      <c r="P15" s="1475"/>
      <c r="Q15" s="1475"/>
      <c r="R15" s="1475"/>
      <c r="S15" s="1475"/>
      <c r="T15" s="1475"/>
      <c r="U15" s="1475"/>
      <c r="V15" s="1475"/>
      <c r="W15" s="1475"/>
      <c r="X15" s="1475"/>
      <c r="Y15" s="1475"/>
      <c r="Z15" s="1475"/>
      <c r="AA15" s="1475"/>
      <c r="AB15" s="1475"/>
      <c r="AC15" s="1475"/>
      <c r="AD15" s="1475"/>
      <c r="AE15" s="1475"/>
      <c r="AF15" s="1475"/>
      <c r="AG15" s="1475"/>
      <c r="AH15" s="1475"/>
      <c r="AI15" s="1477">
        <f t="shared" si="0"/>
        <v>0</v>
      </c>
    </row>
    <row r="16" spans="1:35">
      <c r="A16" s="4504" t="s">
        <v>910</v>
      </c>
      <c r="B16" s="4504"/>
      <c r="C16" s="4504"/>
      <c r="D16" s="1610">
        <f>COUNTIF(D11:D15,"X")</f>
        <v>0</v>
      </c>
      <c r="E16" s="1610">
        <f t="shared" ref="E16:AH16" si="1">COUNTIF(E11:E15,"X")</f>
        <v>0</v>
      </c>
      <c r="F16" s="1610">
        <f t="shared" si="1"/>
        <v>0</v>
      </c>
      <c r="G16" s="1610">
        <f t="shared" si="1"/>
        <v>0</v>
      </c>
      <c r="H16" s="1610">
        <f t="shared" si="1"/>
        <v>0</v>
      </c>
      <c r="I16" s="1610">
        <f t="shared" si="1"/>
        <v>0</v>
      </c>
      <c r="J16" s="1610">
        <f t="shared" si="1"/>
        <v>0</v>
      </c>
      <c r="K16" s="1610">
        <f t="shared" si="1"/>
        <v>0</v>
      </c>
      <c r="L16" s="1610">
        <f t="shared" si="1"/>
        <v>0</v>
      </c>
      <c r="M16" s="1610">
        <f t="shared" si="1"/>
        <v>0</v>
      </c>
      <c r="N16" s="1610">
        <f t="shared" si="1"/>
        <v>0</v>
      </c>
      <c r="O16" s="1610">
        <f t="shared" si="1"/>
        <v>0</v>
      </c>
      <c r="P16" s="1610">
        <f t="shared" si="1"/>
        <v>0</v>
      </c>
      <c r="Q16" s="1610">
        <f t="shared" si="1"/>
        <v>0</v>
      </c>
      <c r="R16" s="1610">
        <f t="shared" si="1"/>
        <v>0</v>
      </c>
      <c r="S16" s="1610">
        <f t="shared" si="1"/>
        <v>0</v>
      </c>
      <c r="T16" s="1610">
        <f t="shared" si="1"/>
        <v>0</v>
      </c>
      <c r="U16" s="1610">
        <f t="shared" si="1"/>
        <v>0</v>
      </c>
      <c r="V16" s="1610">
        <f t="shared" si="1"/>
        <v>0</v>
      </c>
      <c r="W16" s="1610">
        <f t="shared" si="1"/>
        <v>0</v>
      </c>
      <c r="X16" s="1610">
        <f t="shared" si="1"/>
        <v>0</v>
      </c>
      <c r="Y16" s="1610">
        <f t="shared" si="1"/>
        <v>0</v>
      </c>
      <c r="Z16" s="1610">
        <f t="shared" si="1"/>
        <v>0</v>
      </c>
      <c r="AA16" s="1610">
        <f t="shared" si="1"/>
        <v>0</v>
      </c>
      <c r="AB16" s="1610">
        <f t="shared" si="1"/>
        <v>0</v>
      </c>
      <c r="AC16" s="1610">
        <f t="shared" si="1"/>
        <v>0</v>
      </c>
      <c r="AD16" s="1610">
        <f t="shared" si="1"/>
        <v>0</v>
      </c>
      <c r="AE16" s="1610">
        <f t="shared" si="1"/>
        <v>0</v>
      </c>
      <c r="AF16" s="1610">
        <f t="shared" si="1"/>
        <v>0</v>
      </c>
      <c r="AG16" s="1610">
        <f t="shared" si="1"/>
        <v>0</v>
      </c>
      <c r="AH16" s="1610">
        <f t="shared" si="1"/>
        <v>0</v>
      </c>
      <c r="AI16" s="1468">
        <f>SUM(AI11:AI15)</f>
        <v>0</v>
      </c>
    </row>
    <row r="17" spans="1:35">
      <c r="A17" s="1473" t="s">
        <v>634</v>
      </c>
      <c r="Z17" s="4540" t="s">
        <v>972</v>
      </c>
      <c r="AA17" s="4540"/>
      <c r="AB17" s="4540"/>
      <c r="AC17" s="4540"/>
      <c r="AD17" s="4540"/>
      <c r="AE17" s="4540"/>
      <c r="AF17" s="4540"/>
      <c r="AG17" s="4540"/>
      <c r="AH17" s="4540"/>
      <c r="AI17" s="4540"/>
    </row>
    <row r="18" spans="1:35">
      <c r="A18" s="1458" t="s">
        <v>142</v>
      </c>
      <c r="B18" s="1458" t="s">
        <v>166</v>
      </c>
      <c r="C18" s="1458" t="s">
        <v>921</v>
      </c>
      <c r="M18" s="4506" t="s">
        <v>167</v>
      </c>
      <c r="N18" s="4506"/>
      <c r="O18" s="4506"/>
      <c r="P18" s="4506"/>
      <c r="Q18" s="4506"/>
      <c r="R18" s="4506"/>
      <c r="S18" s="4506"/>
      <c r="T18" s="4506"/>
      <c r="U18" s="1469"/>
      <c r="V18" s="1469"/>
      <c r="W18" s="1469"/>
      <c r="X18" s="1469"/>
      <c r="Y18" s="1469"/>
      <c r="Z18" s="4506" t="s">
        <v>916</v>
      </c>
      <c r="AA18" s="4506"/>
      <c r="AB18" s="4506"/>
      <c r="AC18" s="4506"/>
      <c r="AD18" s="4506"/>
      <c r="AE18" s="4506"/>
      <c r="AF18" s="4506"/>
      <c r="AG18" s="4506"/>
      <c r="AH18" s="4506"/>
      <c r="AI18" s="4506"/>
    </row>
    <row r="19" spans="1:35">
      <c r="AI19" s="1470"/>
    </row>
    <row r="20" spans="1:35">
      <c r="B20" s="1471"/>
    </row>
    <row r="21" spans="1:35" ht="15.75">
      <c r="Z21" s="4505"/>
      <c r="AA21" s="4505"/>
      <c r="AB21" s="4505"/>
      <c r="AC21" s="4505"/>
      <c r="AD21" s="4505"/>
      <c r="AE21" s="4505"/>
      <c r="AF21" s="4505"/>
      <c r="AG21" s="4505"/>
      <c r="AH21" s="4505"/>
      <c r="AI21" s="4505"/>
    </row>
    <row r="22" spans="1:35">
      <c r="B22" s="3950"/>
      <c r="C22" s="3950"/>
      <c r="AA22" s="4501"/>
      <c r="AB22" s="4501"/>
      <c r="AC22" s="4501"/>
      <c r="AD22" s="4501"/>
      <c r="AE22" s="4501"/>
      <c r="AF22" s="4501"/>
      <c r="AG22" s="4501"/>
      <c r="AH22" s="4501"/>
      <c r="AI22" s="4501"/>
    </row>
    <row r="23" spans="1:35" s="1472" customFormat="1" ht="14.25">
      <c r="K23" s="3950"/>
      <c r="L23" s="3950"/>
      <c r="M23" s="3950"/>
      <c r="N23" s="3950"/>
      <c r="O23" s="3950"/>
      <c r="P23" s="3950"/>
      <c r="Q23" s="3950"/>
      <c r="R23" s="3950"/>
      <c r="S23" s="3950"/>
      <c r="T23" s="3950"/>
      <c r="AC23" s="3950"/>
      <c r="AD23" s="3950"/>
      <c r="AE23" s="3950"/>
      <c r="AF23" s="3950"/>
      <c r="AG23" s="3950"/>
      <c r="AH23" s="3950"/>
      <c r="AI23" s="3950"/>
    </row>
    <row r="24" spans="1:35">
      <c r="B24" s="4502"/>
      <c r="C24" s="4501"/>
      <c r="K24" s="4502"/>
      <c r="L24" s="4502"/>
      <c r="M24" s="4502"/>
      <c r="N24" s="4502"/>
      <c r="O24" s="4502"/>
      <c r="P24" s="4502"/>
      <c r="Q24" s="4502"/>
      <c r="R24" s="4502"/>
      <c r="S24" s="4502"/>
      <c r="T24" s="4502"/>
      <c r="AC24" s="4502"/>
      <c r="AD24" s="4502"/>
      <c r="AE24" s="4502"/>
      <c r="AF24" s="4502"/>
      <c r="AG24" s="4502"/>
      <c r="AH24" s="4502"/>
      <c r="AI24" s="4502"/>
    </row>
  </sheetData>
  <mergeCells count="18">
    <mergeCell ref="B24:C24"/>
    <mergeCell ref="K24:T24"/>
    <mergeCell ref="AC24:AI24"/>
    <mergeCell ref="Z18:AI18"/>
    <mergeCell ref="Z21:AI21"/>
    <mergeCell ref="B22:C22"/>
    <mergeCell ref="AA22:AI22"/>
    <mergeCell ref="K23:T23"/>
    <mergeCell ref="AC23:AI23"/>
    <mergeCell ref="M18:T18"/>
    <mergeCell ref="D7:AH7"/>
    <mergeCell ref="D8:AH8"/>
    <mergeCell ref="A1:AI1"/>
    <mergeCell ref="A2:AI2"/>
    <mergeCell ref="Z17:AI17"/>
    <mergeCell ref="A5:J5"/>
    <mergeCell ref="A3:AI3"/>
    <mergeCell ref="A16:C16"/>
  </mergeCells>
  <printOptions horizontalCentered="1"/>
  <pageMargins left="0.19685039370078741" right="0.19685039370078741" top="0.51181102362204722" bottom="0.74803149606299213" header="0.31496062992125984" footer="0.31496062992125984"/>
  <pageSetup paperSize="9" scale="70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E13" sqref="E13"/>
    </sheetView>
  </sheetViews>
  <sheetFormatPr defaultRowHeight="16.5"/>
  <cols>
    <col min="1" max="1" width="6" style="1387" customWidth="1"/>
    <col min="2" max="2" width="22" style="1387" customWidth="1"/>
    <col min="3" max="3" width="9.375" style="1387" customWidth="1"/>
    <col min="4" max="4" width="14.875" style="1387" customWidth="1"/>
    <col min="5" max="5" width="13.375" style="1387" customWidth="1"/>
    <col min="6" max="6" width="12.375" style="1387" customWidth="1"/>
    <col min="7" max="7" width="11.125" style="1387" customWidth="1"/>
  </cols>
  <sheetData>
    <row r="1" spans="1:12">
      <c r="A1" s="4548" t="s">
        <v>165</v>
      </c>
      <c r="B1" s="4548"/>
      <c r="C1" s="4548"/>
      <c r="D1" s="4548"/>
      <c r="E1" s="4548"/>
      <c r="F1" s="4548"/>
      <c r="G1" s="4548"/>
    </row>
    <row r="2" spans="1:12">
      <c r="A2" s="4548" t="s">
        <v>55</v>
      </c>
      <c r="B2" s="4548"/>
      <c r="C2" s="4548"/>
      <c r="D2" s="4548"/>
      <c r="E2" s="4548"/>
      <c r="F2" s="4548"/>
      <c r="G2" s="4548"/>
    </row>
    <row r="3" spans="1:12" ht="18.75">
      <c r="A3" s="3958" t="s">
        <v>726</v>
      </c>
      <c r="B3" s="3958"/>
      <c r="C3" s="3958"/>
      <c r="D3" s="3958"/>
      <c r="E3" s="3958"/>
      <c r="F3" s="3958"/>
      <c r="G3" s="3958"/>
      <c r="H3" s="1528"/>
      <c r="I3" s="1528"/>
      <c r="J3" s="1528"/>
      <c r="K3" s="1528"/>
      <c r="L3" s="1528"/>
    </row>
    <row r="4" spans="1:12">
      <c r="A4" s="4549" t="s">
        <v>574</v>
      </c>
      <c r="B4" s="4549"/>
      <c r="C4" s="4549"/>
      <c r="D4" s="4549"/>
      <c r="E4" s="1448"/>
      <c r="F4" s="1448"/>
      <c r="G4" s="1448"/>
    </row>
    <row r="5" spans="1:12">
      <c r="A5" s="4541" t="s">
        <v>541</v>
      </c>
      <c r="B5" s="4541"/>
      <c r="C5" s="4541"/>
      <c r="D5" s="4541"/>
      <c r="E5" s="1449"/>
      <c r="F5" s="1449"/>
      <c r="G5" s="1449"/>
    </row>
    <row r="6" spans="1:12">
      <c r="A6" s="4550"/>
      <c r="B6" s="4550"/>
      <c r="C6" s="4550"/>
      <c r="D6" s="4550"/>
      <c r="E6" s="4550"/>
      <c r="F6" s="4550"/>
      <c r="G6" s="4550"/>
    </row>
    <row r="7" spans="1:12" ht="36" customHeight="1">
      <c r="A7" s="4547" t="s">
        <v>981</v>
      </c>
      <c r="B7" s="4547"/>
      <c r="C7" s="4547"/>
      <c r="D7" s="4547"/>
      <c r="E7" s="4547"/>
      <c r="F7" s="4547"/>
      <c r="G7" s="4547"/>
    </row>
    <row r="8" spans="1:12" ht="33">
      <c r="A8" s="1450" t="s">
        <v>1</v>
      </c>
      <c r="B8" s="1450" t="s">
        <v>20</v>
      </c>
      <c r="C8" s="1450" t="s">
        <v>907</v>
      </c>
      <c r="D8" s="1451" t="s">
        <v>908</v>
      </c>
      <c r="E8" s="1451" t="s">
        <v>909</v>
      </c>
      <c r="F8" s="1450" t="s">
        <v>9</v>
      </c>
      <c r="G8" s="1450" t="s">
        <v>634</v>
      </c>
    </row>
    <row r="9" spans="1:12" ht="30" customHeight="1">
      <c r="A9" s="1574">
        <v>1</v>
      </c>
      <c r="B9" s="1574" t="s">
        <v>336</v>
      </c>
      <c r="C9" s="1574"/>
      <c r="D9" s="1575"/>
      <c r="E9" s="1575">
        <f>+C9*D9</f>
        <v>0</v>
      </c>
      <c r="F9" s="1574"/>
      <c r="G9" s="1574"/>
    </row>
    <row r="10" spans="1:12" ht="30" customHeight="1">
      <c r="A10" s="1576">
        <v>2</v>
      </c>
      <c r="B10" s="1576" t="s">
        <v>917</v>
      </c>
      <c r="C10" s="1576"/>
      <c r="D10" s="1577"/>
      <c r="E10" s="1577">
        <f t="shared" ref="E10:E13" si="0">+C10*D10</f>
        <v>0</v>
      </c>
      <c r="F10" s="1576"/>
      <c r="G10" s="1576"/>
    </row>
    <row r="11" spans="1:12" ht="30" customHeight="1">
      <c r="A11" s="1576">
        <v>3</v>
      </c>
      <c r="B11" s="1576" t="s">
        <v>96</v>
      </c>
      <c r="C11" s="1576"/>
      <c r="D11" s="1577"/>
      <c r="E11" s="1577">
        <f t="shared" si="0"/>
        <v>0</v>
      </c>
      <c r="F11" s="1576"/>
      <c r="G11" s="1576"/>
    </row>
    <row r="12" spans="1:12" ht="30" customHeight="1">
      <c r="A12" s="1576">
        <v>4</v>
      </c>
      <c r="B12" s="1576" t="s">
        <v>918</v>
      </c>
      <c r="C12" s="1576"/>
      <c r="D12" s="1577"/>
      <c r="E12" s="1577">
        <f t="shared" si="0"/>
        <v>0</v>
      </c>
      <c r="F12" s="1576"/>
      <c r="G12" s="1576"/>
    </row>
    <row r="13" spans="1:12" ht="30" customHeight="1">
      <c r="A13" s="1578">
        <v>5</v>
      </c>
      <c r="B13" s="1578" t="s">
        <v>919</v>
      </c>
      <c r="C13" s="1578"/>
      <c r="D13" s="1579"/>
      <c r="E13" s="1579">
        <f t="shared" si="0"/>
        <v>0</v>
      </c>
      <c r="F13" s="1578"/>
      <c r="G13" s="1578"/>
    </row>
    <row r="14" spans="1:12" ht="36.75" customHeight="1">
      <c r="A14" s="4543" t="s">
        <v>910</v>
      </c>
      <c r="B14" s="4544"/>
      <c r="C14" s="1452">
        <f>SUM(C9:C13)</f>
        <v>0</v>
      </c>
      <c r="D14" s="1452"/>
      <c r="E14" s="1453">
        <f>SUM(E9:E13)</f>
        <v>0</v>
      </c>
      <c r="F14" s="1452"/>
      <c r="G14" s="1452"/>
    </row>
    <row r="15" spans="1:12" ht="17.25">
      <c r="A15" s="4545" t="s">
        <v>982</v>
      </c>
      <c r="B15" s="4545"/>
      <c r="C15" s="4545"/>
      <c r="D15" s="4545"/>
      <c r="E15" s="4545"/>
      <c r="F15" s="4545"/>
      <c r="G15" s="4545"/>
    </row>
    <row r="16" spans="1:12" ht="15">
      <c r="A16" s="1454"/>
      <c r="B16" s="1455"/>
      <c r="C16" s="1455"/>
      <c r="D16" s="4546" t="s">
        <v>939</v>
      </c>
      <c r="E16" s="4546"/>
      <c r="F16" s="4546"/>
      <c r="G16" s="4546"/>
    </row>
    <row r="17" spans="1:7" ht="14.25">
      <c r="A17" s="4542" t="s">
        <v>167</v>
      </c>
      <c r="B17" s="4542"/>
      <c r="C17" s="4542"/>
      <c r="D17" s="4542" t="s">
        <v>42</v>
      </c>
      <c r="E17" s="4542"/>
      <c r="F17" s="4542"/>
      <c r="G17" s="4542"/>
    </row>
    <row r="18" spans="1:7" ht="15">
      <c r="A18" s="1454"/>
      <c r="B18" s="1455"/>
      <c r="C18" s="1456"/>
      <c r="D18" s="1456"/>
      <c r="E18" s="1456"/>
      <c r="F18" s="1457"/>
      <c r="G18" s="1457"/>
    </row>
    <row r="19" spans="1:7" ht="15">
      <c r="A19" s="1454"/>
      <c r="B19" s="1455"/>
      <c r="C19" s="1456"/>
      <c r="D19" s="1456"/>
      <c r="E19" s="1456"/>
      <c r="F19" s="1457"/>
      <c r="G19" s="1457"/>
    </row>
    <row r="20" spans="1:7" ht="15">
      <c r="A20" s="1454"/>
      <c r="B20" s="1455"/>
      <c r="C20" s="1456"/>
      <c r="D20" s="1456"/>
      <c r="E20" s="1456"/>
      <c r="F20" s="1457"/>
      <c r="G20" s="1457"/>
    </row>
    <row r="21" spans="1:7" ht="15">
      <c r="A21" s="1454"/>
      <c r="B21" s="1455"/>
      <c r="C21" s="1456"/>
      <c r="D21" s="1456"/>
      <c r="E21" s="1456"/>
      <c r="F21" s="1457"/>
      <c r="G21" s="1457"/>
    </row>
    <row r="22" spans="1:7" ht="15">
      <c r="A22" s="1454"/>
      <c r="B22" s="1455"/>
      <c r="C22" s="1456"/>
      <c r="D22" s="1456"/>
      <c r="E22" s="1456"/>
      <c r="F22" s="1457"/>
      <c r="G22" s="1457"/>
    </row>
    <row r="23" spans="1:7" ht="15">
      <c r="A23" s="1454"/>
      <c r="B23" s="1455"/>
      <c r="C23" s="1456"/>
      <c r="D23" s="1456"/>
      <c r="E23" s="1456"/>
      <c r="F23" s="1457"/>
      <c r="G23" s="1457"/>
    </row>
    <row r="24" spans="1:7" ht="15">
      <c r="A24" s="1454"/>
      <c r="B24" s="1456"/>
      <c r="C24" s="1456"/>
      <c r="D24" s="1456"/>
      <c r="E24" s="4542"/>
      <c r="F24" s="4542"/>
      <c r="G24" s="4542"/>
    </row>
    <row r="25" spans="1:7" ht="15">
      <c r="A25" s="1455"/>
      <c r="B25" s="1456"/>
      <c r="C25" s="1456"/>
      <c r="D25" s="1456"/>
      <c r="E25" s="1456"/>
      <c r="F25" s="1456"/>
      <c r="G25" s="1456"/>
    </row>
    <row r="26" spans="1:7" ht="14.25">
      <c r="A26" s="4542" t="s">
        <v>911</v>
      </c>
      <c r="B26" s="4542"/>
      <c r="C26" s="4542"/>
      <c r="D26" s="4542" t="s">
        <v>892</v>
      </c>
      <c r="E26" s="4542"/>
      <c r="F26" s="4542"/>
      <c r="G26" s="4542"/>
    </row>
  </sheetData>
  <mergeCells count="15">
    <mergeCell ref="A7:G7"/>
    <mergeCell ref="A1:G1"/>
    <mergeCell ref="A2:G2"/>
    <mergeCell ref="A4:D4"/>
    <mergeCell ref="A5:D5"/>
    <mergeCell ref="A6:G6"/>
    <mergeCell ref="A3:G3"/>
    <mergeCell ref="A26:C26"/>
    <mergeCell ref="D26:G26"/>
    <mergeCell ref="A14:B14"/>
    <mergeCell ref="A15:G15"/>
    <mergeCell ref="D16:G16"/>
    <mergeCell ref="A17:C17"/>
    <mergeCell ref="D17:G17"/>
    <mergeCell ref="E24:G24"/>
  </mergeCells>
  <pageMargins left="0.42" right="0.1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7"/>
  <sheetViews>
    <sheetView topLeftCell="A13" workbookViewId="0">
      <selection activeCell="F17" sqref="F17"/>
    </sheetView>
  </sheetViews>
  <sheetFormatPr defaultRowHeight="12.75"/>
  <cols>
    <col min="1" max="1" width="4.625" style="246" customWidth="1"/>
    <col min="2" max="2" width="25.125" style="246" customWidth="1"/>
    <col min="3" max="3" width="10.625" style="246" customWidth="1"/>
    <col min="4" max="4" width="6.75" style="246" customWidth="1"/>
    <col min="5" max="5" width="6.625" style="246" customWidth="1"/>
    <col min="6" max="6" width="9.75" style="246" customWidth="1"/>
    <col min="7" max="7" width="8.375" style="246" customWidth="1"/>
    <col min="8" max="8" width="10.125" style="1042" customWidth="1"/>
    <col min="9" max="9" width="8.375" style="1042" customWidth="1"/>
    <col min="10" max="10" width="14.375" style="1042" customWidth="1"/>
    <col min="11" max="11" width="13" style="1043" customWidth="1"/>
    <col min="12" max="12" width="17" style="246" customWidth="1"/>
    <col min="13" max="13" width="12.625" style="246" customWidth="1"/>
    <col min="14" max="14" width="14.375" style="246" customWidth="1"/>
    <col min="15" max="15" width="11.75" style="246" customWidth="1"/>
    <col min="16" max="16" width="12.375" style="989" customWidth="1"/>
    <col min="17" max="17" width="12.75" style="246" customWidth="1"/>
    <col min="18" max="19" width="22.25" style="246" customWidth="1"/>
    <col min="20" max="20" width="36.625" style="246" customWidth="1"/>
    <col min="21" max="21" width="26.25" style="246" customWidth="1"/>
    <col min="22" max="22" width="19.875" style="246" customWidth="1"/>
    <col min="23" max="23" width="24" style="246" customWidth="1"/>
    <col min="24" max="24" width="22" style="246" customWidth="1"/>
    <col min="25" max="25" width="20" style="246" customWidth="1"/>
    <col min="26" max="255" width="9" style="246"/>
    <col min="256" max="256" width="4.625" style="246" customWidth="1"/>
    <col min="257" max="257" width="26.25" style="246" customWidth="1"/>
    <col min="258" max="258" width="13.625" style="246" customWidth="1"/>
    <col min="259" max="259" width="8.75" style="246" bestFit="1" customWidth="1"/>
    <col min="260" max="260" width="9.75" style="246" bestFit="1" customWidth="1"/>
    <col min="261" max="262" width="9.75" style="246" customWidth="1"/>
    <col min="263" max="263" width="18.875" style="246" customWidth="1"/>
    <col min="264" max="264" width="10.25" style="246" customWidth="1"/>
    <col min="265" max="265" width="18.875" style="246" customWidth="1"/>
    <col min="266" max="266" width="16.25" style="246" customWidth="1"/>
    <col min="267" max="267" width="17" style="246" customWidth="1"/>
    <col min="268" max="268" width="17.625" style="246" customWidth="1"/>
    <col min="269" max="269" width="19.875" style="246" customWidth="1"/>
    <col min="270" max="270" width="17" style="246" customWidth="1"/>
    <col min="271" max="271" width="16.375" style="246" customWidth="1"/>
    <col min="272" max="272" width="16.75" style="246" customWidth="1"/>
    <col min="273" max="273" width="17.25" style="246" customWidth="1"/>
    <col min="274" max="275" width="22.25" style="246" customWidth="1"/>
    <col min="276" max="276" width="36.625" style="246" customWidth="1"/>
    <col min="277" max="277" width="26.25" style="246" customWidth="1"/>
    <col min="278" max="278" width="19.875" style="246" customWidth="1"/>
    <col min="279" max="279" width="24" style="246" customWidth="1"/>
    <col min="280" max="280" width="22" style="246" customWidth="1"/>
    <col min="281" max="281" width="20" style="246" customWidth="1"/>
    <col min="282" max="511" width="9" style="246"/>
    <col min="512" max="512" width="4.625" style="246" customWidth="1"/>
    <col min="513" max="513" width="26.25" style="246" customWidth="1"/>
    <col min="514" max="514" width="13.625" style="246" customWidth="1"/>
    <col min="515" max="515" width="8.75" style="246" bestFit="1" customWidth="1"/>
    <col min="516" max="516" width="9.75" style="246" bestFit="1" customWidth="1"/>
    <col min="517" max="518" width="9.75" style="246" customWidth="1"/>
    <col min="519" max="519" width="18.875" style="246" customWidth="1"/>
    <col min="520" max="520" width="10.25" style="246" customWidth="1"/>
    <col min="521" max="521" width="18.875" style="246" customWidth="1"/>
    <col min="522" max="522" width="16.25" style="246" customWidth="1"/>
    <col min="523" max="523" width="17" style="246" customWidth="1"/>
    <col min="524" max="524" width="17.625" style="246" customWidth="1"/>
    <col min="525" max="525" width="19.875" style="246" customWidth="1"/>
    <col min="526" max="526" width="17" style="246" customWidth="1"/>
    <col min="527" max="527" width="16.375" style="246" customWidth="1"/>
    <col min="528" max="528" width="16.75" style="246" customWidth="1"/>
    <col min="529" max="529" width="17.25" style="246" customWidth="1"/>
    <col min="530" max="531" width="22.25" style="246" customWidth="1"/>
    <col min="532" max="532" width="36.625" style="246" customWidth="1"/>
    <col min="533" max="533" width="26.25" style="246" customWidth="1"/>
    <col min="534" max="534" width="19.875" style="246" customWidth="1"/>
    <col min="535" max="535" width="24" style="246" customWidth="1"/>
    <col min="536" max="536" width="22" style="246" customWidth="1"/>
    <col min="537" max="537" width="20" style="246" customWidth="1"/>
    <col min="538" max="767" width="9" style="246"/>
    <col min="768" max="768" width="4.625" style="246" customWidth="1"/>
    <col min="769" max="769" width="26.25" style="246" customWidth="1"/>
    <col min="770" max="770" width="13.625" style="246" customWidth="1"/>
    <col min="771" max="771" width="8.75" style="246" bestFit="1" customWidth="1"/>
    <col min="772" max="772" width="9.75" style="246" bestFit="1" customWidth="1"/>
    <col min="773" max="774" width="9.75" style="246" customWidth="1"/>
    <col min="775" max="775" width="18.875" style="246" customWidth="1"/>
    <col min="776" max="776" width="10.25" style="246" customWidth="1"/>
    <col min="777" max="777" width="18.875" style="246" customWidth="1"/>
    <col min="778" max="778" width="16.25" style="246" customWidth="1"/>
    <col min="779" max="779" width="17" style="246" customWidth="1"/>
    <col min="780" max="780" width="17.625" style="246" customWidth="1"/>
    <col min="781" max="781" width="19.875" style="246" customWidth="1"/>
    <col min="782" max="782" width="17" style="246" customWidth="1"/>
    <col min="783" max="783" width="16.375" style="246" customWidth="1"/>
    <col min="784" max="784" width="16.75" style="246" customWidth="1"/>
    <col min="785" max="785" width="17.25" style="246" customWidth="1"/>
    <col min="786" max="787" width="22.25" style="246" customWidth="1"/>
    <col min="788" max="788" width="36.625" style="246" customWidth="1"/>
    <col min="789" max="789" width="26.25" style="246" customWidth="1"/>
    <col min="790" max="790" width="19.875" style="246" customWidth="1"/>
    <col min="791" max="791" width="24" style="246" customWidth="1"/>
    <col min="792" max="792" width="22" style="246" customWidth="1"/>
    <col min="793" max="793" width="20" style="246" customWidth="1"/>
    <col min="794" max="1023" width="9" style="246"/>
    <col min="1024" max="1024" width="4.625" style="246" customWidth="1"/>
    <col min="1025" max="1025" width="26.25" style="246" customWidth="1"/>
    <col min="1026" max="1026" width="13.625" style="246" customWidth="1"/>
    <col min="1027" max="1027" width="8.75" style="246" bestFit="1" customWidth="1"/>
    <col min="1028" max="1028" width="9.75" style="246" bestFit="1" customWidth="1"/>
    <col min="1029" max="1030" width="9.75" style="246" customWidth="1"/>
    <col min="1031" max="1031" width="18.875" style="246" customWidth="1"/>
    <col min="1032" max="1032" width="10.25" style="246" customWidth="1"/>
    <col min="1033" max="1033" width="18.875" style="246" customWidth="1"/>
    <col min="1034" max="1034" width="16.25" style="246" customWidth="1"/>
    <col min="1035" max="1035" width="17" style="246" customWidth="1"/>
    <col min="1036" max="1036" width="17.625" style="246" customWidth="1"/>
    <col min="1037" max="1037" width="19.875" style="246" customWidth="1"/>
    <col min="1038" max="1038" width="17" style="246" customWidth="1"/>
    <col min="1039" max="1039" width="16.375" style="246" customWidth="1"/>
    <col min="1040" max="1040" width="16.75" style="246" customWidth="1"/>
    <col min="1041" max="1041" width="17.25" style="246" customWidth="1"/>
    <col min="1042" max="1043" width="22.25" style="246" customWidth="1"/>
    <col min="1044" max="1044" width="36.625" style="246" customWidth="1"/>
    <col min="1045" max="1045" width="26.25" style="246" customWidth="1"/>
    <col min="1046" max="1046" width="19.875" style="246" customWidth="1"/>
    <col min="1047" max="1047" width="24" style="246" customWidth="1"/>
    <col min="1048" max="1048" width="22" style="246" customWidth="1"/>
    <col min="1049" max="1049" width="20" style="246" customWidth="1"/>
    <col min="1050" max="1279" width="9" style="246"/>
    <col min="1280" max="1280" width="4.625" style="246" customWidth="1"/>
    <col min="1281" max="1281" width="26.25" style="246" customWidth="1"/>
    <col min="1282" max="1282" width="13.625" style="246" customWidth="1"/>
    <col min="1283" max="1283" width="8.75" style="246" bestFit="1" customWidth="1"/>
    <col min="1284" max="1284" width="9.75" style="246" bestFit="1" customWidth="1"/>
    <col min="1285" max="1286" width="9.75" style="246" customWidth="1"/>
    <col min="1287" max="1287" width="18.875" style="246" customWidth="1"/>
    <col min="1288" max="1288" width="10.25" style="246" customWidth="1"/>
    <col min="1289" max="1289" width="18.875" style="246" customWidth="1"/>
    <col min="1290" max="1290" width="16.25" style="246" customWidth="1"/>
    <col min="1291" max="1291" width="17" style="246" customWidth="1"/>
    <col min="1292" max="1292" width="17.625" style="246" customWidth="1"/>
    <col min="1293" max="1293" width="19.875" style="246" customWidth="1"/>
    <col min="1294" max="1294" width="17" style="246" customWidth="1"/>
    <col min="1295" max="1295" width="16.375" style="246" customWidth="1"/>
    <col min="1296" max="1296" width="16.75" style="246" customWidth="1"/>
    <col min="1297" max="1297" width="17.25" style="246" customWidth="1"/>
    <col min="1298" max="1299" width="22.25" style="246" customWidth="1"/>
    <col min="1300" max="1300" width="36.625" style="246" customWidth="1"/>
    <col min="1301" max="1301" width="26.25" style="246" customWidth="1"/>
    <col min="1302" max="1302" width="19.875" style="246" customWidth="1"/>
    <col min="1303" max="1303" width="24" style="246" customWidth="1"/>
    <col min="1304" max="1304" width="22" style="246" customWidth="1"/>
    <col min="1305" max="1305" width="20" style="246" customWidth="1"/>
    <col min="1306" max="1535" width="9" style="246"/>
    <col min="1536" max="1536" width="4.625" style="246" customWidth="1"/>
    <col min="1537" max="1537" width="26.25" style="246" customWidth="1"/>
    <col min="1538" max="1538" width="13.625" style="246" customWidth="1"/>
    <col min="1539" max="1539" width="8.75" style="246" bestFit="1" customWidth="1"/>
    <col min="1540" max="1540" width="9.75" style="246" bestFit="1" customWidth="1"/>
    <col min="1541" max="1542" width="9.75" style="246" customWidth="1"/>
    <col min="1543" max="1543" width="18.875" style="246" customWidth="1"/>
    <col min="1544" max="1544" width="10.25" style="246" customWidth="1"/>
    <col min="1545" max="1545" width="18.875" style="246" customWidth="1"/>
    <col min="1546" max="1546" width="16.25" style="246" customWidth="1"/>
    <col min="1547" max="1547" width="17" style="246" customWidth="1"/>
    <col min="1548" max="1548" width="17.625" style="246" customWidth="1"/>
    <col min="1549" max="1549" width="19.875" style="246" customWidth="1"/>
    <col min="1550" max="1550" width="17" style="246" customWidth="1"/>
    <col min="1551" max="1551" width="16.375" style="246" customWidth="1"/>
    <col min="1552" max="1552" width="16.75" style="246" customWidth="1"/>
    <col min="1553" max="1553" width="17.25" style="246" customWidth="1"/>
    <col min="1554" max="1555" width="22.25" style="246" customWidth="1"/>
    <col min="1556" max="1556" width="36.625" style="246" customWidth="1"/>
    <col min="1557" max="1557" width="26.25" style="246" customWidth="1"/>
    <col min="1558" max="1558" width="19.875" style="246" customWidth="1"/>
    <col min="1559" max="1559" width="24" style="246" customWidth="1"/>
    <col min="1560" max="1560" width="22" style="246" customWidth="1"/>
    <col min="1561" max="1561" width="20" style="246" customWidth="1"/>
    <col min="1562" max="1791" width="9" style="246"/>
    <col min="1792" max="1792" width="4.625" style="246" customWidth="1"/>
    <col min="1793" max="1793" width="26.25" style="246" customWidth="1"/>
    <col min="1794" max="1794" width="13.625" style="246" customWidth="1"/>
    <col min="1795" max="1795" width="8.75" style="246" bestFit="1" customWidth="1"/>
    <col min="1796" max="1796" width="9.75" style="246" bestFit="1" customWidth="1"/>
    <col min="1797" max="1798" width="9.75" style="246" customWidth="1"/>
    <col min="1799" max="1799" width="18.875" style="246" customWidth="1"/>
    <col min="1800" max="1800" width="10.25" style="246" customWidth="1"/>
    <col min="1801" max="1801" width="18.875" style="246" customWidth="1"/>
    <col min="1802" max="1802" width="16.25" style="246" customWidth="1"/>
    <col min="1803" max="1803" width="17" style="246" customWidth="1"/>
    <col min="1804" max="1804" width="17.625" style="246" customWidth="1"/>
    <col min="1805" max="1805" width="19.875" style="246" customWidth="1"/>
    <col min="1806" max="1806" width="17" style="246" customWidth="1"/>
    <col min="1807" max="1807" width="16.375" style="246" customWidth="1"/>
    <col min="1808" max="1808" width="16.75" style="246" customWidth="1"/>
    <col min="1809" max="1809" width="17.25" style="246" customWidth="1"/>
    <col min="1810" max="1811" width="22.25" style="246" customWidth="1"/>
    <col min="1812" max="1812" width="36.625" style="246" customWidth="1"/>
    <col min="1813" max="1813" width="26.25" style="246" customWidth="1"/>
    <col min="1814" max="1814" width="19.875" style="246" customWidth="1"/>
    <col min="1815" max="1815" width="24" style="246" customWidth="1"/>
    <col min="1816" max="1816" width="22" style="246" customWidth="1"/>
    <col min="1817" max="1817" width="20" style="246" customWidth="1"/>
    <col min="1818" max="2047" width="9" style="246"/>
    <col min="2048" max="2048" width="4.625" style="246" customWidth="1"/>
    <col min="2049" max="2049" width="26.25" style="246" customWidth="1"/>
    <col min="2050" max="2050" width="13.625" style="246" customWidth="1"/>
    <col min="2051" max="2051" width="8.75" style="246" bestFit="1" customWidth="1"/>
    <col min="2052" max="2052" width="9.75" style="246" bestFit="1" customWidth="1"/>
    <col min="2053" max="2054" width="9.75" style="246" customWidth="1"/>
    <col min="2055" max="2055" width="18.875" style="246" customWidth="1"/>
    <col min="2056" max="2056" width="10.25" style="246" customWidth="1"/>
    <col min="2057" max="2057" width="18.875" style="246" customWidth="1"/>
    <col min="2058" max="2058" width="16.25" style="246" customWidth="1"/>
    <col min="2059" max="2059" width="17" style="246" customWidth="1"/>
    <col min="2060" max="2060" width="17.625" style="246" customWidth="1"/>
    <col min="2061" max="2061" width="19.875" style="246" customWidth="1"/>
    <col min="2062" max="2062" width="17" style="246" customWidth="1"/>
    <col min="2063" max="2063" width="16.375" style="246" customWidth="1"/>
    <col min="2064" max="2064" width="16.75" style="246" customWidth="1"/>
    <col min="2065" max="2065" width="17.25" style="246" customWidth="1"/>
    <col min="2066" max="2067" width="22.25" style="246" customWidth="1"/>
    <col min="2068" max="2068" width="36.625" style="246" customWidth="1"/>
    <col min="2069" max="2069" width="26.25" style="246" customWidth="1"/>
    <col min="2070" max="2070" width="19.875" style="246" customWidth="1"/>
    <col min="2071" max="2071" width="24" style="246" customWidth="1"/>
    <col min="2072" max="2072" width="22" style="246" customWidth="1"/>
    <col min="2073" max="2073" width="20" style="246" customWidth="1"/>
    <col min="2074" max="2303" width="9" style="246"/>
    <col min="2304" max="2304" width="4.625" style="246" customWidth="1"/>
    <col min="2305" max="2305" width="26.25" style="246" customWidth="1"/>
    <col min="2306" max="2306" width="13.625" style="246" customWidth="1"/>
    <col min="2307" max="2307" width="8.75" style="246" bestFit="1" customWidth="1"/>
    <col min="2308" max="2308" width="9.75" style="246" bestFit="1" customWidth="1"/>
    <col min="2309" max="2310" width="9.75" style="246" customWidth="1"/>
    <col min="2311" max="2311" width="18.875" style="246" customWidth="1"/>
    <col min="2312" max="2312" width="10.25" style="246" customWidth="1"/>
    <col min="2313" max="2313" width="18.875" style="246" customWidth="1"/>
    <col min="2314" max="2314" width="16.25" style="246" customWidth="1"/>
    <col min="2315" max="2315" width="17" style="246" customWidth="1"/>
    <col min="2316" max="2316" width="17.625" style="246" customWidth="1"/>
    <col min="2317" max="2317" width="19.875" style="246" customWidth="1"/>
    <col min="2318" max="2318" width="17" style="246" customWidth="1"/>
    <col min="2319" max="2319" width="16.375" style="246" customWidth="1"/>
    <col min="2320" max="2320" width="16.75" style="246" customWidth="1"/>
    <col min="2321" max="2321" width="17.25" style="246" customWidth="1"/>
    <col min="2322" max="2323" width="22.25" style="246" customWidth="1"/>
    <col min="2324" max="2324" width="36.625" style="246" customWidth="1"/>
    <col min="2325" max="2325" width="26.25" style="246" customWidth="1"/>
    <col min="2326" max="2326" width="19.875" style="246" customWidth="1"/>
    <col min="2327" max="2327" width="24" style="246" customWidth="1"/>
    <col min="2328" max="2328" width="22" style="246" customWidth="1"/>
    <col min="2329" max="2329" width="20" style="246" customWidth="1"/>
    <col min="2330" max="2559" width="9" style="246"/>
    <col min="2560" max="2560" width="4.625" style="246" customWidth="1"/>
    <col min="2561" max="2561" width="26.25" style="246" customWidth="1"/>
    <col min="2562" max="2562" width="13.625" style="246" customWidth="1"/>
    <col min="2563" max="2563" width="8.75" style="246" bestFit="1" customWidth="1"/>
    <col min="2564" max="2564" width="9.75" style="246" bestFit="1" customWidth="1"/>
    <col min="2565" max="2566" width="9.75" style="246" customWidth="1"/>
    <col min="2567" max="2567" width="18.875" style="246" customWidth="1"/>
    <col min="2568" max="2568" width="10.25" style="246" customWidth="1"/>
    <col min="2569" max="2569" width="18.875" style="246" customWidth="1"/>
    <col min="2570" max="2570" width="16.25" style="246" customWidth="1"/>
    <col min="2571" max="2571" width="17" style="246" customWidth="1"/>
    <col min="2572" max="2572" width="17.625" style="246" customWidth="1"/>
    <col min="2573" max="2573" width="19.875" style="246" customWidth="1"/>
    <col min="2574" max="2574" width="17" style="246" customWidth="1"/>
    <col min="2575" max="2575" width="16.375" style="246" customWidth="1"/>
    <col min="2576" max="2576" width="16.75" style="246" customWidth="1"/>
    <col min="2577" max="2577" width="17.25" style="246" customWidth="1"/>
    <col min="2578" max="2579" width="22.25" style="246" customWidth="1"/>
    <col min="2580" max="2580" width="36.625" style="246" customWidth="1"/>
    <col min="2581" max="2581" width="26.25" style="246" customWidth="1"/>
    <col min="2582" max="2582" width="19.875" style="246" customWidth="1"/>
    <col min="2583" max="2583" width="24" style="246" customWidth="1"/>
    <col min="2584" max="2584" width="22" style="246" customWidth="1"/>
    <col min="2585" max="2585" width="20" style="246" customWidth="1"/>
    <col min="2586" max="2815" width="9" style="246"/>
    <col min="2816" max="2816" width="4.625" style="246" customWidth="1"/>
    <col min="2817" max="2817" width="26.25" style="246" customWidth="1"/>
    <col min="2818" max="2818" width="13.625" style="246" customWidth="1"/>
    <col min="2819" max="2819" width="8.75" style="246" bestFit="1" customWidth="1"/>
    <col min="2820" max="2820" width="9.75" style="246" bestFit="1" customWidth="1"/>
    <col min="2821" max="2822" width="9.75" style="246" customWidth="1"/>
    <col min="2823" max="2823" width="18.875" style="246" customWidth="1"/>
    <col min="2824" max="2824" width="10.25" style="246" customWidth="1"/>
    <col min="2825" max="2825" width="18.875" style="246" customWidth="1"/>
    <col min="2826" max="2826" width="16.25" style="246" customWidth="1"/>
    <col min="2827" max="2827" width="17" style="246" customWidth="1"/>
    <col min="2828" max="2828" width="17.625" style="246" customWidth="1"/>
    <col min="2829" max="2829" width="19.875" style="246" customWidth="1"/>
    <col min="2830" max="2830" width="17" style="246" customWidth="1"/>
    <col min="2831" max="2831" width="16.375" style="246" customWidth="1"/>
    <col min="2832" max="2832" width="16.75" style="246" customWidth="1"/>
    <col min="2833" max="2833" width="17.25" style="246" customWidth="1"/>
    <col min="2834" max="2835" width="22.25" style="246" customWidth="1"/>
    <col min="2836" max="2836" width="36.625" style="246" customWidth="1"/>
    <col min="2837" max="2837" width="26.25" style="246" customWidth="1"/>
    <col min="2838" max="2838" width="19.875" style="246" customWidth="1"/>
    <col min="2839" max="2839" width="24" style="246" customWidth="1"/>
    <col min="2840" max="2840" width="22" style="246" customWidth="1"/>
    <col min="2841" max="2841" width="20" style="246" customWidth="1"/>
    <col min="2842" max="3071" width="9" style="246"/>
    <col min="3072" max="3072" width="4.625" style="246" customWidth="1"/>
    <col min="3073" max="3073" width="26.25" style="246" customWidth="1"/>
    <col min="3074" max="3074" width="13.625" style="246" customWidth="1"/>
    <col min="3075" max="3075" width="8.75" style="246" bestFit="1" customWidth="1"/>
    <col min="3076" max="3076" width="9.75" style="246" bestFit="1" customWidth="1"/>
    <col min="3077" max="3078" width="9.75" style="246" customWidth="1"/>
    <col min="3079" max="3079" width="18.875" style="246" customWidth="1"/>
    <col min="3080" max="3080" width="10.25" style="246" customWidth="1"/>
    <col min="3081" max="3081" width="18.875" style="246" customWidth="1"/>
    <col min="3082" max="3082" width="16.25" style="246" customWidth="1"/>
    <col min="3083" max="3083" width="17" style="246" customWidth="1"/>
    <col min="3084" max="3084" width="17.625" style="246" customWidth="1"/>
    <col min="3085" max="3085" width="19.875" style="246" customWidth="1"/>
    <col min="3086" max="3086" width="17" style="246" customWidth="1"/>
    <col min="3087" max="3087" width="16.375" style="246" customWidth="1"/>
    <col min="3088" max="3088" width="16.75" style="246" customWidth="1"/>
    <col min="3089" max="3089" width="17.25" style="246" customWidth="1"/>
    <col min="3090" max="3091" width="22.25" style="246" customWidth="1"/>
    <col min="3092" max="3092" width="36.625" style="246" customWidth="1"/>
    <col min="3093" max="3093" width="26.25" style="246" customWidth="1"/>
    <col min="3094" max="3094" width="19.875" style="246" customWidth="1"/>
    <col min="3095" max="3095" width="24" style="246" customWidth="1"/>
    <col min="3096" max="3096" width="22" style="246" customWidth="1"/>
    <col min="3097" max="3097" width="20" style="246" customWidth="1"/>
    <col min="3098" max="3327" width="9" style="246"/>
    <col min="3328" max="3328" width="4.625" style="246" customWidth="1"/>
    <col min="3329" max="3329" width="26.25" style="246" customWidth="1"/>
    <col min="3330" max="3330" width="13.625" style="246" customWidth="1"/>
    <col min="3331" max="3331" width="8.75" style="246" bestFit="1" customWidth="1"/>
    <col min="3332" max="3332" width="9.75" style="246" bestFit="1" customWidth="1"/>
    <col min="3333" max="3334" width="9.75" style="246" customWidth="1"/>
    <col min="3335" max="3335" width="18.875" style="246" customWidth="1"/>
    <col min="3336" max="3336" width="10.25" style="246" customWidth="1"/>
    <col min="3337" max="3337" width="18.875" style="246" customWidth="1"/>
    <col min="3338" max="3338" width="16.25" style="246" customWidth="1"/>
    <col min="3339" max="3339" width="17" style="246" customWidth="1"/>
    <col min="3340" max="3340" width="17.625" style="246" customWidth="1"/>
    <col min="3341" max="3341" width="19.875" style="246" customWidth="1"/>
    <col min="3342" max="3342" width="17" style="246" customWidth="1"/>
    <col min="3343" max="3343" width="16.375" style="246" customWidth="1"/>
    <col min="3344" max="3344" width="16.75" style="246" customWidth="1"/>
    <col min="3345" max="3345" width="17.25" style="246" customWidth="1"/>
    <col min="3346" max="3347" width="22.25" style="246" customWidth="1"/>
    <col min="3348" max="3348" width="36.625" style="246" customWidth="1"/>
    <col min="3349" max="3349" width="26.25" style="246" customWidth="1"/>
    <col min="3350" max="3350" width="19.875" style="246" customWidth="1"/>
    <col min="3351" max="3351" width="24" style="246" customWidth="1"/>
    <col min="3352" max="3352" width="22" style="246" customWidth="1"/>
    <col min="3353" max="3353" width="20" style="246" customWidth="1"/>
    <col min="3354" max="3583" width="9" style="246"/>
    <col min="3584" max="3584" width="4.625" style="246" customWidth="1"/>
    <col min="3585" max="3585" width="26.25" style="246" customWidth="1"/>
    <col min="3586" max="3586" width="13.625" style="246" customWidth="1"/>
    <col min="3587" max="3587" width="8.75" style="246" bestFit="1" customWidth="1"/>
    <col min="3588" max="3588" width="9.75" style="246" bestFit="1" customWidth="1"/>
    <col min="3589" max="3590" width="9.75" style="246" customWidth="1"/>
    <col min="3591" max="3591" width="18.875" style="246" customWidth="1"/>
    <col min="3592" max="3592" width="10.25" style="246" customWidth="1"/>
    <col min="3593" max="3593" width="18.875" style="246" customWidth="1"/>
    <col min="3594" max="3594" width="16.25" style="246" customWidth="1"/>
    <col min="3595" max="3595" width="17" style="246" customWidth="1"/>
    <col min="3596" max="3596" width="17.625" style="246" customWidth="1"/>
    <col min="3597" max="3597" width="19.875" style="246" customWidth="1"/>
    <col min="3598" max="3598" width="17" style="246" customWidth="1"/>
    <col min="3599" max="3599" width="16.375" style="246" customWidth="1"/>
    <col min="3600" max="3600" width="16.75" style="246" customWidth="1"/>
    <col min="3601" max="3601" width="17.25" style="246" customWidth="1"/>
    <col min="3602" max="3603" width="22.25" style="246" customWidth="1"/>
    <col min="3604" max="3604" width="36.625" style="246" customWidth="1"/>
    <col min="3605" max="3605" width="26.25" style="246" customWidth="1"/>
    <col min="3606" max="3606" width="19.875" style="246" customWidth="1"/>
    <col min="3607" max="3607" width="24" style="246" customWidth="1"/>
    <col min="3608" max="3608" width="22" style="246" customWidth="1"/>
    <col min="3609" max="3609" width="20" style="246" customWidth="1"/>
    <col min="3610" max="3839" width="9" style="246"/>
    <col min="3840" max="3840" width="4.625" style="246" customWidth="1"/>
    <col min="3841" max="3841" width="26.25" style="246" customWidth="1"/>
    <col min="3842" max="3842" width="13.625" style="246" customWidth="1"/>
    <col min="3843" max="3843" width="8.75" style="246" bestFit="1" customWidth="1"/>
    <col min="3844" max="3844" width="9.75" style="246" bestFit="1" customWidth="1"/>
    <col min="3845" max="3846" width="9.75" style="246" customWidth="1"/>
    <col min="3847" max="3847" width="18.875" style="246" customWidth="1"/>
    <col min="3848" max="3848" width="10.25" style="246" customWidth="1"/>
    <col min="3849" max="3849" width="18.875" style="246" customWidth="1"/>
    <col min="3850" max="3850" width="16.25" style="246" customWidth="1"/>
    <col min="3851" max="3851" width="17" style="246" customWidth="1"/>
    <col min="3852" max="3852" width="17.625" style="246" customWidth="1"/>
    <col min="3853" max="3853" width="19.875" style="246" customWidth="1"/>
    <col min="3854" max="3854" width="17" style="246" customWidth="1"/>
    <col min="3855" max="3855" width="16.375" style="246" customWidth="1"/>
    <col min="3856" max="3856" width="16.75" style="246" customWidth="1"/>
    <col min="3857" max="3857" width="17.25" style="246" customWidth="1"/>
    <col min="3858" max="3859" width="22.25" style="246" customWidth="1"/>
    <col min="3860" max="3860" width="36.625" style="246" customWidth="1"/>
    <col min="3861" max="3861" width="26.25" style="246" customWidth="1"/>
    <col min="3862" max="3862" width="19.875" style="246" customWidth="1"/>
    <col min="3863" max="3863" width="24" style="246" customWidth="1"/>
    <col min="3864" max="3864" width="22" style="246" customWidth="1"/>
    <col min="3865" max="3865" width="20" style="246" customWidth="1"/>
    <col min="3866" max="4095" width="9" style="246"/>
    <col min="4096" max="4096" width="4.625" style="246" customWidth="1"/>
    <col min="4097" max="4097" width="26.25" style="246" customWidth="1"/>
    <col min="4098" max="4098" width="13.625" style="246" customWidth="1"/>
    <col min="4099" max="4099" width="8.75" style="246" bestFit="1" customWidth="1"/>
    <col min="4100" max="4100" width="9.75" style="246" bestFit="1" customWidth="1"/>
    <col min="4101" max="4102" width="9.75" style="246" customWidth="1"/>
    <col min="4103" max="4103" width="18.875" style="246" customWidth="1"/>
    <col min="4104" max="4104" width="10.25" style="246" customWidth="1"/>
    <col min="4105" max="4105" width="18.875" style="246" customWidth="1"/>
    <col min="4106" max="4106" width="16.25" style="246" customWidth="1"/>
    <col min="4107" max="4107" width="17" style="246" customWidth="1"/>
    <col min="4108" max="4108" width="17.625" style="246" customWidth="1"/>
    <col min="4109" max="4109" width="19.875" style="246" customWidth="1"/>
    <col min="4110" max="4110" width="17" style="246" customWidth="1"/>
    <col min="4111" max="4111" width="16.375" style="246" customWidth="1"/>
    <col min="4112" max="4112" width="16.75" style="246" customWidth="1"/>
    <col min="4113" max="4113" width="17.25" style="246" customWidth="1"/>
    <col min="4114" max="4115" width="22.25" style="246" customWidth="1"/>
    <col min="4116" max="4116" width="36.625" style="246" customWidth="1"/>
    <col min="4117" max="4117" width="26.25" style="246" customWidth="1"/>
    <col min="4118" max="4118" width="19.875" style="246" customWidth="1"/>
    <col min="4119" max="4119" width="24" style="246" customWidth="1"/>
    <col min="4120" max="4120" width="22" style="246" customWidth="1"/>
    <col min="4121" max="4121" width="20" style="246" customWidth="1"/>
    <col min="4122" max="4351" width="9" style="246"/>
    <col min="4352" max="4352" width="4.625" style="246" customWidth="1"/>
    <col min="4353" max="4353" width="26.25" style="246" customWidth="1"/>
    <col min="4354" max="4354" width="13.625" style="246" customWidth="1"/>
    <col min="4355" max="4355" width="8.75" style="246" bestFit="1" customWidth="1"/>
    <col min="4356" max="4356" width="9.75" style="246" bestFit="1" customWidth="1"/>
    <col min="4357" max="4358" width="9.75" style="246" customWidth="1"/>
    <col min="4359" max="4359" width="18.875" style="246" customWidth="1"/>
    <col min="4360" max="4360" width="10.25" style="246" customWidth="1"/>
    <col min="4361" max="4361" width="18.875" style="246" customWidth="1"/>
    <col min="4362" max="4362" width="16.25" style="246" customWidth="1"/>
    <col min="4363" max="4363" width="17" style="246" customWidth="1"/>
    <col min="4364" max="4364" width="17.625" style="246" customWidth="1"/>
    <col min="4365" max="4365" width="19.875" style="246" customWidth="1"/>
    <col min="4366" max="4366" width="17" style="246" customWidth="1"/>
    <col min="4367" max="4367" width="16.375" style="246" customWidth="1"/>
    <col min="4368" max="4368" width="16.75" style="246" customWidth="1"/>
    <col min="4369" max="4369" width="17.25" style="246" customWidth="1"/>
    <col min="4370" max="4371" width="22.25" style="246" customWidth="1"/>
    <col min="4372" max="4372" width="36.625" style="246" customWidth="1"/>
    <col min="4373" max="4373" width="26.25" style="246" customWidth="1"/>
    <col min="4374" max="4374" width="19.875" style="246" customWidth="1"/>
    <col min="4375" max="4375" width="24" style="246" customWidth="1"/>
    <col min="4376" max="4376" width="22" style="246" customWidth="1"/>
    <col min="4377" max="4377" width="20" style="246" customWidth="1"/>
    <col min="4378" max="4607" width="9" style="246"/>
    <col min="4608" max="4608" width="4.625" style="246" customWidth="1"/>
    <col min="4609" max="4609" width="26.25" style="246" customWidth="1"/>
    <col min="4610" max="4610" width="13.625" style="246" customWidth="1"/>
    <col min="4611" max="4611" width="8.75" style="246" bestFit="1" customWidth="1"/>
    <col min="4612" max="4612" width="9.75" style="246" bestFit="1" customWidth="1"/>
    <col min="4613" max="4614" width="9.75" style="246" customWidth="1"/>
    <col min="4615" max="4615" width="18.875" style="246" customWidth="1"/>
    <col min="4616" max="4616" width="10.25" style="246" customWidth="1"/>
    <col min="4617" max="4617" width="18.875" style="246" customWidth="1"/>
    <col min="4618" max="4618" width="16.25" style="246" customWidth="1"/>
    <col min="4619" max="4619" width="17" style="246" customWidth="1"/>
    <col min="4620" max="4620" width="17.625" style="246" customWidth="1"/>
    <col min="4621" max="4621" width="19.875" style="246" customWidth="1"/>
    <col min="4622" max="4622" width="17" style="246" customWidth="1"/>
    <col min="4623" max="4623" width="16.375" style="246" customWidth="1"/>
    <col min="4624" max="4624" width="16.75" style="246" customWidth="1"/>
    <col min="4625" max="4625" width="17.25" style="246" customWidth="1"/>
    <col min="4626" max="4627" width="22.25" style="246" customWidth="1"/>
    <col min="4628" max="4628" width="36.625" style="246" customWidth="1"/>
    <col min="4629" max="4629" width="26.25" style="246" customWidth="1"/>
    <col min="4630" max="4630" width="19.875" style="246" customWidth="1"/>
    <col min="4631" max="4631" width="24" style="246" customWidth="1"/>
    <col min="4632" max="4632" width="22" style="246" customWidth="1"/>
    <col min="4633" max="4633" width="20" style="246" customWidth="1"/>
    <col min="4634" max="4863" width="9" style="246"/>
    <col min="4864" max="4864" width="4.625" style="246" customWidth="1"/>
    <col min="4865" max="4865" width="26.25" style="246" customWidth="1"/>
    <col min="4866" max="4866" width="13.625" style="246" customWidth="1"/>
    <col min="4867" max="4867" width="8.75" style="246" bestFit="1" customWidth="1"/>
    <col min="4868" max="4868" width="9.75" style="246" bestFit="1" customWidth="1"/>
    <col min="4869" max="4870" width="9.75" style="246" customWidth="1"/>
    <col min="4871" max="4871" width="18.875" style="246" customWidth="1"/>
    <col min="4872" max="4872" width="10.25" style="246" customWidth="1"/>
    <col min="4873" max="4873" width="18.875" style="246" customWidth="1"/>
    <col min="4874" max="4874" width="16.25" style="246" customWidth="1"/>
    <col min="4875" max="4875" width="17" style="246" customWidth="1"/>
    <col min="4876" max="4876" width="17.625" style="246" customWidth="1"/>
    <col min="4877" max="4877" width="19.875" style="246" customWidth="1"/>
    <col min="4878" max="4878" width="17" style="246" customWidth="1"/>
    <col min="4879" max="4879" width="16.375" style="246" customWidth="1"/>
    <col min="4880" max="4880" width="16.75" style="246" customWidth="1"/>
    <col min="4881" max="4881" width="17.25" style="246" customWidth="1"/>
    <col min="4882" max="4883" width="22.25" style="246" customWidth="1"/>
    <col min="4884" max="4884" width="36.625" style="246" customWidth="1"/>
    <col min="4885" max="4885" width="26.25" style="246" customWidth="1"/>
    <col min="4886" max="4886" width="19.875" style="246" customWidth="1"/>
    <col min="4887" max="4887" width="24" style="246" customWidth="1"/>
    <col min="4888" max="4888" width="22" style="246" customWidth="1"/>
    <col min="4889" max="4889" width="20" style="246" customWidth="1"/>
    <col min="4890" max="5119" width="9" style="246"/>
    <col min="5120" max="5120" width="4.625" style="246" customWidth="1"/>
    <col min="5121" max="5121" width="26.25" style="246" customWidth="1"/>
    <col min="5122" max="5122" width="13.625" style="246" customWidth="1"/>
    <col min="5123" max="5123" width="8.75" style="246" bestFit="1" customWidth="1"/>
    <col min="5124" max="5124" width="9.75" style="246" bestFit="1" customWidth="1"/>
    <col min="5125" max="5126" width="9.75" style="246" customWidth="1"/>
    <col min="5127" max="5127" width="18.875" style="246" customWidth="1"/>
    <col min="5128" max="5128" width="10.25" style="246" customWidth="1"/>
    <col min="5129" max="5129" width="18.875" style="246" customWidth="1"/>
    <col min="5130" max="5130" width="16.25" style="246" customWidth="1"/>
    <col min="5131" max="5131" width="17" style="246" customWidth="1"/>
    <col min="5132" max="5132" width="17.625" style="246" customWidth="1"/>
    <col min="5133" max="5133" width="19.875" style="246" customWidth="1"/>
    <col min="5134" max="5134" width="17" style="246" customWidth="1"/>
    <col min="5135" max="5135" width="16.375" style="246" customWidth="1"/>
    <col min="5136" max="5136" width="16.75" style="246" customWidth="1"/>
    <col min="5137" max="5137" width="17.25" style="246" customWidth="1"/>
    <col min="5138" max="5139" width="22.25" style="246" customWidth="1"/>
    <col min="5140" max="5140" width="36.625" style="246" customWidth="1"/>
    <col min="5141" max="5141" width="26.25" style="246" customWidth="1"/>
    <col min="5142" max="5142" width="19.875" style="246" customWidth="1"/>
    <col min="5143" max="5143" width="24" style="246" customWidth="1"/>
    <col min="5144" max="5144" width="22" style="246" customWidth="1"/>
    <col min="5145" max="5145" width="20" style="246" customWidth="1"/>
    <col min="5146" max="5375" width="9" style="246"/>
    <col min="5376" max="5376" width="4.625" style="246" customWidth="1"/>
    <col min="5377" max="5377" width="26.25" style="246" customWidth="1"/>
    <col min="5378" max="5378" width="13.625" style="246" customWidth="1"/>
    <col min="5379" max="5379" width="8.75" style="246" bestFit="1" customWidth="1"/>
    <col min="5380" max="5380" width="9.75" style="246" bestFit="1" customWidth="1"/>
    <col min="5381" max="5382" width="9.75" style="246" customWidth="1"/>
    <col min="5383" max="5383" width="18.875" style="246" customWidth="1"/>
    <col min="5384" max="5384" width="10.25" style="246" customWidth="1"/>
    <col min="5385" max="5385" width="18.875" style="246" customWidth="1"/>
    <col min="5386" max="5386" width="16.25" style="246" customWidth="1"/>
    <col min="5387" max="5387" width="17" style="246" customWidth="1"/>
    <col min="5388" max="5388" width="17.625" style="246" customWidth="1"/>
    <col min="5389" max="5389" width="19.875" style="246" customWidth="1"/>
    <col min="5390" max="5390" width="17" style="246" customWidth="1"/>
    <col min="5391" max="5391" width="16.375" style="246" customWidth="1"/>
    <col min="5392" max="5392" width="16.75" style="246" customWidth="1"/>
    <col min="5393" max="5393" width="17.25" style="246" customWidth="1"/>
    <col min="5394" max="5395" width="22.25" style="246" customWidth="1"/>
    <col min="5396" max="5396" width="36.625" style="246" customWidth="1"/>
    <col min="5397" max="5397" width="26.25" style="246" customWidth="1"/>
    <col min="5398" max="5398" width="19.875" style="246" customWidth="1"/>
    <col min="5399" max="5399" width="24" style="246" customWidth="1"/>
    <col min="5400" max="5400" width="22" style="246" customWidth="1"/>
    <col min="5401" max="5401" width="20" style="246" customWidth="1"/>
    <col min="5402" max="5631" width="9" style="246"/>
    <col min="5632" max="5632" width="4.625" style="246" customWidth="1"/>
    <col min="5633" max="5633" width="26.25" style="246" customWidth="1"/>
    <col min="5634" max="5634" width="13.625" style="246" customWidth="1"/>
    <col min="5635" max="5635" width="8.75" style="246" bestFit="1" customWidth="1"/>
    <col min="5636" max="5636" width="9.75" style="246" bestFit="1" customWidth="1"/>
    <col min="5637" max="5638" width="9.75" style="246" customWidth="1"/>
    <col min="5639" max="5639" width="18.875" style="246" customWidth="1"/>
    <col min="5640" max="5640" width="10.25" style="246" customWidth="1"/>
    <col min="5641" max="5641" width="18.875" style="246" customWidth="1"/>
    <col min="5642" max="5642" width="16.25" style="246" customWidth="1"/>
    <col min="5643" max="5643" width="17" style="246" customWidth="1"/>
    <col min="5644" max="5644" width="17.625" style="246" customWidth="1"/>
    <col min="5645" max="5645" width="19.875" style="246" customWidth="1"/>
    <col min="5646" max="5646" width="17" style="246" customWidth="1"/>
    <col min="5647" max="5647" width="16.375" style="246" customWidth="1"/>
    <col min="5648" max="5648" width="16.75" style="246" customWidth="1"/>
    <col min="5649" max="5649" width="17.25" style="246" customWidth="1"/>
    <col min="5650" max="5651" width="22.25" style="246" customWidth="1"/>
    <col min="5652" max="5652" width="36.625" style="246" customWidth="1"/>
    <col min="5653" max="5653" width="26.25" style="246" customWidth="1"/>
    <col min="5654" max="5654" width="19.875" style="246" customWidth="1"/>
    <col min="5655" max="5655" width="24" style="246" customWidth="1"/>
    <col min="5656" max="5656" width="22" style="246" customWidth="1"/>
    <col min="5657" max="5657" width="20" style="246" customWidth="1"/>
    <col min="5658" max="5887" width="9" style="246"/>
    <col min="5888" max="5888" width="4.625" style="246" customWidth="1"/>
    <col min="5889" max="5889" width="26.25" style="246" customWidth="1"/>
    <col min="5890" max="5890" width="13.625" style="246" customWidth="1"/>
    <col min="5891" max="5891" width="8.75" style="246" bestFit="1" customWidth="1"/>
    <col min="5892" max="5892" width="9.75" style="246" bestFit="1" customWidth="1"/>
    <col min="5893" max="5894" width="9.75" style="246" customWidth="1"/>
    <col min="5895" max="5895" width="18.875" style="246" customWidth="1"/>
    <col min="5896" max="5896" width="10.25" style="246" customWidth="1"/>
    <col min="5897" max="5897" width="18.875" style="246" customWidth="1"/>
    <col min="5898" max="5898" width="16.25" style="246" customWidth="1"/>
    <col min="5899" max="5899" width="17" style="246" customWidth="1"/>
    <col min="5900" max="5900" width="17.625" style="246" customWidth="1"/>
    <col min="5901" max="5901" width="19.875" style="246" customWidth="1"/>
    <col min="5902" max="5902" width="17" style="246" customWidth="1"/>
    <col min="5903" max="5903" width="16.375" style="246" customWidth="1"/>
    <col min="5904" max="5904" width="16.75" style="246" customWidth="1"/>
    <col min="5905" max="5905" width="17.25" style="246" customWidth="1"/>
    <col min="5906" max="5907" width="22.25" style="246" customWidth="1"/>
    <col min="5908" max="5908" width="36.625" style="246" customWidth="1"/>
    <col min="5909" max="5909" width="26.25" style="246" customWidth="1"/>
    <col min="5910" max="5910" width="19.875" style="246" customWidth="1"/>
    <col min="5911" max="5911" width="24" style="246" customWidth="1"/>
    <col min="5912" max="5912" width="22" style="246" customWidth="1"/>
    <col min="5913" max="5913" width="20" style="246" customWidth="1"/>
    <col min="5914" max="6143" width="9" style="246"/>
    <col min="6144" max="6144" width="4.625" style="246" customWidth="1"/>
    <col min="6145" max="6145" width="26.25" style="246" customWidth="1"/>
    <col min="6146" max="6146" width="13.625" style="246" customWidth="1"/>
    <col min="6147" max="6147" width="8.75" style="246" bestFit="1" customWidth="1"/>
    <col min="6148" max="6148" width="9.75" style="246" bestFit="1" customWidth="1"/>
    <col min="6149" max="6150" width="9.75" style="246" customWidth="1"/>
    <col min="6151" max="6151" width="18.875" style="246" customWidth="1"/>
    <col min="6152" max="6152" width="10.25" style="246" customWidth="1"/>
    <col min="6153" max="6153" width="18.875" style="246" customWidth="1"/>
    <col min="6154" max="6154" width="16.25" style="246" customWidth="1"/>
    <col min="6155" max="6155" width="17" style="246" customWidth="1"/>
    <col min="6156" max="6156" width="17.625" style="246" customWidth="1"/>
    <col min="6157" max="6157" width="19.875" style="246" customWidth="1"/>
    <col min="6158" max="6158" width="17" style="246" customWidth="1"/>
    <col min="6159" max="6159" width="16.375" style="246" customWidth="1"/>
    <col min="6160" max="6160" width="16.75" style="246" customWidth="1"/>
    <col min="6161" max="6161" width="17.25" style="246" customWidth="1"/>
    <col min="6162" max="6163" width="22.25" style="246" customWidth="1"/>
    <col min="6164" max="6164" width="36.625" style="246" customWidth="1"/>
    <col min="6165" max="6165" width="26.25" style="246" customWidth="1"/>
    <col min="6166" max="6166" width="19.875" style="246" customWidth="1"/>
    <col min="6167" max="6167" width="24" style="246" customWidth="1"/>
    <col min="6168" max="6168" width="22" style="246" customWidth="1"/>
    <col min="6169" max="6169" width="20" style="246" customWidth="1"/>
    <col min="6170" max="6399" width="9" style="246"/>
    <col min="6400" max="6400" width="4.625" style="246" customWidth="1"/>
    <col min="6401" max="6401" width="26.25" style="246" customWidth="1"/>
    <col min="6402" max="6402" width="13.625" style="246" customWidth="1"/>
    <col min="6403" max="6403" width="8.75" style="246" bestFit="1" customWidth="1"/>
    <col min="6404" max="6404" width="9.75" style="246" bestFit="1" customWidth="1"/>
    <col min="6405" max="6406" width="9.75" style="246" customWidth="1"/>
    <col min="6407" max="6407" width="18.875" style="246" customWidth="1"/>
    <col min="6408" max="6408" width="10.25" style="246" customWidth="1"/>
    <col min="6409" max="6409" width="18.875" style="246" customWidth="1"/>
    <col min="6410" max="6410" width="16.25" style="246" customWidth="1"/>
    <col min="6411" max="6411" width="17" style="246" customWidth="1"/>
    <col min="6412" max="6412" width="17.625" style="246" customWidth="1"/>
    <col min="6413" max="6413" width="19.875" style="246" customWidth="1"/>
    <col min="6414" max="6414" width="17" style="246" customWidth="1"/>
    <col min="6415" max="6415" width="16.375" style="246" customWidth="1"/>
    <col min="6416" max="6416" width="16.75" style="246" customWidth="1"/>
    <col min="6417" max="6417" width="17.25" style="246" customWidth="1"/>
    <col min="6418" max="6419" width="22.25" style="246" customWidth="1"/>
    <col min="6420" max="6420" width="36.625" style="246" customWidth="1"/>
    <col min="6421" max="6421" width="26.25" style="246" customWidth="1"/>
    <col min="6422" max="6422" width="19.875" style="246" customWidth="1"/>
    <col min="6423" max="6423" width="24" style="246" customWidth="1"/>
    <col min="6424" max="6424" width="22" style="246" customWidth="1"/>
    <col min="6425" max="6425" width="20" style="246" customWidth="1"/>
    <col min="6426" max="6655" width="9" style="246"/>
    <col min="6656" max="6656" width="4.625" style="246" customWidth="1"/>
    <col min="6657" max="6657" width="26.25" style="246" customWidth="1"/>
    <col min="6658" max="6658" width="13.625" style="246" customWidth="1"/>
    <col min="6659" max="6659" width="8.75" style="246" bestFit="1" customWidth="1"/>
    <col min="6660" max="6660" width="9.75" style="246" bestFit="1" customWidth="1"/>
    <col min="6661" max="6662" width="9.75" style="246" customWidth="1"/>
    <col min="6663" max="6663" width="18.875" style="246" customWidth="1"/>
    <col min="6664" max="6664" width="10.25" style="246" customWidth="1"/>
    <col min="6665" max="6665" width="18.875" style="246" customWidth="1"/>
    <col min="6666" max="6666" width="16.25" style="246" customWidth="1"/>
    <col min="6667" max="6667" width="17" style="246" customWidth="1"/>
    <col min="6668" max="6668" width="17.625" style="246" customWidth="1"/>
    <col min="6669" max="6669" width="19.875" style="246" customWidth="1"/>
    <col min="6670" max="6670" width="17" style="246" customWidth="1"/>
    <col min="6671" max="6671" width="16.375" style="246" customWidth="1"/>
    <col min="6672" max="6672" width="16.75" style="246" customWidth="1"/>
    <col min="6673" max="6673" width="17.25" style="246" customWidth="1"/>
    <col min="6674" max="6675" width="22.25" style="246" customWidth="1"/>
    <col min="6676" max="6676" width="36.625" style="246" customWidth="1"/>
    <col min="6677" max="6677" width="26.25" style="246" customWidth="1"/>
    <col min="6678" max="6678" width="19.875" style="246" customWidth="1"/>
    <col min="6679" max="6679" width="24" style="246" customWidth="1"/>
    <col min="6680" max="6680" width="22" style="246" customWidth="1"/>
    <col min="6681" max="6681" width="20" style="246" customWidth="1"/>
    <col min="6682" max="6911" width="9" style="246"/>
    <col min="6912" max="6912" width="4.625" style="246" customWidth="1"/>
    <col min="6913" max="6913" width="26.25" style="246" customWidth="1"/>
    <col min="6914" max="6914" width="13.625" style="246" customWidth="1"/>
    <col min="6915" max="6915" width="8.75" style="246" bestFit="1" customWidth="1"/>
    <col min="6916" max="6916" width="9.75" style="246" bestFit="1" customWidth="1"/>
    <col min="6917" max="6918" width="9.75" style="246" customWidth="1"/>
    <col min="6919" max="6919" width="18.875" style="246" customWidth="1"/>
    <col min="6920" max="6920" width="10.25" style="246" customWidth="1"/>
    <col min="6921" max="6921" width="18.875" style="246" customWidth="1"/>
    <col min="6922" max="6922" width="16.25" style="246" customWidth="1"/>
    <col min="6923" max="6923" width="17" style="246" customWidth="1"/>
    <col min="6924" max="6924" width="17.625" style="246" customWidth="1"/>
    <col min="6925" max="6925" width="19.875" style="246" customWidth="1"/>
    <col min="6926" max="6926" width="17" style="246" customWidth="1"/>
    <col min="6927" max="6927" width="16.375" style="246" customWidth="1"/>
    <col min="6928" max="6928" width="16.75" style="246" customWidth="1"/>
    <col min="6929" max="6929" width="17.25" style="246" customWidth="1"/>
    <col min="6930" max="6931" width="22.25" style="246" customWidth="1"/>
    <col min="6932" max="6932" width="36.625" style="246" customWidth="1"/>
    <col min="6933" max="6933" width="26.25" style="246" customWidth="1"/>
    <col min="6934" max="6934" width="19.875" style="246" customWidth="1"/>
    <col min="6935" max="6935" width="24" style="246" customWidth="1"/>
    <col min="6936" max="6936" width="22" style="246" customWidth="1"/>
    <col min="6937" max="6937" width="20" style="246" customWidth="1"/>
    <col min="6938" max="7167" width="9" style="246"/>
    <col min="7168" max="7168" width="4.625" style="246" customWidth="1"/>
    <col min="7169" max="7169" width="26.25" style="246" customWidth="1"/>
    <col min="7170" max="7170" width="13.625" style="246" customWidth="1"/>
    <col min="7171" max="7171" width="8.75" style="246" bestFit="1" customWidth="1"/>
    <col min="7172" max="7172" width="9.75" style="246" bestFit="1" customWidth="1"/>
    <col min="7173" max="7174" width="9.75" style="246" customWidth="1"/>
    <col min="7175" max="7175" width="18.875" style="246" customWidth="1"/>
    <col min="7176" max="7176" width="10.25" style="246" customWidth="1"/>
    <col min="7177" max="7177" width="18.875" style="246" customWidth="1"/>
    <col min="7178" max="7178" width="16.25" style="246" customWidth="1"/>
    <col min="7179" max="7179" width="17" style="246" customWidth="1"/>
    <col min="7180" max="7180" width="17.625" style="246" customWidth="1"/>
    <col min="7181" max="7181" width="19.875" style="246" customWidth="1"/>
    <col min="7182" max="7182" width="17" style="246" customWidth="1"/>
    <col min="7183" max="7183" width="16.375" style="246" customWidth="1"/>
    <col min="7184" max="7184" width="16.75" style="246" customWidth="1"/>
    <col min="7185" max="7185" width="17.25" style="246" customWidth="1"/>
    <col min="7186" max="7187" width="22.25" style="246" customWidth="1"/>
    <col min="7188" max="7188" width="36.625" style="246" customWidth="1"/>
    <col min="7189" max="7189" width="26.25" style="246" customWidth="1"/>
    <col min="7190" max="7190" width="19.875" style="246" customWidth="1"/>
    <col min="7191" max="7191" width="24" style="246" customWidth="1"/>
    <col min="7192" max="7192" width="22" style="246" customWidth="1"/>
    <col min="7193" max="7193" width="20" style="246" customWidth="1"/>
    <col min="7194" max="7423" width="9" style="246"/>
    <col min="7424" max="7424" width="4.625" style="246" customWidth="1"/>
    <col min="7425" max="7425" width="26.25" style="246" customWidth="1"/>
    <col min="7426" max="7426" width="13.625" style="246" customWidth="1"/>
    <col min="7427" max="7427" width="8.75" style="246" bestFit="1" customWidth="1"/>
    <col min="7428" max="7428" width="9.75" style="246" bestFit="1" customWidth="1"/>
    <col min="7429" max="7430" width="9.75" style="246" customWidth="1"/>
    <col min="7431" max="7431" width="18.875" style="246" customWidth="1"/>
    <col min="7432" max="7432" width="10.25" style="246" customWidth="1"/>
    <col min="7433" max="7433" width="18.875" style="246" customWidth="1"/>
    <col min="7434" max="7434" width="16.25" style="246" customWidth="1"/>
    <col min="7435" max="7435" width="17" style="246" customWidth="1"/>
    <col min="7436" max="7436" width="17.625" style="246" customWidth="1"/>
    <col min="7437" max="7437" width="19.875" style="246" customWidth="1"/>
    <col min="7438" max="7438" width="17" style="246" customWidth="1"/>
    <col min="7439" max="7439" width="16.375" style="246" customWidth="1"/>
    <col min="7440" max="7440" width="16.75" style="246" customWidth="1"/>
    <col min="7441" max="7441" width="17.25" style="246" customWidth="1"/>
    <col min="7442" max="7443" width="22.25" style="246" customWidth="1"/>
    <col min="7444" max="7444" width="36.625" style="246" customWidth="1"/>
    <col min="7445" max="7445" width="26.25" style="246" customWidth="1"/>
    <col min="7446" max="7446" width="19.875" style="246" customWidth="1"/>
    <col min="7447" max="7447" width="24" style="246" customWidth="1"/>
    <col min="7448" max="7448" width="22" style="246" customWidth="1"/>
    <col min="7449" max="7449" width="20" style="246" customWidth="1"/>
    <col min="7450" max="7679" width="9" style="246"/>
    <col min="7680" max="7680" width="4.625" style="246" customWidth="1"/>
    <col min="7681" max="7681" width="26.25" style="246" customWidth="1"/>
    <col min="7682" max="7682" width="13.625" style="246" customWidth="1"/>
    <col min="7683" max="7683" width="8.75" style="246" bestFit="1" customWidth="1"/>
    <col min="7684" max="7684" width="9.75" style="246" bestFit="1" customWidth="1"/>
    <col min="7685" max="7686" width="9.75" style="246" customWidth="1"/>
    <col min="7687" max="7687" width="18.875" style="246" customWidth="1"/>
    <col min="7688" max="7688" width="10.25" style="246" customWidth="1"/>
    <col min="7689" max="7689" width="18.875" style="246" customWidth="1"/>
    <col min="7690" max="7690" width="16.25" style="246" customWidth="1"/>
    <col min="7691" max="7691" width="17" style="246" customWidth="1"/>
    <col min="7692" max="7692" width="17.625" style="246" customWidth="1"/>
    <col min="7693" max="7693" width="19.875" style="246" customWidth="1"/>
    <col min="7694" max="7694" width="17" style="246" customWidth="1"/>
    <col min="7695" max="7695" width="16.375" style="246" customWidth="1"/>
    <col min="7696" max="7696" width="16.75" style="246" customWidth="1"/>
    <col min="7697" max="7697" width="17.25" style="246" customWidth="1"/>
    <col min="7698" max="7699" width="22.25" style="246" customWidth="1"/>
    <col min="7700" max="7700" width="36.625" style="246" customWidth="1"/>
    <col min="7701" max="7701" width="26.25" style="246" customWidth="1"/>
    <col min="7702" max="7702" width="19.875" style="246" customWidth="1"/>
    <col min="7703" max="7703" width="24" style="246" customWidth="1"/>
    <col min="7704" max="7704" width="22" style="246" customWidth="1"/>
    <col min="7705" max="7705" width="20" style="246" customWidth="1"/>
    <col min="7706" max="7935" width="9" style="246"/>
    <col min="7936" max="7936" width="4.625" style="246" customWidth="1"/>
    <col min="7937" max="7937" width="26.25" style="246" customWidth="1"/>
    <col min="7938" max="7938" width="13.625" style="246" customWidth="1"/>
    <col min="7939" max="7939" width="8.75" style="246" bestFit="1" customWidth="1"/>
    <col min="7940" max="7940" width="9.75" style="246" bestFit="1" customWidth="1"/>
    <col min="7941" max="7942" width="9.75" style="246" customWidth="1"/>
    <col min="7943" max="7943" width="18.875" style="246" customWidth="1"/>
    <col min="7944" max="7944" width="10.25" style="246" customWidth="1"/>
    <col min="7945" max="7945" width="18.875" style="246" customWidth="1"/>
    <col min="7946" max="7946" width="16.25" style="246" customWidth="1"/>
    <col min="7947" max="7947" width="17" style="246" customWidth="1"/>
    <col min="7948" max="7948" width="17.625" style="246" customWidth="1"/>
    <col min="7949" max="7949" width="19.875" style="246" customWidth="1"/>
    <col min="7950" max="7950" width="17" style="246" customWidth="1"/>
    <col min="7951" max="7951" width="16.375" style="246" customWidth="1"/>
    <col min="7952" max="7952" width="16.75" style="246" customWidth="1"/>
    <col min="7953" max="7953" width="17.25" style="246" customWidth="1"/>
    <col min="7954" max="7955" width="22.25" style="246" customWidth="1"/>
    <col min="7956" max="7956" width="36.625" style="246" customWidth="1"/>
    <col min="7957" max="7957" width="26.25" style="246" customWidth="1"/>
    <col min="7958" max="7958" width="19.875" style="246" customWidth="1"/>
    <col min="7959" max="7959" width="24" style="246" customWidth="1"/>
    <col min="7960" max="7960" width="22" style="246" customWidth="1"/>
    <col min="7961" max="7961" width="20" style="246" customWidth="1"/>
    <col min="7962" max="8191" width="9" style="246"/>
    <col min="8192" max="8192" width="4.625" style="246" customWidth="1"/>
    <col min="8193" max="8193" width="26.25" style="246" customWidth="1"/>
    <col min="8194" max="8194" width="13.625" style="246" customWidth="1"/>
    <col min="8195" max="8195" width="8.75" style="246" bestFit="1" customWidth="1"/>
    <col min="8196" max="8196" width="9.75" style="246" bestFit="1" customWidth="1"/>
    <col min="8197" max="8198" width="9.75" style="246" customWidth="1"/>
    <col min="8199" max="8199" width="18.875" style="246" customWidth="1"/>
    <col min="8200" max="8200" width="10.25" style="246" customWidth="1"/>
    <col min="8201" max="8201" width="18.875" style="246" customWidth="1"/>
    <col min="8202" max="8202" width="16.25" style="246" customWidth="1"/>
    <col min="8203" max="8203" width="17" style="246" customWidth="1"/>
    <col min="8204" max="8204" width="17.625" style="246" customWidth="1"/>
    <col min="8205" max="8205" width="19.875" style="246" customWidth="1"/>
    <col min="8206" max="8206" width="17" style="246" customWidth="1"/>
    <col min="8207" max="8207" width="16.375" style="246" customWidth="1"/>
    <col min="8208" max="8208" width="16.75" style="246" customWidth="1"/>
    <col min="8209" max="8209" width="17.25" style="246" customWidth="1"/>
    <col min="8210" max="8211" width="22.25" style="246" customWidth="1"/>
    <col min="8212" max="8212" width="36.625" style="246" customWidth="1"/>
    <col min="8213" max="8213" width="26.25" style="246" customWidth="1"/>
    <col min="8214" max="8214" width="19.875" style="246" customWidth="1"/>
    <col min="8215" max="8215" width="24" style="246" customWidth="1"/>
    <col min="8216" max="8216" width="22" style="246" customWidth="1"/>
    <col min="8217" max="8217" width="20" style="246" customWidth="1"/>
    <col min="8218" max="8447" width="9" style="246"/>
    <col min="8448" max="8448" width="4.625" style="246" customWidth="1"/>
    <col min="8449" max="8449" width="26.25" style="246" customWidth="1"/>
    <col min="8450" max="8450" width="13.625" style="246" customWidth="1"/>
    <col min="8451" max="8451" width="8.75" style="246" bestFit="1" customWidth="1"/>
    <col min="8452" max="8452" width="9.75" style="246" bestFit="1" customWidth="1"/>
    <col min="8453" max="8454" width="9.75" style="246" customWidth="1"/>
    <col min="8455" max="8455" width="18.875" style="246" customWidth="1"/>
    <col min="8456" max="8456" width="10.25" style="246" customWidth="1"/>
    <col min="8457" max="8457" width="18.875" style="246" customWidth="1"/>
    <col min="8458" max="8458" width="16.25" style="246" customWidth="1"/>
    <col min="8459" max="8459" width="17" style="246" customWidth="1"/>
    <col min="8460" max="8460" width="17.625" style="246" customWidth="1"/>
    <col min="8461" max="8461" width="19.875" style="246" customWidth="1"/>
    <col min="8462" max="8462" width="17" style="246" customWidth="1"/>
    <col min="8463" max="8463" width="16.375" style="246" customWidth="1"/>
    <col min="8464" max="8464" width="16.75" style="246" customWidth="1"/>
    <col min="8465" max="8465" width="17.25" style="246" customWidth="1"/>
    <col min="8466" max="8467" width="22.25" style="246" customWidth="1"/>
    <col min="8468" max="8468" width="36.625" style="246" customWidth="1"/>
    <col min="8469" max="8469" width="26.25" style="246" customWidth="1"/>
    <col min="8470" max="8470" width="19.875" style="246" customWidth="1"/>
    <col min="8471" max="8471" width="24" style="246" customWidth="1"/>
    <col min="8472" max="8472" width="22" style="246" customWidth="1"/>
    <col min="8473" max="8473" width="20" style="246" customWidth="1"/>
    <col min="8474" max="8703" width="9" style="246"/>
    <col min="8704" max="8704" width="4.625" style="246" customWidth="1"/>
    <col min="8705" max="8705" width="26.25" style="246" customWidth="1"/>
    <col min="8706" max="8706" width="13.625" style="246" customWidth="1"/>
    <col min="8707" max="8707" width="8.75" style="246" bestFit="1" customWidth="1"/>
    <col min="8708" max="8708" width="9.75" style="246" bestFit="1" customWidth="1"/>
    <col min="8709" max="8710" width="9.75" style="246" customWidth="1"/>
    <col min="8711" max="8711" width="18.875" style="246" customWidth="1"/>
    <col min="8712" max="8712" width="10.25" style="246" customWidth="1"/>
    <col min="8713" max="8713" width="18.875" style="246" customWidth="1"/>
    <col min="8714" max="8714" width="16.25" style="246" customWidth="1"/>
    <col min="8715" max="8715" width="17" style="246" customWidth="1"/>
    <col min="8716" max="8716" width="17.625" style="246" customWidth="1"/>
    <col min="8717" max="8717" width="19.875" style="246" customWidth="1"/>
    <col min="8718" max="8718" width="17" style="246" customWidth="1"/>
    <col min="8719" max="8719" width="16.375" style="246" customWidth="1"/>
    <col min="8720" max="8720" width="16.75" style="246" customWidth="1"/>
    <col min="8721" max="8721" width="17.25" style="246" customWidth="1"/>
    <col min="8722" max="8723" width="22.25" style="246" customWidth="1"/>
    <col min="8724" max="8724" width="36.625" style="246" customWidth="1"/>
    <col min="8725" max="8725" width="26.25" style="246" customWidth="1"/>
    <col min="8726" max="8726" width="19.875" style="246" customWidth="1"/>
    <col min="8727" max="8727" width="24" style="246" customWidth="1"/>
    <col min="8728" max="8728" width="22" style="246" customWidth="1"/>
    <col min="8729" max="8729" width="20" style="246" customWidth="1"/>
    <col min="8730" max="8959" width="9" style="246"/>
    <col min="8960" max="8960" width="4.625" style="246" customWidth="1"/>
    <col min="8961" max="8961" width="26.25" style="246" customWidth="1"/>
    <col min="8962" max="8962" width="13.625" style="246" customWidth="1"/>
    <col min="8963" max="8963" width="8.75" style="246" bestFit="1" customWidth="1"/>
    <col min="8964" max="8964" width="9.75" style="246" bestFit="1" customWidth="1"/>
    <col min="8965" max="8966" width="9.75" style="246" customWidth="1"/>
    <col min="8967" max="8967" width="18.875" style="246" customWidth="1"/>
    <col min="8968" max="8968" width="10.25" style="246" customWidth="1"/>
    <col min="8969" max="8969" width="18.875" style="246" customWidth="1"/>
    <col min="8970" max="8970" width="16.25" style="246" customWidth="1"/>
    <col min="8971" max="8971" width="17" style="246" customWidth="1"/>
    <col min="8972" max="8972" width="17.625" style="246" customWidth="1"/>
    <col min="8973" max="8973" width="19.875" style="246" customWidth="1"/>
    <col min="8974" max="8974" width="17" style="246" customWidth="1"/>
    <col min="8975" max="8975" width="16.375" style="246" customWidth="1"/>
    <col min="8976" max="8976" width="16.75" style="246" customWidth="1"/>
    <col min="8977" max="8977" width="17.25" style="246" customWidth="1"/>
    <col min="8978" max="8979" width="22.25" style="246" customWidth="1"/>
    <col min="8980" max="8980" width="36.625" style="246" customWidth="1"/>
    <col min="8981" max="8981" width="26.25" style="246" customWidth="1"/>
    <col min="8982" max="8982" width="19.875" style="246" customWidth="1"/>
    <col min="8983" max="8983" width="24" style="246" customWidth="1"/>
    <col min="8984" max="8984" width="22" style="246" customWidth="1"/>
    <col min="8985" max="8985" width="20" style="246" customWidth="1"/>
    <col min="8986" max="9215" width="9" style="246"/>
    <col min="9216" max="9216" width="4.625" style="246" customWidth="1"/>
    <col min="9217" max="9217" width="26.25" style="246" customWidth="1"/>
    <col min="9218" max="9218" width="13.625" style="246" customWidth="1"/>
    <col min="9219" max="9219" width="8.75" style="246" bestFit="1" customWidth="1"/>
    <col min="9220" max="9220" width="9.75" style="246" bestFit="1" customWidth="1"/>
    <col min="9221" max="9222" width="9.75" style="246" customWidth="1"/>
    <col min="9223" max="9223" width="18.875" style="246" customWidth="1"/>
    <col min="9224" max="9224" width="10.25" style="246" customWidth="1"/>
    <col min="9225" max="9225" width="18.875" style="246" customWidth="1"/>
    <col min="9226" max="9226" width="16.25" style="246" customWidth="1"/>
    <col min="9227" max="9227" width="17" style="246" customWidth="1"/>
    <col min="9228" max="9228" width="17.625" style="246" customWidth="1"/>
    <col min="9229" max="9229" width="19.875" style="246" customWidth="1"/>
    <col min="9230" max="9230" width="17" style="246" customWidth="1"/>
    <col min="9231" max="9231" width="16.375" style="246" customWidth="1"/>
    <col min="9232" max="9232" width="16.75" style="246" customWidth="1"/>
    <col min="9233" max="9233" width="17.25" style="246" customWidth="1"/>
    <col min="9234" max="9235" width="22.25" style="246" customWidth="1"/>
    <col min="9236" max="9236" width="36.625" style="246" customWidth="1"/>
    <col min="9237" max="9237" width="26.25" style="246" customWidth="1"/>
    <col min="9238" max="9238" width="19.875" style="246" customWidth="1"/>
    <col min="9239" max="9239" width="24" style="246" customWidth="1"/>
    <col min="9240" max="9240" width="22" style="246" customWidth="1"/>
    <col min="9241" max="9241" width="20" style="246" customWidth="1"/>
    <col min="9242" max="9471" width="9" style="246"/>
    <col min="9472" max="9472" width="4.625" style="246" customWidth="1"/>
    <col min="9473" max="9473" width="26.25" style="246" customWidth="1"/>
    <col min="9474" max="9474" width="13.625" style="246" customWidth="1"/>
    <col min="9475" max="9475" width="8.75" style="246" bestFit="1" customWidth="1"/>
    <col min="9476" max="9476" width="9.75" style="246" bestFit="1" customWidth="1"/>
    <col min="9477" max="9478" width="9.75" style="246" customWidth="1"/>
    <col min="9479" max="9479" width="18.875" style="246" customWidth="1"/>
    <col min="9480" max="9480" width="10.25" style="246" customWidth="1"/>
    <col min="9481" max="9481" width="18.875" style="246" customWidth="1"/>
    <col min="9482" max="9482" width="16.25" style="246" customWidth="1"/>
    <col min="9483" max="9483" width="17" style="246" customWidth="1"/>
    <col min="9484" max="9484" width="17.625" style="246" customWidth="1"/>
    <col min="9485" max="9485" width="19.875" style="246" customWidth="1"/>
    <col min="9486" max="9486" width="17" style="246" customWidth="1"/>
    <col min="9487" max="9487" width="16.375" style="246" customWidth="1"/>
    <col min="9488" max="9488" width="16.75" style="246" customWidth="1"/>
    <col min="9489" max="9489" width="17.25" style="246" customWidth="1"/>
    <col min="9490" max="9491" width="22.25" style="246" customWidth="1"/>
    <col min="9492" max="9492" width="36.625" style="246" customWidth="1"/>
    <col min="9493" max="9493" width="26.25" style="246" customWidth="1"/>
    <col min="9494" max="9494" width="19.875" style="246" customWidth="1"/>
    <col min="9495" max="9495" width="24" style="246" customWidth="1"/>
    <col min="9496" max="9496" width="22" style="246" customWidth="1"/>
    <col min="9497" max="9497" width="20" style="246" customWidth="1"/>
    <col min="9498" max="9727" width="9" style="246"/>
    <col min="9728" max="9728" width="4.625" style="246" customWidth="1"/>
    <col min="9729" max="9729" width="26.25" style="246" customWidth="1"/>
    <col min="9730" max="9730" width="13.625" style="246" customWidth="1"/>
    <col min="9731" max="9731" width="8.75" style="246" bestFit="1" customWidth="1"/>
    <col min="9732" max="9732" width="9.75" style="246" bestFit="1" customWidth="1"/>
    <col min="9733" max="9734" width="9.75" style="246" customWidth="1"/>
    <col min="9735" max="9735" width="18.875" style="246" customWidth="1"/>
    <col min="9736" max="9736" width="10.25" style="246" customWidth="1"/>
    <col min="9737" max="9737" width="18.875" style="246" customWidth="1"/>
    <col min="9738" max="9738" width="16.25" style="246" customWidth="1"/>
    <col min="9739" max="9739" width="17" style="246" customWidth="1"/>
    <col min="9740" max="9740" width="17.625" style="246" customWidth="1"/>
    <col min="9741" max="9741" width="19.875" style="246" customWidth="1"/>
    <col min="9742" max="9742" width="17" style="246" customWidth="1"/>
    <col min="9743" max="9743" width="16.375" style="246" customWidth="1"/>
    <col min="9744" max="9744" width="16.75" style="246" customWidth="1"/>
    <col min="9745" max="9745" width="17.25" style="246" customWidth="1"/>
    <col min="9746" max="9747" width="22.25" style="246" customWidth="1"/>
    <col min="9748" max="9748" width="36.625" style="246" customWidth="1"/>
    <col min="9749" max="9749" width="26.25" style="246" customWidth="1"/>
    <col min="9750" max="9750" width="19.875" style="246" customWidth="1"/>
    <col min="9751" max="9751" width="24" style="246" customWidth="1"/>
    <col min="9752" max="9752" width="22" style="246" customWidth="1"/>
    <col min="9753" max="9753" width="20" style="246" customWidth="1"/>
    <col min="9754" max="9983" width="9" style="246"/>
    <col min="9984" max="9984" width="4.625" style="246" customWidth="1"/>
    <col min="9985" max="9985" width="26.25" style="246" customWidth="1"/>
    <col min="9986" max="9986" width="13.625" style="246" customWidth="1"/>
    <col min="9987" max="9987" width="8.75" style="246" bestFit="1" customWidth="1"/>
    <col min="9988" max="9988" width="9.75" style="246" bestFit="1" customWidth="1"/>
    <col min="9989" max="9990" width="9.75" style="246" customWidth="1"/>
    <col min="9991" max="9991" width="18.875" style="246" customWidth="1"/>
    <col min="9992" max="9992" width="10.25" style="246" customWidth="1"/>
    <col min="9993" max="9993" width="18.875" style="246" customWidth="1"/>
    <col min="9994" max="9994" width="16.25" style="246" customWidth="1"/>
    <col min="9995" max="9995" width="17" style="246" customWidth="1"/>
    <col min="9996" max="9996" width="17.625" style="246" customWidth="1"/>
    <col min="9997" max="9997" width="19.875" style="246" customWidth="1"/>
    <col min="9998" max="9998" width="17" style="246" customWidth="1"/>
    <col min="9999" max="9999" width="16.375" style="246" customWidth="1"/>
    <col min="10000" max="10000" width="16.75" style="246" customWidth="1"/>
    <col min="10001" max="10001" width="17.25" style="246" customWidth="1"/>
    <col min="10002" max="10003" width="22.25" style="246" customWidth="1"/>
    <col min="10004" max="10004" width="36.625" style="246" customWidth="1"/>
    <col min="10005" max="10005" width="26.25" style="246" customWidth="1"/>
    <col min="10006" max="10006" width="19.875" style="246" customWidth="1"/>
    <col min="10007" max="10007" width="24" style="246" customWidth="1"/>
    <col min="10008" max="10008" width="22" style="246" customWidth="1"/>
    <col min="10009" max="10009" width="20" style="246" customWidth="1"/>
    <col min="10010" max="10239" width="9" style="246"/>
    <col min="10240" max="10240" width="4.625" style="246" customWidth="1"/>
    <col min="10241" max="10241" width="26.25" style="246" customWidth="1"/>
    <col min="10242" max="10242" width="13.625" style="246" customWidth="1"/>
    <col min="10243" max="10243" width="8.75" style="246" bestFit="1" customWidth="1"/>
    <col min="10244" max="10244" width="9.75" style="246" bestFit="1" customWidth="1"/>
    <col min="10245" max="10246" width="9.75" style="246" customWidth="1"/>
    <col min="10247" max="10247" width="18.875" style="246" customWidth="1"/>
    <col min="10248" max="10248" width="10.25" style="246" customWidth="1"/>
    <col min="10249" max="10249" width="18.875" style="246" customWidth="1"/>
    <col min="10250" max="10250" width="16.25" style="246" customWidth="1"/>
    <col min="10251" max="10251" width="17" style="246" customWidth="1"/>
    <col min="10252" max="10252" width="17.625" style="246" customWidth="1"/>
    <col min="10253" max="10253" width="19.875" style="246" customWidth="1"/>
    <col min="10254" max="10254" width="17" style="246" customWidth="1"/>
    <col min="10255" max="10255" width="16.375" style="246" customWidth="1"/>
    <col min="10256" max="10256" width="16.75" style="246" customWidth="1"/>
    <col min="10257" max="10257" width="17.25" style="246" customWidth="1"/>
    <col min="10258" max="10259" width="22.25" style="246" customWidth="1"/>
    <col min="10260" max="10260" width="36.625" style="246" customWidth="1"/>
    <col min="10261" max="10261" width="26.25" style="246" customWidth="1"/>
    <col min="10262" max="10262" width="19.875" style="246" customWidth="1"/>
    <col min="10263" max="10263" width="24" style="246" customWidth="1"/>
    <col min="10264" max="10264" width="22" style="246" customWidth="1"/>
    <col min="10265" max="10265" width="20" style="246" customWidth="1"/>
    <col min="10266" max="10495" width="9" style="246"/>
    <col min="10496" max="10496" width="4.625" style="246" customWidth="1"/>
    <col min="10497" max="10497" width="26.25" style="246" customWidth="1"/>
    <col min="10498" max="10498" width="13.625" style="246" customWidth="1"/>
    <col min="10499" max="10499" width="8.75" style="246" bestFit="1" customWidth="1"/>
    <col min="10500" max="10500" width="9.75" style="246" bestFit="1" customWidth="1"/>
    <col min="10501" max="10502" width="9.75" style="246" customWidth="1"/>
    <col min="10503" max="10503" width="18.875" style="246" customWidth="1"/>
    <col min="10504" max="10504" width="10.25" style="246" customWidth="1"/>
    <col min="10505" max="10505" width="18.875" style="246" customWidth="1"/>
    <col min="10506" max="10506" width="16.25" style="246" customWidth="1"/>
    <col min="10507" max="10507" width="17" style="246" customWidth="1"/>
    <col min="10508" max="10508" width="17.625" style="246" customWidth="1"/>
    <col min="10509" max="10509" width="19.875" style="246" customWidth="1"/>
    <col min="10510" max="10510" width="17" style="246" customWidth="1"/>
    <col min="10511" max="10511" width="16.375" style="246" customWidth="1"/>
    <col min="10512" max="10512" width="16.75" style="246" customWidth="1"/>
    <col min="10513" max="10513" width="17.25" style="246" customWidth="1"/>
    <col min="10514" max="10515" width="22.25" style="246" customWidth="1"/>
    <col min="10516" max="10516" width="36.625" style="246" customWidth="1"/>
    <col min="10517" max="10517" width="26.25" style="246" customWidth="1"/>
    <col min="10518" max="10518" width="19.875" style="246" customWidth="1"/>
    <col min="10519" max="10519" width="24" style="246" customWidth="1"/>
    <col min="10520" max="10520" width="22" style="246" customWidth="1"/>
    <col min="10521" max="10521" width="20" style="246" customWidth="1"/>
    <col min="10522" max="10751" width="9" style="246"/>
    <col min="10752" max="10752" width="4.625" style="246" customWidth="1"/>
    <col min="10753" max="10753" width="26.25" style="246" customWidth="1"/>
    <col min="10754" max="10754" width="13.625" style="246" customWidth="1"/>
    <col min="10755" max="10755" width="8.75" style="246" bestFit="1" customWidth="1"/>
    <col min="10756" max="10756" width="9.75" style="246" bestFit="1" customWidth="1"/>
    <col min="10757" max="10758" width="9.75" style="246" customWidth="1"/>
    <col min="10759" max="10759" width="18.875" style="246" customWidth="1"/>
    <col min="10760" max="10760" width="10.25" style="246" customWidth="1"/>
    <col min="10761" max="10761" width="18.875" style="246" customWidth="1"/>
    <col min="10762" max="10762" width="16.25" style="246" customWidth="1"/>
    <col min="10763" max="10763" width="17" style="246" customWidth="1"/>
    <col min="10764" max="10764" width="17.625" style="246" customWidth="1"/>
    <col min="10765" max="10765" width="19.875" style="246" customWidth="1"/>
    <col min="10766" max="10766" width="17" style="246" customWidth="1"/>
    <col min="10767" max="10767" width="16.375" style="246" customWidth="1"/>
    <col min="10768" max="10768" width="16.75" style="246" customWidth="1"/>
    <col min="10769" max="10769" width="17.25" style="246" customWidth="1"/>
    <col min="10770" max="10771" width="22.25" style="246" customWidth="1"/>
    <col min="10772" max="10772" width="36.625" style="246" customWidth="1"/>
    <col min="10773" max="10773" width="26.25" style="246" customWidth="1"/>
    <col min="10774" max="10774" width="19.875" style="246" customWidth="1"/>
    <col min="10775" max="10775" width="24" style="246" customWidth="1"/>
    <col min="10776" max="10776" width="22" style="246" customWidth="1"/>
    <col min="10777" max="10777" width="20" style="246" customWidth="1"/>
    <col min="10778" max="11007" width="9" style="246"/>
    <col min="11008" max="11008" width="4.625" style="246" customWidth="1"/>
    <col min="11009" max="11009" width="26.25" style="246" customWidth="1"/>
    <col min="11010" max="11010" width="13.625" style="246" customWidth="1"/>
    <col min="11011" max="11011" width="8.75" style="246" bestFit="1" customWidth="1"/>
    <col min="11012" max="11012" width="9.75" style="246" bestFit="1" customWidth="1"/>
    <col min="11013" max="11014" width="9.75" style="246" customWidth="1"/>
    <col min="11015" max="11015" width="18.875" style="246" customWidth="1"/>
    <col min="11016" max="11016" width="10.25" style="246" customWidth="1"/>
    <col min="11017" max="11017" width="18.875" style="246" customWidth="1"/>
    <col min="11018" max="11018" width="16.25" style="246" customWidth="1"/>
    <col min="11019" max="11019" width="17" style="246" customWidth="1"/>
    <col min="11020" max="11020" width="17.625" style="246" customWidth="1"/>
    <col min="11021" max="11021" width="19.875" style="246" customWidth="1"/>
    <col min="11022" max="11022" width="17" style="246" customWidth="1"/>
    <col min="11023" max="11023" width="16.375" style="246" customWidth="1"/>
    <col min="11024" max="11024" width="16.75" style="246" customWidth="1"/>
    <col min="11025" max="11025" width="17.25" style="246" customWidth="1"/>
    <col min="11026" max="11027" width="22.25" style="246" customWidth="1"/>
    <col min="11028" max="11028" width="36.625" style="246" customWidth="1"/>
    <col min="11029" max="11029" width="26.25" style="246" customWidth="1"/>
    <col min="11030" max="11030" width="19.875" style="246" customWidth="1"/>
    <col min="11031" max="11031" width="24" style="246" customWidth="1"/>
    <col min="11032" max="11032" width="22" style="246" customWidth="1"/>
    <col min="11033" max="11033" width="20" style="246" customWidth="1"/>
    <col min="11034" max="11263" width="9" style="246"/>
    <col min="11264" max="11264" width="4.625" style="246" customWidth="1"/>
    <col min="11265" max="11265" width="26.25" style="246" customWidth="1"/>
    <col min="11266" max="11266" width="13.625" style="246" customWidth="1"/>
    <col min="11267" max="11267" width="8.75" style="246" bestFit="1" customWidth="1"/>
    <col min="11268" max="11268" width="9.75" style="246" bestFit="1" customWidth="1"/>
    <col min="11269" max="11270" width="9.75" style="246" customWidth="1"/>
    <col min="11271" max="11271" width="18.875" style="246" customWidth="1"/>
    <col min="11272" max="11272" width="10.25" style="246" customWidth="1"/>
    <col min="11273" max="11273" width="18.875" style="246" customWidth="1"/>
    <col min="11274" max="11274" width="16.25" style="246" customWidth="1"/>
    <col min="11275" max="11275" width="17" style="246" customWidth="1"/>
    <col min="11276" max="11276" width="17.625" style="246" customWidth="1"/>
    <col min="11277" max="11277" width="19.875" style="246" customWidth="1"/>
    <col min="11278" max="11278" width="17" style="246" customWidth="1"/>
    <col min="11279" max="11279" width="16.375" style="246" customWidth="1"/>
    <col min="11280" max="11280" width="16.75" style="246" customWidth="1"/>
    <col min="11281" max="11281" width="17.25" style="246" customWidth="1"/>
    <col min="11282" max="11283" width="22.25" style="246" customWidth="1"/>
    <col min="11284" max="11284" width="36.625" style="246" customWidth="1"/>
    <col min="11285" max="11285" width="26.25" style="246" customWidth="1"/>
    <col min="11286" max="11286" width="19.875" style="246" customWidth="1"/>
    <col min="11287" max="11287" width="24" style="246" customWidth="1"/>
    <col min="11288" max="11288" width="22" style="246" customWidth="1"/>
    <col min="11289" max="11289" width="20" style="246" customWidth="1"/>
    <col min="11290" max="11519" width="9" style="246"/>
    <col min="11520" max="11520" width="4.625" style="246" customWidth="1"/>
    <col min="11521" max="11521" width="26.25" style="246" customWidth="1"/>
    <col min="11522" max="11522" width="13.625" style="246" customWidth="1"/>
    <col min="11523" max="11523" width="8.75" style="246" bestFit="1" customWidth="1"/>
    <col min="11524" max="11524" width="9.75" style="246" bestFit="1" customWidth="1"/>
    <col min="11525" max="11526" width="9.75" style="246" customWidth="1"/>
    <col min="11527" max="11527" width="18.875" style="246" customWidth="1"/>
    <col min="11528" max="11528" width="10.25" style="246" customWidth="1"/>
    <col min="11529" max="11529" width="18.875" style="246" customWidth="1"/>
    <col min="11530" max="11530" width="16.25" style="246" customWidth="1"/>
    <col min="11531" max="11531" width="17" style="246" customWidth="1"/>
    <col min="11532" max="11532" width="17.625" style="246" customWidth="1"/>
    <col min="11533" max="11533" width="19.875" style="246" customWidth="1"/>
    <col min="11534" max="11534" width="17" style="246" customWidth="1"/>
    <col min="11535" max="11535" width="16.375" style="246" customWidth="1"/>
    <col min="11536" max="11536" width="16.75" style="246" customWidth="1"/>
    <col min="11537" max="11537" width="17.25" style="246" customWidth="1"/>
    <col min="11538" max="11539" width="22.25" style="246" customWidth="1"/>
    <col min="11540" max="11540" width="36.625" style="246" customWidth="1"/>
    <col min="11541" max="11541" width="26.25" style="246" customWidth="1"/>
    <col min="11542" max="11542" width="19.875" style="246" customWidth="1"/>
    <col min="11543" max="11543" width="24" style="246" customWidth="1"/>
    <col min="11544" max="11544" width="22" style="246" customWidth="1"/>
    <col min="11545" max="11545" width="20" style="246" customWidth="1"/>
    <col min="11546" max="11775" width="9" style="246"/>
    <col min="11776" max="11776" width="4.625" style="246" customWidth="1"/>
    <col min="11777" max="11777" width="26.25" style="246" customWidth="1"/>
    <col min="11778" max="11778" width="13.625" style="246" customWidth="1"/>
    <col min="11779" max="11779" width="8.75" style="246" bestFit="1" customWidth="1"/>
    <col min="11780" max="11780" width="9.75" style="246" bestFit="1" customWidth="1"/>
    <col min="11781" max="11782" width="9.75" style="246" customWidth="1"/>
    <col min="11783" max="11783" width="18.875" style="246" customWidth="1"/>
    <col min="11784" max="11784" width="10.25" style="246" customWidth="1"/>
    <col min="11785" max="11785" width="18.875" style="246" customWidth="1"/>
    <col min="11786" max="11786" width="16.25" style="246" customWidth="1"/>
    <col min="11787" max="11787" width="17" style="246" customWidth="1"/>
    <col min="11788" max="11788" width="17.625" style="246" customWidth="1"/>
    <col min="11789" max="11789" width="19.875" style="246" customWidth="1"/>
    <col min="11790" max="11790" width="17" style="246" customWidth="1"/>
    <col min="11791" max="11791" width="16.375" style="246" customWidth="1"/>
    <col min="11792" max="11792" width="16.75" style="246" customWidth="1"/>
    <col min="11793" max="11793" width="17.25" style="246" customWidth="1"/>
    <col min="11794" max="11795" width="22.25" style="246" customWidth="1"/>
    <col min="11796" max="11796" width="36.625" style="246" customWidth="1"/>
    <col min="11797" max="11797" width="26.25" style="246" customWidth="1"/>
    <col min="11798" max="11798" width="19.875" style="246" customWidth="1"/>
    <col min="11799" max="11799" width="24" style="246" customWidth="1"/>
    <col min="11800" max="11800" width="22" style="246" customWidth="1"/>
    <col min="11801" max="11801" width="20" style="246" customWidth="1"/>
    <col min="11802" max="12031" width="9" style="246"/>
    <col min="12032" max="12032" width="4.625" style="246" customWidth="1"/>
    <col min="12033" max="12033" width="26.25" style="246" customWidth="1"/>
    <col min="12034" max="12034" width="13.625" style="246" customWidth="1"/>
    <col min="12035" max="12035" width="8.75" style="246" bestFit="1" customWidth="1"/>
    <col min="12036" max="12036" width="9.75" style="246" bestFit="1" customWidth="1"/>
    <col min="12037" max="12038" width="9.75" style="246" customWidth="1"/>
    <col min="12039" max="12039" width="18.875" style="246" customWidth="1"/>
    <col min="12040" max="12040" width="10.25" style="246" customWidth="1"/>
    <col min="12041" max="12041" width="18.875" style="246" customWidth="1"/>
    <col min="12042" max="12042" width="16.25" style="246" customWidth="1"/>
    <col min="12043" max="12043" width="17" style="246" customWidth="1"/>
    <col min="12044" max="12044" width="17.625" style="246" customWidth="1"/>
    <col min="12045" max="12045" width="19.875" style="246" customWidth="1"/>
    <col min="12046" max="12046" width="17" style="246" customWidth="1"/>
    <col min="12047" max="12047" width="16.375" style="246" customWidth="1"/>
    <col min="12048" max="12048" width="16.75" style="246" customWidth="1"/>
    <col min="12049" max="12049" width="17.25" style="246" customWidth="1"/>
    <col min="12050" max="12051" width="22.25" style="246" customWidth="1"/>
    <col min="12052" max="12052" width="36.625" style="246" customWidth="1"/>
    <col min="12053" max="12053" width="26.25" style="246" customWidth="1"/>
    <col min="12054" max="12054" width="19.875" style="246" customWidth="1"/>
    <col min="12055" max="12055" width="24" style="246" customWidth="1"/>
    <col min="12056" max="12056" width="22" style="246" customWidth="1"/>
    <col min="12057" max="12057" width="20" style="246" customWidth="1"/>
    <col min="12058" max="12287" width="9" style="246"/>
    <col min="12288" max="12288" width="4.625" style="246" customWidth="1"/>
    <col min="12289" max="12289" width="26.25" style="246" customWidth="1"/>
    <col min="12290" max="12290" width="13.625" style="246" customWidth="1"/>
    <col min="12291" max="12291" width="8.75" style="246" bestFit="1" customWidth="1"/>
    <col min="12292" max="12292" width="9.75" style="246" bestFit="1" customWidth="1"/>
    <col min="12293" max="12294" width="9.75" style="246" customWidth="1"/>
    <col min="12295" max="12295" width="18.875" style="246" customWidth="1"/>
    <col min="12296" max="12296" width="10.25" style="246" customWidth="1"/>
    <col min="12297" max="12297" width="18.875" style="246" customWidth="1"/>
    <col min="12298" max="12298" width="16.25" style="246" customWidth="1"/>
    <col min="12299" max="12299" width="17" style="246" customWidth="1"/>
    <col min="12300" max="12300" width="17.625" style="246" customWidth="1"/>
    <col min="12301" max="12301" width="19.875" style="246" customWidth="1"/>
    <col min="12302" max="12302" width="17" style="246" customWidth="1"/>
    <col min="12303" max="12303" width="16.375" style="246" customWidth="1"/>
    <col min="12304" max="12304" width="16.75" style="246" customWidth="1"/>
    <col min="12305" max="12305" width="17.25" style="246" customWidth="1"/>
    <col min="12306" max="12307" width="22.25" style="246" customWidth="1"/>
    <col min="12308" max="12308" width="36.625" style="246" customWidth="1"/>
    <col min="12309" max="12309" width="26.25" style="246" customWidth="1"/>
    <col min="12310" max="12310" width="19.875" style="246" customWidth="1"/>
    <col min="12311" max="12311" width="24" style="246" customWidth="1"/>
    <col min="12312" max="12312" width="22" style="246" customWidth="1"/>
    <col min="12313" max="12313" width="20" style="246" customWidth="1"/>
    <col min="12314" max="12543" width="9" style="246"/>
    <col min="12544" max="12544" width="4.625" style="246" customWidth="1"/>
    <col min="12545" max="12545" width="26.25" style="246" customWidth="1"/>
    <col min="12546" max="12546" width="13.625" style="246" customWidth="1"/>
    <col min="12547" max="12547" width="8.75" style="246" bestFit="1" customWidth="1"/>
    <col min="12548" max="12548" width="9.75" style="246" bestFit="1" customWidth="1"/>
    <col min="12549" max="12550" width="9.75" style="246" customWidth="1"/>
    <col min="12551" max="12551" width="18.875" style="246" customWidth="1"/>
    <col min="12552" max="12552" width="10.25" style="246" customWidth="1"/>
    <col min="12553" max="12553" width="18.875" style="246" customWidth="1"/>
    <col min="12554" max="12554" width="16.25" style="246" customWidth="1"/>
    <col min="12555" max="12555" width="17" style="246" customWidth="1"/>
    <col min="12556" max="12556" width="17.625" style="246" customWidth="1"/>
    <col min="12557" max="12557" width="19.875" style="246" customWidth="1"/>
    <col min="12558" max="12558" width="17" style="246" customWidth="1"/>
    <col min="12559" max="12559" width="16.375" style="246" customWidth="1"/>
    <col min="12560" max="12560" width="16.75" style="246" customWidth="1"/>
    <col min="12561" max="12561" width="17.25" style="246" customWidth="1"/>
    <col min="12562" max="12563" width="22.25" style="246" customWidth="1"/>
    <col min="12564" max="12564" width="36.625" style="246" customWidth="1"/>
    <col min="12565" max="12565" width="26.25" style="246" customWidth="1"/>
    <col min="12566" max="12566" width="19.875" style="246" customWidth="1"/>
    <col min="12567" max="12567" width="24" style="246" customWidth="1"/>
    <col min="12568" max="12568" width="22" style="246" customWidth="1"/>
    <col min="12569" max="12569" width="20" style="246" customWidth="1"/>
    <col min="12570" max="12799" width="9" style="246"/>
    <col min="12800" max="12800" width="4.625" style="246" customWidth="1"/>
    <col min="12801" max="12801" width="26.25" style="246" customWidth="1"/>
    <col min="12802" max="12802" width="13.625" style="246" customWidth="1"/>
    <col min="12803" max="12803" width="8.75" style="246" bestFit="1" customWidth="1"/>
    <col min="12804" max="12804" width="9.75" style="246" bestFit="1" customWidth="1"/>
    <col min="12805" max="12806" width="9.75" style="246" customWidth="1"/>
    <col min="12807" max="12807" width="18.875" style="246" customWidth="1"/>
    <col min="12808" max="12808" width="10.25" style="246" customWidth="1"/>
    <col min="12809" max="12809" width="18.875" style="246" customWidth="1"/>
    <col min="12810" max="12810" width="16.25" style="246" customWidth="1"/>
    <col min="12811" max="12811" width="17" style="246" customWidth="1"/>
    <col min="12812" max="12812" width="17.625" style="246" customWidth="1"/>
    <col min="12813" max="12813" width="19.875" style="246" customWidth="1"/>
    <col min="12814" max="12814" width="17" style="246" customWidth="1"/>
    <col min="12815" max="12815" width="16.375" style="246" customWidth="1"/>
    <col min="12816" max="12816" width="16.75" style="246" customWidth="1"/>
    <col min="12817" max="12817" width="17.25" style="246" customWidth="1"/>
    <col min="12818" max="12819" width="22.25" style="246" customWidth="1"/>
    <col min="12820" max="12820" width="36.625" style="246" customWidth="1"/>
    <col min="12821" max="12821" width="26.25" style="246" customWidth="1"/>
    <col min="12822" max="12822" width="19.875" style="246" customWidth="1"/>
    <col min="12823" max="12823" width="24" style="246" customWidth="1"/>
    <col min="12824" max="12824" width="22" style="246" customWidth="1"/>
    <col min="12825" max="12825" width="20" style="246" customWidth="1"/>
    <col min="12826" max="13055" width="9" style="246"/>
    <col min="13056" max="13056" width="4.625" style="246" customWidth="1"/>
    <col min="13057" max="13057" width="26.25" style="246" customWidth="1"/>
    <col min="13058" max="13058" width="13.625" style="246" customWidth="1"/>
    <col min="13059" max="13059" width="8.75" style="246" bestFit="1" customWidth="1"/>
    <col min="13060" max="13060" width="9.75" style="246" bestFit="1" customWidth="1"/>
    <col min="13061" max="13062" width="9.75" style="246" customWidth="1"/>
    <col min="13063" max="13063" width="18.875" style="246" customWidth="1"/>
    <col min="13064" max="13064" width="10.25" style="246" customWidth="1"/>
    <col min="13065" max="13065" width="18.875" style="246" customWidth="1"/>
    <col min="13066" max="13066" width="16.25" style="246" customWidth="1"/>
    <col min="13067" max="13067" width="17" style="246" customWidth="1"/>
    <col min="13068" max="13068" width="17.625" style="246" customWidth="1"/>
    <col min="13069" max="13069" width="19.875" style="246" customWidth="1"/>
    <col min="13070" max="13070" width="17" style="246" customWidth="1"/>
    <col min="13071" max="13071" width="16.375" style="246" customWidth="1"/>
    <col min="13072" max="13072" width="16.75" style="246" customWidth="1"/>
    <col min="13073" max="13073" width="17.25" style="246" customWidth="1"/>
    <col min="13074" max="13075" width="22.25" style="246" customWidth="1"/>
    <col min="13076" max="13076" width="36.625" style="246" customWidth="1"/>
    <col min="13077" max="13077" width="26.25" style="246" customWidth="1"/>
    <col min="13078" max="13078" width="19.875" style="246" customWidth="1"/>
    <col min="13079" max="13079" width="24" style="246" customWidth="1"/>
    <col min="13080" max="13080" width="22" style="246" customWidth="1"/>
    <col min="13081" max="13081" width="20" style="246" customWidth="1"/>
    <col min="13082" max="13311" width="9" style="246"/>
    <col min="13312" max="13312" width="4.625" style="246" customWidth="1"/>
    <col min="13313" max="13313" width="26.25" style="246" customWidth="1"/>
    <col min="13314" max="13314" width="13.625" style="246" customWidth="1"/>
    <col min="13315" max="13315" width="8.75" style="246" bestFit="1" customWidth="1"/>
    <col min="13316" max="13316" width="9.75" style="246" bestFit="1" customWidth="1"/>
    <col min="13317" max="13318" width="9.75" style="246" customWidth="1"/>
    <col min="13319" max="13319" width="18.875" style="246" customWidth="1"/>
    <col min="13320" max="13320" width="10.25" style="246" customWidth="1"/>
    <col min="13321" max="13321" width="18.875" style="246" customWidth="1"/>
    <col min="13322" max="13322" width="16.25" style="246" customWidth="1"/>
    <col min="13323" max="13323" width="17" style="246" customWidth="1"/>
    <col min="13324" max="13324" width="17.625" style="246" customWidth="1"/>
    <col min="13325" max="13325" width="19.875" style="246" customWidth="1"/>
    <col min="13326" max="13326" width="17" style="246" customWidth="1"/>
    <col min="13327" max="13327" width="16.375" style="246" customWidth="1"/>
    <col min="13328" max="13328" width="16.75" style="246" customWidth="1"/>
    <col min="13329" max="13329" width="17.25" style="246" customWidth="1"/>
    <col min="13330" max="13331" width="22.25" style="246" customWidth="1"/>
    <col min="13332" max="13332" width="36.625" style="246" customWidth="1"/>
    <col min="13333" max="13333" width="26.25" style="246" customWidth="1"/>
    <col min="13334" max="13334" width="19.875" style="246" customWidth="1"/>
    <col min="13335" max="13335" width="24" style="246" customWidth="1"/>
    <col min="13336" max="13336" width="22" style="246" customWidth="1"/>
    <col min="13337" max="13337" width="20" style="246" customWidth="1"/>
    <col min="13338" max="13567" width="9" style="246"/>
    <col min="13568" max="13568" width="4.625" style="246" customWidth="1"/>
    <col min="13569" max="13569" width="26.25" style="246" customWidth="1"/>
    <col min="13570" max="13570" width="13.625" style="246" customWidth="1"/>
    <col min="13571" max="13571" width="8.75" style="246" bestFit="1" customWidth="1"/>
    <col min="13572" max="13572" width="9.75" style="246" bestFit="1" customWidth="1"/>
    <col min="13573" max="13574" width="9.75" style="246" customWidth="1"/>
    <col min="13575" max="13575" width="18.875" style="246" customWidth="1"/>
    <col min="13576" max="13576" width="10.25" style="246" customWidth="1"/>
    <col min="13577" max="13577" width="18.875" style="246" customWidth="1"/>
    <col min="13578" max="13578" width="16.25" style="246" customWidth="1"/>
    <col min="13579" max="13579" width="17" style="246" customWidth="1"/>
    <col min="13580" max="13580" width="17.625" style="246" customWidth="1"/>
    <col min="13581" max="13581" width="19.875" style="246" customWidth="1"/>
    <col min="13582" max="13582" width="17" style="246" customWidth="1"/>
    <col min="13583" max="13583" width="16.375" style="246" customWidth="1"/>
    <col min="13584" max="13584" width="16.75" style="246" customWidth="1"/>
    <col min="13585" max="13585" width="17.25" style="246" customWidth="1"/>
    <col min="13586" max="13587" width="22.25" style="246" customWidth="1"/>
    <col min="13588" max="13588" width="36.625" style="246" customWidth="1"/>
    <col min="13589" max="13589" width="26.25" style="246" customWidth="1"/>
    <col min="13590" max="13590" width="19.875" style="246" customWidth="1"/>
    <col min="13591" max="13591" width="24" style="246" customWidth="1"/>
    <col min="13592" max="13592" width="22" style="246" customWidth="1"/>
    <col min="13593" max="13593" width="20" style="246" customWidth="1"/>
    <col min="13594" max="13823" width="9" style="246"/>
    <col min="13824" max="13824" width="4.625" style="246" customWidth="1"/>
    <col min="13825" max="13825" width="26.25" style="246" customWidth="1"/>
    <col min="13826" max="13826" width="13.625" style="246" customWidth="1"/>
    <col min="13827" max="13827" width="8.75" style="246" bestFit="1" customWidth="1"/>
    <col min="13828" max="13828" width="9.75" style="246" bestFit="1" customWidth="1"/>
    <col min="13829" max="13830" width="9.75" style="246" customWidth="1"/>
    <col min="13831" max="13831" width="18.875" style="246" customWidth="1"/>
    <col min="13832" max="13832" width="10.25" style="246" customWidth="1"/>
    <col min="13833" max="13833" width="18.875" style="246" customWidth="1"/>
    <col min="13834" max="13834" width="16.25" style="246" customWidth="1"/>
    <col min="13835" max="13835" width="17" style="246" customWidth="1"/>
    <col min="13836" max="13836" width="17.625" style="246" customWidth="1"/>
    <col min="13837" max="13837" width="19.875" style="246" customWidth="1"/>
    <col min="13838" max="13838" width="17" style="246" customWidth="1"/>
    <col min="13839" max="13839" width="16.375" style="246" customWidth="1"/>
    <col min="13840" max="13840" width="16.75" style="246" customWidth="1"/>
    <col min="13841" max="13841" width="17.25" style="246" customWidth="1"/>
    <col min="13842" max="13843" width="22.25" style="246" customWidth="1"/>
    <col min="13844" max="13844" width="36.625" style="246" customWidth="1"/>
    <col min="13845" max="13845" width="26.25" style="246" customWidth="1"/>
    <col min="13846" max="13846" width="19.875" style="246" customWidth="1"/>
    <col min="13847" max="13847" width="24" style="246" customWidth="1"/>
    <col min="13848" max="13848" width="22" style="246" customWidth="1"/>
    <col min="13849" max="13849" width="20" style="246" customWidth="1"/>
    <col min="13850" max="14079" width="9" style="246"/>
    <col min="14080" max="14080" width="4.625" style="246" customWidth="1"/>
    <col min="14081" max="14081" width="26.25" style="246" customWidth="1"/>
    <col min="14082" max="14082" width="13.625" style="246" customWidth="1"/>
    <col min="14083" max="14083" width="8.75" style="246" bestFit="1" customWidth="1"/>
    <col min="14084" max="14084" width="9.75" style="246" bestFit="1" customWidth="1"/>
    <col min="14085" max="14086" width="9.75" style="246" customWidth="1"/>
    <col min="14087" max="14087" width="18.875" style="246" customWidth="1"/>
    <col min="14088" max="14088" width="10.25" style="246" customWidth="1"/>
    <col min="14089" max="14089" width="18.875" style="246" customWidth="1"/>
    <col min="14090" max="14090" width="16.25" style="246" customWidth="1"/>
    <col min="14091" max="14091" width="17" style="246" customWidth="1"/>
    <col min="14092" max="14092" width="17.625" style="246" customWidth="1"/>
    <col min="14093" max="14093" width="19.875" style="246" customWidth="1"/>
    <col min="14094" max="14094" width="17" style="246" customWidth="1"/>
    <col min="14095" max="14095" width="16.375" style="246" customWidth="1"/>
    <col min="14096" max="14096" width="16.75" style="246" customWidth="1"/>
    <col min="14097" max="14097" width="17.25" style="246" customWidth="1"/>
    <col min="14098" max="14099" width="22.25" style="246" customWidth="1"/>
    <col min="14100" max="14100" width="36.625" style="246" customWidth="1"/>
    <col min="14101" max="14101" width="26.25" style="246" customWidth="1"/>
    <col min="14102" max="14102" width="19.875" style="246" customWidth="1"/>
    <col min="14103" max="14103" width="24" style="246" customWidth="1"/>
    <col min="14104" max="14104" width="22" style="246" customWidth="1"/>
    <col min="14105" max="14105" width="20" style="246" customWidth="1"/>
    <col min="14106" max="14335" width="9" style="246"/>
    <col min="14336" max="14336" width="4.625" style="246" customWidth="1"/>
    <col min="14337" max="14337" width="26.25" style="246" customWidth="1"/>
    <col min="14338" max="14338" width="13.625" style="246" customWidth="1"/>
    <col min="14339" max="14339" width="8.75" style="246" bestFit="1" customWidth="1"/>
    <col min="14340" max="14340" width="9.75" style="246" bestFit="1" customWidth="1"/>
    <col min="14341" max="14342" width="9.75" style="246" customWidth="1"/>
    <col min="14343" max="14343" width="18.875" style="246" customWidth="1"/>
    <col min="14344" max="14344" width="10.25" style="246" customWidth="1"/>
    <col min="14345" max="14345" width="18.875" style="246" customWidth="1"/>
    <col min="14346" max="14346" width="16.25" style="246" customWidth="1"/>
    <col min="14347" max="14347" width="17" style="246" customWidth="1"/>
    <col min="14348" max="14348" width="17.625" style="246" customWidth="1"/>
    <col min="14349" max="14349" width="19.875" style="246" customWidth="1"/>
    <col min="14350" max="14350" width="17" style="246" customWidth="1"/>
    <col min="14351" max="14351" width="16.375" style="246" customWidth="1"/>
    <col min="14352" max="14352" width="16.75" style="246" customWidth="1"/>
    <col min="14353" max="14353" width="17.25" style="246" customWidth="1"/>
    <col min="14354" max="14355" width="22.25" style="246" customWidth="1"/>
    <col min="14356" max="14356" width="36.625" style="246" customWidth="1"/>
    <col min="14357" max="14357" width="26.25" style="246" customWidth="1"/>
    <col min="14358" max="14358" width="19.875" style="246" customWidth="1"/>
    <col min="14359" max="14359" width="24" style="246" customWidth="1"/>
    <col min="14360" max="14360" width="22" style="246" customWidth="1"/>
    <col min="14361" max="14361" width="20" style="246" customWidth="1"/>
    <col min="14362" max="14591" width="9" style="246"/>
    <col min="14592" max="14592" width="4.625" style="246" customWidth="1"/>
    <col min="14593" max="14593" width="26.25" style="246" customWidth="1"/>
    <col min="14594" max="14594" width="13.625" style="246" customWidth="1"/>
    <col min="14595" max="14595" width="8.75" style="246" bestFit="1" customWidth="1"/>
    <col min="14596" max="14596" width="9.75" style="246" bestFit="1" customWidth="1"/>
    <col min="14597" max="14598" width="9.75" style="246" customWidth="1"/>
    <col min="14599" max="14599" width="18.875" style="246" customWidth="1"/>
    <col min="14600" max="14600" width="10.25" style="246" customWidth="1"/>
    <col min="14601" max="14601" width="18.875" style="246" customWidth="1"/>
    <col min="14602" max="14602" width="16.25" style="246" customWidth="1"/>
    <col min="14603" max="14603" width="17" style="246" customWidth="1"/>
    <col min="14604" max="14604" width="17.625" style="246" customWidth="1"/>
    <col min="14605" max="14605" width="19.875" style="246" customWidth="1"/>
    <col min="14606" max="14606" width="17" style="246" customWidth="1"/>
    <col min="14607" max="14607" width="16.375" style="246" customWidth="1"/>
    <col min="14608" max="14608" width="16.75" style="246" customWidth="1"/>
    <col min="14609" max="14609" width="17.25" style="246" customWidth="1"/>
    <col min="14610" max="14611" width="22.25" style="246" customWidth="1"/>
    <col min="14612" max="14612" width="36.625" style="246" customWidth="1"/>
    <col min="14613" max="14613" width="26.25" style="246" customWidth="1"/>
    <col min="14614" max="14614" width="19.875" style="246" customWidth="1"/>
    <col min="14615" max="14615" width="24" style="246" customWidth="1"/>
    <col min="14616" max="14616" width="22" style="246" customWidth="1"/>
    <col min="14617" max="14617" width="20" style="246" customWidth="1"/>
    <col min="14618" max="14847" width="9" style="246"/>
    <col min="14848" max="14848" width="4.625" style="246" customWidth="1"/>
    <col min="14849" max="14849" width="26.25" style="246" customWidth="1"/>
    <col min="14850" max="14850" width="13.625" style="246" customWidth="1"/>
    <col min="14851" max="14851" width="8.75" style="246" bestFit="1" customWidth="1"/>
    <col min="14852" max="14852" width="9.75" style="246" bestFit="1" customWidth="1"/>
    <col min="14853" max="14854" width="9.75" style="246" customWidth="1"/>
    <col min="14855" max="14855" width="18.875" style="246" customWidth="1"/>
    <col min="14856" max="14856" width="10.25" style="246" customWidth="1"/>
    <col min="14857" max="14857" width="18.875" style="246" customWidth="1"/>
    <col min="14858" max="14858" width="16.25" style="246" customWidth="1"/>
    <col min="14859" max="14859" width="17" style="246" customWidth="1"/>
    <col min="14860" max="14860" width="17.625" style="246" customWidth="1"/>
    <col min="14861" max="14861" width="19.875" style="246" customWidth="1"/>
    <col min="14862" max="14862" width="17" style="246" customWidth="1"/>
    <col min="14863" max="14863" width="16.375" style="246" customWidth="1"/>
    <col min="14864" max="14864" width="16.75" style="246" customWidth="1"/>
    <col min="14865" max="14865" width="17.25" style="246" customWidth="1"/>
    <col min="14866" max="14867" width="22.25" style="246" customWidth="1"/>
    <col min="14868" max="14868" width="36.625" style="246" customWidth="1"/>
    <col min="14869" max="14869" width="26.25" style="246" customWidth="1"/>
    <col min="14870" max="14870" width="19.875" style="246" customWidth="1"/>
    <col min="14871" max="14871" width="24" style="246" customWidth="1"/>
    <col min="14872" max="14872" width="22" style="246" customWidth="1"/>
    <col min="14873" max="14873" width="20" style="246" customWidth="1"/>
    <col min="14874" max="15103" width="9" style="246"/>
    <col min="15104" max="15104" width="4.625" style="246" customWidth="1"/>
    <col min="15105" max="15105" width="26.25" style="246" customWidth="1"/>
    <col min="15106" max="15106" width="13.625" style="246" customWidth="1"/>
    <col min="15107" max="15107" width="8.75" style="246" bestFit="1" customWidth="1"/>
    <col min="15108" max="15108" width="9.75" style="246" bestFit="1" customWidth="1"/>
    <col min="15109" max="15110" width="9.75" style="246" customWidth="1"/>
    <col min="15111" max="15111" width="18.875" style="246" customWidth="1"/>
    <col min="15112" max="15112" width="10.25" style="246" customWidth="1"/>
    <col min="15113" max="15113" width="18.875" style="246" customWidth="1"/>
    <col min="15114" max="15114" width="16.25" style="246" customWidth="1"/>
    <col min="15115" max="15115" width="17" style="246" customWidth="1"/>
    <col min="15116" max="15116" width="17.625" style="246" customWidth="1"/>
    <col min="15117" max="15117" width="19.875" style="246" customWidth="1"/>
    <col min="15118" max="15118" width="17" style="246" customWidth="1"/>
    <col min="15119" max="15119" width="16.375" style="246" customWidth="1"/>
    <col min="15120" max="15120" width="16.75" style="246" customWidth="1"/>
    <col min="15121" max="15121" width="17.25" style="246" customWidth="1"/>
    <col min="15122" max="15123" width="22.25" style="246" customWidth="1"/>
    <col min="15124" max="15124" width="36.625" style="246" customWidth="1"/>
    <col min="15125" max="15125" width="26.25" style="246" customWidth="1"/>
    <col min="15126" max="15126" width="19.875" style="246" customWidth="1"/>
    <col min="15127" max="15127" width="24" style="246" customWidth="1"/>
    <col min="15128" max="15128" width="22" style="246" customWidth="1"/>
    <col min="15129" max="15129" width="20" style="246" customWidth="1"/>
    <col min="15130" max="15359" width="9" style="246"/>
    <col min="15360" max="15360" width="4.625" style="246" customWidth="1"/>
    <col min="15361" max="15361" width="26.25" style="246" customWidth="1"/>
    <col min="15362" max="15362" width="13.625" style="246" customWidth="1"/>
    <col min="15363" max="15363" width="8.75" style="246" bestFit="1" customWidth="1"/>
    <col min="15364" max="15364" width="9.75" style="246" bestFit="1" customWidth="1"/>
    <col min="15365" max="15366" width="9.75" style="246" customWidth="1"/>
    <col min="15367" max="15367" width="18.875" style="246" customWidth="1"/>
    <col min="15368" max="15368" width="10.25" style="246" customWidth="1"/>
    <col min="15369" max="15369" width="18.875" style="246" customWidth="1"/>
    <col min="15370" max="15370" width="16.25" style="246" customWidth="1"/>
    <col min="15371" max="15371" width="17" style="246" customWidth="1"/>
    <col min="15372" max="15372" width="17.625" style="246" customWidth="1"/>
    <col min="15373" max="15373" width="19.875" style="246" customWidth="1"/>
    <col min="15374" max="15374" width="17" style="246" customWidth="1"/>
    <col min="15375" max="15375" width="16.375" style="246" customWidth="1"/>
    <col min="15376" max="15376" width="16.75" style="246" customWidth="1"/>
    <col min="15377" max="15377" width="17.25" style="246" customWidth="1"/>
    <col min="15378" max="15379" width="22.25" style="246" customWidth="1"/>
    <col min="15380" max="15380" width="36.625" style="246" customWidth="1"/>
    <col min="15381" max="15381" width="26.25" style="246" customWidth="1"/>
    <col min="15382" max="15382" width="19.875" style="246" customWidth="1"/>
    <col min="15383" max="15383" width="24" style="246" customWidth="1"/>
    <col min="15384" max="15384" width="22" style="246" customWidth="1"/>
    <col min="15385" max="15385" width="20" style="246" customWidth="1"/>
    <col min="15386" max="15615" width="9" style="246"/>
    <col min="15616" max="15616" width="4.625" style="246" customWidth="1"/>
    <col min="15617" max="15617" width="26.25" style="246" customWidth="1"/>
    <col min="15618" max="15618" width="13.625" style="246" customWidth="1"/>
    <col min="15619" max="15619" width="8.75" style="246" bestFit="1" customWidth="1"/>
    <col min="15620" max="15620" width="9.75" style="246" bestFit="1" customWidth="1"/>
    <col min="15621" max="15622" width="9.75" style="246" customWidth="1"/>
    <col min="15623" max="15623" width="18.875" style="246" customWidth="1"/>
    <col min="15624" max="15624" width="10.25" style="246" customWidth="1"/>
    <col min="15625" max="15625" width="18.875" style="246" customWidth="1"/>
    <col min="15626" max="15626" width="16.25" style="246" customWidth="1"/>
    <col min="15627" max="15627" width="17" style="246" customWidth="1"/>
    <col min="15628" max="15628" width="17.625" style="246" customWidth="1"/>
    <col min="15629" max="15629" width="19.875" style="246" customWidth="1"/>
    <col min="15630" max="15630" width="17" style="246" customWidth="1"/>
    <col min="15631" max="15631" width="16.375" style="246" customWidth="1"/>
    <col min="15632" max="15632" width="16.75" style="246" customWidth="1"/>
    <col min="15633" max="15633" width="17.25" style="246" customWidth="1"/>
    <col min="15634" max="15635" width="22.25" style="246" customWidth="1"/>
    <col min="15636" max="15636" width="36.625" style="246" customWidth="1"/>
    <col min="15637" max="15637" width="26.25" style="246" customWidth="1"/>
    <col min="15638" max="15638" width="19.875" style="246" customWidth="1"/>
    <col min="15639" max="15639" width="24" style="246" customWidth="1"/>
    <col min="15640" max="15640" width="22" style="246" customWidth="1"/>
    <col min="15641" max="15641" width="20" style="246" customWidth="1"/>
    <col min="15642" max="15871" width="9" style="246"/>
    <col min="15872" max="15872" width="4.625" style="246" customWidth="1"/>
    <col min="15873" max="15873" width="26.25" style="246" customWidth="1"/>
    <col min="15874" max="15874" width="13.625" style="246" customWidth="1"/>
    <col min="15875" max="15875" width="8.75" style="246" bestFit="1" customWidth="1"/>
    <col min="15876" max="15876" width="9.75" style="246" bestFit="1" customWidth="1"/>
    <col min="15877" max="15878" width="9.75" style="246" customWidth="1"/>
    <col min="15879" max="15879" width="18.875" style="246" customWidth="1"/>
    <col min="15880" max="15880" width="10.25" style="246" customWidth="1"/>
    <col min="15881" max="15881" width="18.875" style="246" customWidth="1"/>
    <col min="15882" max="15882" width="16.25" style="246" customWidth="1"/>
    <col min="15883" max="15883" width="17" style="246" customWidth="1"/>
    <col min="15884" max="15884" width="17.625" style="246" customWidth="1"/>
    <col min="15885" max="15885" width="19.875" style="246" customWidth="1"/>
    <col min="15886" max="15886" width="17" style="246" customWidth="1"/>
    <col min="15887" max="15887" width="16.375" style="246" customWidth="1"/>
    <col min="15888" max="15888" width="16.75" style="246" customWidth="1"/>
    <col min="15889" max="15889" width="17.25" style="246" customWidth="1"/>
    <col min="15890" max="15891" width="22.25" style="246" customWidth="1"/>
    <col min="15892" max="15892" width="36.625" style="246" customWidth="1"/>
    <col min="15893" max="15893" width="26.25" style="246" customWidth="1"/>
    <col min="15894" max="15894" width="19.875" style="246" customWidth="1"/>
    <col min="15895" max="15895" width="24" style="246" customWidth="1"/>
    <col min="15896" max="15896" width="22" style="246" customWidth="1"/>
    <col min="15897" max="15897" width="20" style="246" customWidth="1"/>
    <col min="15898" max="16127" width="9" style="246"/>
    <col min="16128" max="16128" width="4.625" style="246" customWidth="1"/>
    <col min="16129" max="16129" width="26.25" style="246" customWidth="1"/>
    <col min="16130" max="16130" width="13.625" style="246" customWidth="1"/>
    <col min="16131" max="16131" width="8.75" style="246" bestFit="1" customWidth="1"/>
    <col min="16132" max="16132" width="9.75" style="246" bestFit="1" customWidth="1"/>
    <col min="16133" max="16134" width="9.75" style="246" customWidth="1"/>
    <col min="16135" max="16135" width="18.875" style="246" customWidth="1"/>
    <col min="16136" max="16136" width="10.25" style="246" customWidth="1"/>
    <col min="16137" max="16137" width="18.875" style="246" customWidth="1"/>
    <col min="16138" max="16138" width="16.25" style="246" customWidth="1"/>
    <col min="16139" max="16139" width="17" style="246" customWidth="1"/>
    <col min="16140" max="16140" width="17.625" style="246" customWidth="1"/>
    <col min="16141" max="16141" width="19.875" style="246" customWidth="1"/>
    <col min="16142" max="16142" width="17" style="246" customWidth="1"/>
    <col min="16143" max="16143" width="16.375" style="246" customWidth="1"/>
    <col min="16144" max="16144" width="16.75" style="246" customWidth="1"/>
    <col min="16145" max="16145" width="17.25" style="246" customWidth="1"/>
    <col min="16146" max="16147" width="22.25" style="246" customWidth="1"/>
    <col min="16148" max="16148" width="36.625" style="246" customWidth="1"/>
    <col min="16149" max="16149" width="26.25" style="246" customWidth="1"/>
    <col min="16150" max="16150" width="19.875" style="246" customWidth="1"/>
    <col min="16151" max="16151" width="24" style="246" customWidth="1"/>
    <col min="16152" max="16152" width="22" style="246" customWidth="1"/>
    <col min="16153" max="16153" width="20" style="246" customWidth="1"/>
    <col min="16154" max="16383" width="9" style="246"/>
    <col min="16384" max="16384" width="9" style="246" customWidth="1"/>
  </cols>
  <sheetData>
    <row r="1" spans="1:26" ht="18.75" customHeight="1">
      <c r="A1" s="3956" t="s">
        <v>165</v>
      </c>
      <c r="B1" s="3956"/>
      <c r="C1" s="3956"/>
      <c r="D1" s="3956"/>
      <c r="E1" s="3956"/>
      <c r="F1" s="3956"/>
      <c r="G1" s="3956"/>
      <c r="H1" s="3956"/>
      <c r="I1" s="3956"/>
      <c r="J1" s="3956"/>
      <c r="K1" s="3956"/>
      <c r="L1" s="3956"/>
      <c r="M1" s="3956"/>
      <c r="N1" s="3956"/>
      <c r="O1" s="3956"/>
      <c r="P1" s="3956"/>
      <c r="Q1" s="3956"/>
    </row>
    <row r="2" spans="1:26" ht="18.75" customHeight="1">
      <c r="A2" s="3957" t="s">
        <v>171</v>
      </c>
      <c r="B2" s="3957"/>
      <c r="C2" s="3957"/>
      <c r="D2" s="3957"/>
      <c r="E2" s="3957"/>
      <c r="F2" s="3957"/>
      <c r="G2" s="3957"/>
      <c r="H2" s="3957"/>
      <c r="I2" s="3957"/>
      <c r="J2" s="3957"/>
      <c r="K2" s="3957"/>
      <c r="L2" s="3957"/>
      <c r="M2" s="3957"/>
      <c r="N2" s="3957"/>
      <c r="O2" s="3957"/>
      <c r="P2" s="3957"/>
      <c r="Q2" s="3957"/>
    </row>
    <row r="3" spans="1:26" ht="18.75" customHeight="1">
      <c r="A3" s="3958" t="s">
        <v>726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</row>
    <row r="4" spans="1:26" ht="18.75" customHeight="1">
      <c r="A4" s="3959" t="s">
        <v>602</v>
      </c>
      <c r="B4" s="3959"/>
      <c r="C4" s="3959"/>
      <c r="D4" s="3959"/>
      <c r="E4" s="3959"/>
      <c r="F4" s="3959"/>
      <c r="G4" s="3959"/>
      <c r="H4" s="3959"/>
      <c r="I4" s="3959"/>
      <c r="J4" s="3959"/>
      <c r="K4" s="987"/>
      <c r="L4" s="988"/>
      <c r="M4" s="988"/>
      <c r="N4" s="988"/>
      <c r="O4" s="988"/>
    </row>
    <row r="5" spans="1:26" ht="18.75" customHeight="1">
      <c r="A5" s="3957" t="s">
        <v>541</v>
      </c>
      <c r="B5" s="3957"/>
      <c r="C5" s="3957"/>
      <c r="D5" s="3957"/>
      <c r="E5" s="3957"/>
      <c r="F5" s="3957"/>
      <c r="G5" s="3957"/>
      <c r="H5" s="3957"/>
      <c r="I5" s="3957"/>
      <c r="J5" s="3957"/>
      <c r="K5" s="990"/>
      <c r="L5" s="699"/>
      <c r="M5" s="699"/>
      <c r="N5" s="699"/>
      <c r="O5" s="699"/>
    </row>
    <row r="6" spans="1:26" ht="18.75" customHeight="1">
      <c r="H6" s="991"/>
      <c r="I6" s="991"/>
      <c r="J6" s="991"/>
      <c r="K6" s="992"/>
    </row>
    <row r="7" spans="1:26" ht="18.75" customHeight="1">
      <c r="H7" s="991"/>
      <c r="I7" s="991"/>
      <c r="J7" s="991"/>
      <c r="K7" s="992"/>
    </row>
    <row r="8" spans="1:26" ht="22.5" customHeight="1">
      <c r="A8" s="4551" t="s">
        <v>855</v>
      </c>
      <c r="B8" s="4551"/>
      <c r="C8" s="4551"/>
      <c r="D8" s="4551"/>
      <c r="E8" s="4551"/>
      <c r="F8" s="4551"/>
      <c r="G8" s="4551"/>
      <c r="H8" s="4551"/>
      <c r="I8" s="4551"/>
      <c r="J8" s="4551"/>
      <c r="K8" s="4551"/>
      <c r="L8" s="4551"/>
      <c r="M8" s="4551"/>
      <c r="N8" s="4551"/>
      <c r="O8" s="4551"/>
      <c r="P8" s="4551"/>
      <c r="Q8" s="4551"/>
    </row>
    <row r="9" spans="1:26" ht="22.5" customHeight="1">
      <c r="A9" s="4552" t="s">
        <v>772</v>
      </c>
      <c r="B9" s="4552"/>
      <c r="C9" s="4552"/>
      <c r="D9" s="4552"/>
      <c r="E9" s="4552"/>
      <c r="F9" s="4552"/>
      <c r="G9" s="4552"/>
      <c r="H9" s="4552"/>
      <c r="I9" s="4552"/>
      <c r="J9" s="4552"/>
      <c r="K9" s="4552"/>
      <c r="L9" s="4552"/>
      <c r="M9" s="4552"/>
      <c r="N9" s="4552"/>
      <c r="O9" s="4552"/>
      <c r="P9" s="4552"/>
      <c r="Q9" s="4552"/>
    </row>
    <row r="10" spans="1:26" ht="18.75">
      <c r="A10" s="993"/>
      <c r="B10" s="994"/>
      <c r="C10" s="995"/>
      <c r="D10" s="995"/>
      <c r="E10" s="995"/>
      <c r="F10" s="995"/>
      <c r="G10" s="995"/>
      <c r="H10" s="996"/>
      <c r="I10" s="996"/>
      <c r="J10" s="996"/>
      <c r="K10" s="997"/>
      <c r="L10" s="993"/>
      <c r="M10" s="993"/>
      <c r="N10" s="993"/>
      <c r="O10" s="993"/>
      <c r="P10" s="998"/>
      <c r="Q10" s="993"/>
      <c r="R10" s="999"/>
      <c r="U10" s="999"/>
      <c r="V10" s="999"/>
      <c r="W10" s="999"/>
      <c r="X10" s="999"/>
      <c r="Y10" s="999"/>
      <c r="Z10" s="999"/>
    </row>
    <row r="11" spans="1:26" ht="20.25" hidden="1" customHeight="1">
      <c r="A11" s="999"/>
      <c r="B11" s="999"/>
      <c r="C11" s="999"/>
      <c r="D11" s="999"/>
      <c r="E11" s="999"/>
      <c r="F11" s="999"/>
      <c r="G11" s="999"/>
      <c r="H11" s="1000"/>
      <c r="I11" s="1000"/>
      <c r="J11" s="1000"/>
      <c r="K11" s="1001"/>
      <c r="L11" s="999"/>
      <c r="M11" s="999"/>
      <c r="N11" s="999"/>
      <c r="O11" s="999"/>
      <c r="P11" s="1002"/>
      <c r="Q11" s="999"/>
      <c r="R11" s="999"/>
      <c r="U11" s="999"/>
      <c r="V11" s="999"/>
      <c r="W11" s="999"/>
      <c r="X11" s="999"/>
      <c r="Y11" s="999"/>
      <c r="Z11" s="999"/>
    </row>
    <row r="12" spans="1:26" s="999" customFormat="1" ht="63.75" customHeight="1">
      <c r="A12" s="4553" t="s">
        <v>19</v>
      </c>
      <c r="B12" s="4553" t="s">
        <v>20</v>
      </c>
      <c r="C12" s="4553" t="s">
        <v>5</v>
      </c>
      <c r="D12" s="4554" t="s">
        <v>793</v>
      </c>
      <c r="E12" s="4554" t="s">
        <v>774</v>
      </c>
      <c r="F12" s="4555" t="s">
        <v>775</v>
      </c>
      <c r="G12" s="4556"/>
      <c r="H12" s="4557" t="s">
        <v>776</v>
      </c>
      <c r="I12" s="4557"/>
      <c r="J12" s="4557"/>
      <c r="K12" s="4558" t="s">
        <v>777</v>
      </c>
      <c r="L12" s="4558"/>
      <c r="M12" s="4558"/>
      <c r="N12" s="4558"/>
      <c r="O12" s="4559" t="s">
        <v>802</v>
      </c>
      <c r="P12" s="4564" t="s">
        <v>803</v>
      </c>
      <c r="Q12" s="4553" t="s">
        <v>634</v>
      </c>
    </row>
    <row r="13" spans="1:26" s="1003" customFormat="1" ht="39" customHeight="1">
      <c r="A13" s="4553"/>
      <c r="B13" s="4553"/>
      <c r="C13" s="4553"/>
      <c r="D13" s="4553"/>
      <c r="E13" s="4554"/>
      <c r="F13" s="4567" t="s">
        <v>778</v>
      </c>
      <c r="G13" s="4567" t="s">
        <v>779</v>
      </c>
      <c r="H13" s="4554" t="s">
        <v>780</v>
      </c>
      <c r="I13" s="4569" t="s">
        <v>781</v>
      </c>
      <c r="J13" s="4569" t="s">
        <v>24</v>
      </c>
      <c r="K13" s="4570" t="s">
        <v>782</v>
      </c>
      <c r="L13" s="4554" t="s">
        <v>783</v>
      </c>
      <c r="M13" s="4554" t="s">
        <v>784</v>
      </c>
      <c r="N13" s="4562" t="s">
        <v>801</v>
      </c>
      <c r="O13" s="4560"/>
      <c r="P13" s="4565"/>
      <c r="Q13" s="4553"/>
      <c r="R13" s="999"/>
      <c r="U13" s="1004"/>
      <c r="V13" s="1004"/>
      <c r="W13" s="993"/>
      <c r="X13" s="999"/>
      <c r="Y13" s="999"/>
      <c r="Z13" s="999"/>
    </row>
    <row r="14" spans="1:26" s="1003" customFormat="1" ht="99.75" customHeight="1">
      <c r="A14" s="4553"/>
      <c r="B14" s="4553"/>
      <c r="C14" s="4553"/>
      <c r="D14" s="4553"/>
      <c r="E14" s="4554"/>
      <c r="F14" s="4568"/>
      <c r="G14" s="4568"/>
      <c r="H14" s="4554"/>
      <c r="I14" s="4569"/>
      <c r="J14" s="4569"/>
      <c r="K14" s="4570"/>
      <c r="L14" s="4554"/>
      <c r="M14" s="4554"/>
      <c r="N14" s="4563"/>
      <c r="O14" s="4561"/>
      <c r="P14" s="4566"/>
      <c r="Q14" s="4553"/>
      <c r="R14" s="999"/>
      <c r="U14" s="988"/>
      <c r="V14" s="988"/>
      <c r="W14" s="1005"/>
    </row>
    <row r="15" spans="1:26" s="1003" customFormat="1" ht="30" hidden="1" customHeight="1">
      <c r="A15" s="1006" t="s">
        <v>52</v>
      </c>
      <c r="B15" s="1006" t="s">
        <v>92</v>
      </c>
      <c r="C15" s="1006" t="s">
        <v>53</v>
      </c>
      <c r="D15" s="1006" t="s">
        <v>93</v>
      </c>
      <c r="E15" s="1007" t="s">
        <v>157</v>
      </c>
      <c r="F15" s="1008" t="s">
        <v>606</v>
      </c>
      <c r="G15" s="1008" t="s">
        <v>607</v>
      </c>
      <c r="H15" s="1008" t="s">
        <v>608</v>
      </c>
      <c r="I15" s="1008" t="s">
        <v>609</v>
      </c>
      <c r="J15" s="1009">
        <v>-5</v>
      </c>
      <c r="K15" s="1010" t="s">
        <v>785</v>
      </c>
      <c r="L15" s="1010" t="s">
        <v>786</v>
      </c>
      <c r="M15" s="1011">
        <v>-8</v>
      </c>
      <c r="N15" s="1012" t="s">
        <v>787</v>
      </c>
      <c r="O15" s="1011">
        <v>-10</v>
      </c>
      <c r="P15" s="1013" t="s">
        <v>788</v>
      </c>
      <c r="Q15" s="1006"/>
      <c r="R15" s="999"/>
      <c r="U15" s="988"/>
      <c r="V15" s="988"/>
      <c r="W15" s="1005"/>
    </row>
    <row r="16" spans="1:26" s="1003" customFormat="1" ht="18.75">
      <c r="A16" s="1014" t="s">
        <v>147</v>
      </c>
      <c r="B16" s="1015" t="s">
        <v>789</v>
      </c>
      <c r="C16" s="1014"/>
      <c r="D16" s="1014"/>
      <c r="E16" s="1016"/>
      <c r="F16" s="1016"/>
      <c r="G16" s="1016"/>
      <c r="H16" s="1070">
        <f t="shared" ref="H16:P16" si="0">SUM(H17:H17)</f>
        <v>450</v>
      </c>
      <c r="I16" s="1070">
        <f t="shared" si="0"/>
        <v>40</v>
      </c>
      <c r="J16" s="1070">
        <f t="shared" si="0"/>
        <v>490</v>
      </c>
      <c r="K16" s="1070">
        <f t="shared" si="0"/>
        <v>245</v>
      </c>
      <c r="L16" s="1070" t="e">
        <f t="shared" si="0"/>
        <v>#REF!</v>
      </c>
      <c r="M16" s="1073" t="e">
        <f t="shared" si="0"/>
        <v>#REF!</v>
      </c>
      <c r="N16" s="1090" t="e">
        <f>SUM(N17:N17)</f>
        <v>#REF!</v>
      </c>
      <c r="O16" s="1090" t="e">
        <f t="shared" si="0"/>
        <v>#REF!</v>
      </c>
      <c r="P16" s="1070" t="e">
        <f t="shared" si="0"/>
        <v>#REF!</v>
      </c>
      <c r="Q16" s="1006"/>
      <c r="R16" s="999"/>
      <c r="U16" s="988"/>
      <c r="V16" s="988"/>
      <c r="W16" s="1005"/>
    </row>
    <row r="17" spans="1:22" s="1026" customFormat="1" ht="24.95" customHeight="1">
      <c r="A17" s="1017">
        <v>1</v>
      </c>
      <c r="B17" s="1018" t="s">
        <v>96</v>
      </c>
      <c r="C17" s="1019" t="s">
        <v>162</v>
      </c>
      <c r="D17" s="898" t="s">
        <v>790</v>
      </c>
      <c r="E17" s="1020" t="s">
        <v>18</v>
      </c>
      <c r="F17" s="1021" t="e">
        <f>+#REF!</f>
        <v>#REF!</v>
      </c>
      <c r="G17" s="1021" t="e">
        <f>+#REF!</f>
        <v>#REF!</v>
      </c>
      <c r="H17" s="1071">
        <v>450</v>
      </c>
      <c r="I17" s="1071">
        <v>40</v>
      </c>
      <c r="J17" s="1071">
        <f>H17+I17</f>
        <v>490</v>
      </c>
      <c r="K17" s="1072">
        <f>J17*50%</f>
        <v>245</v>
      </c>
      <c r="L17" s="1072" t="e">
        <f>H17*0.5*F17</f>
        <v>#REF!</v>
      </c>
      <c r="M17" s="1074" t="e">
        <f>IF(G17&lt;100%,0,100)+ROUND(IF(G17&gt;100%,((G17-100%)*20*100),0),0)</f>
        <v>#REF!</v>
      </c>
      <c r="N17" s="1091" t="e">
        <f>IF(G17&gt;=100%,0,(G17-100%)*10*100)</f>
        <v>#REF!</v>
      </c>
      <c r="O17" s="1090" t="e">
        <f>M17+K17+L17+N17</f>
        <v>#REF!</v>
      </c>
      <c r="P17" s="1118" t="e">
        <f>IF(O17&lt;K17,K17,O17)</f>
        <v>#REF!</v>
      </c>
      <c r="Q17" s="1022"/>
      <c r="R17" s="1023"/>
      <c r="S17" s="1024"/>
      <c r="T17" s="1025"/>
    </row>
    <row r="18" spans="1:22" s="697" customFormat="1" ht="19.5" customHeight="1">
      <c r="A18" s="999"/>
      <c r="B18" s="999"/>
      <c r="C18" s="999"/>
      <c r="D18" s="999"/>
      <c r="E18" s="999"/>
      <c r="F18" s="999"/>
      <c r="G18" s="999"/>
      <c r="H18" s="1000"/>
      <c r="I18" s="1000"/>
      <c r="J18" s="1000"/>
      <c r="K18" s="1001"/>
      <c r="L18" s="999"/>
      <c r="M18" s="999"/>
      <c r="N18" s="999"/>
      <c r="O18" s="999"/>
      <c r="P18" s="1002"/>
      <c r="Q18" s="999"/>
      <c r="R18" s="1027"/>
    </row>
    <row r="19" spans="1:22" s="815" customFormat="1" ht="18" customHeight="1">
      <c r="A19" s="4165" t="s">
        <v>791</v>
      </c>
      <c r="B19" s="4165"/>
      <c r="C19" s="4165"/>
      <c r="D19" s="4165"/>
      <c r="E19" s="4165"/>
      <c r="F19" s="4165"/>
      <c r="G19" s="4165"/>
      <c r="H19" s="4165"/>
      <c r="I19" s="1028"/>
      <c r="J19" s="4165" t="s">
        <v>792</v>
      </c>
      <c r="K19" s="4165"/>
      <c r="L19" s="4165"/>
      <c r="M19" s="1029"/>
      <c r="N19" s="4165" t="s">
        <v>167</v>
      </c>
      <c r="O19" s="4165"/>
      <c r="P19" s="4165"/>
      <c r="Q19" s="4165"/>
      <c r="R19" s="1029"/>
    </row>
    <row r="20" spans="1:22" s="697" customFormat="1" ht="18" customHeight="1">
      <c r="A20" s="999"/>
      <c r="B20" s="999"/>
      <c r="C20" s="999"/>
      <c r="D20" s="999"/>
      <c r="E20" s="999"/>
      <c r="F20" s="999"/>
      <c r="G20" s="999"/>
      <c r="H20" s="1030"/>
      <c r="I20" s="1030"/>
      <c r="J20" s="1030"/>
      <c r="K20" s="1031"/>
      <c r="L20" s="999"/>
      <c r="M20" s="999"/>
      <c r="N20" s="999"/>
      <c r="O20" s="999"/>
      <c r="P20" s="1002"/>
      <c r="Q20" s="999"/>
      <c r="R20" s="999"/>
    </row>
    <row r="21" spans="1:22" s="697" customFormat="1" ht="18" customHeight="1">
      <c r="H21" s="1032"/>
      <c r="I21" s="1032"/>
      <c r="J21" s="1032"/>
      <c r="K21" s="1033"/>
      <c r="P21" s="831"/>
    </row>
    <row r="22" spans="1:22" s="697" customFormat="1" ht="18" customHeight="1">
      <c r="H22" s="1032"/>
      <c r="I22" s="1032"/>
      <c r="J22" s="1032"/>
      <c r="K22" s="1033"/>
      <c r="P22" s="842"/>
      <c r="Q22" s="1034"/>
    </row>
    <row r="23" spans="1:22" s="697" customFormat="1" ht="18" customHeight="1">
      <c r="H23" s="1032"/>
      <c r="I23" s="1032"/>
      <c r="J23" s="1032"/>
      <c r="K23" s="1033"/>
      <c r="P23" s="1035"/>
      <c r="S23" s="1033"/>
    </row>
    <row r="24" spans="1:22" s="697" customFormat="1" ht="18" customHeight="1">
      <c r="H24" s="1032"/>
      <c r="I24" s="1032"/>
      <c r="J24" s="1032"/>
      <c r="K24" s="1033"/>
      <c r="P24" s="1036"/>
    </row>
    <row r="25" spans="1:22" s="697" customFormat="1" ht="18" customHeight="1">
      <c r="H25" s="1032"/>
      <c r="I25" s="1032"/>
      <c r="J25" s="1032"/>
      <c r="K25" s="1033"/>
      <c r="P25" s="831"/>
      <c r="Q25" s="1034"/>
    </row>
    <row r="26" spans="1:22" s="697" customFormat="1" ht="18" customHeight="1">
      <c r="H26" s="1032"/>
      <c r="I26" s="1032"/>
      <c r="J26" s="1032"/>
      <c r="K26" s="1033"/>
      <c r="L26" s="899"/>
      <c r="M26" s="899"/>
      <c r="N26" s="899"/>
      <c r="O26" s="899"/>
      <c r="P26" s="831"/>
    </row>
    <row r="27" spans="1:22" s="697" customFormat="1" ht="18" customHeight="1">
      <c r="H27" s="1032"/>
      <c r="I27" s="1032"/>
      <c r="J27" s="1032"/>
      <c r="K27" s="1033"/>
      <c r="P27" s="842"/>
      <c r="S27" s="246"/>
      <c r="T27" s="999"/>
      <c r="U27" s="999"/>
      <c r="V27" s="999"/>
    </row>
    <row r="28" spans="1:22" s="697" customFormat="1" ht="18" customHeight="1">
      <c r="H28" s="1032"/>
      <c r="I28" s="1032"/>
      <c r="J28" s="1032"/>
      <c r="K28" s="1033"/>
      <c r="P28" s="831"/>
      <c r="S28" s="246"/>
      <c r="T28" s="999"/>
      <c r="U28" s="999"/>
      <c r="V28" s="999"/>
    </row>
    <row r="29" spans="1:22" s="697" customFormat="1" ht="18" customHeight="1">
      <c r="H29" s="1032"/>
      <c r="I29" s="1032"/>
      <c r="J29" s="1032"/>
      <c r="K29" s="1033"/>
      <c r="P29" s="3957"/>
      <c r="Q29" s="3957"/>
      <c r="S29" s="1023"/>
      <c r="T29" s="1029"/>
      <c r="U29" s="1029"/>
      <c r="V29" s="1029"/>
    </row>
    <row r="30" spans="1:22" s="697" customFormat="1" ht="38.25" customHeight="1">
      <c r="H30" s="1032"/>
      <c r="I30" s="1032"/>
      <c r="J30" s="1032"/>
      <c r="K30" s="1033"/>
      <c r="P30" s="831"/>
      <c r="S30" s="988"/>
      <c r="T30" s="1004"/>
      <c r="U30" s="1004"/>
      <c r="V30" s="993"/>
    </row>
    <row r="31" spans="1:22" s="697" customFormat="1" ht="18" customHeight="1">
      <c r="H31" s="1032"/>
      <c r="I31" s="1032"/>
      <c r="J31" s="1032"/>
      <c r="K31" s="1033"/>
      <c r="P31" s="831"/>
      <c r="S31" s="988"/>
      <c r="T31" s="988"/>
      <c r="U31" s="988"/>
      <c r="V31" s="1037"/>
    </row>
    <row r="32" spans="1:22" s="697" customFormat="1" ht="18" customHeight="1">
      <c r="H32" s="1032"/>
      <c r="I32" s="1032"/>
      <c r="J32" s="1032"/>
      <c r="K32" s="1033"/>
      <c r="P32" s="831"/>
      <c r="S32" s="988"/>
      <c r="T32" s="988"/>
      <c r="U32" s="988"/>
      <c r="V32" s="1037"/>
    </row>
    <row r="33" spans="8:22" s="697" customFormat="1" ht="18" customHeight="1">
      <c r="H33" s="1032"/>
      <c r="I33" s="1032"/>
      <c r="J33" s="1032"/>
      <c r="K33" s="1033"/>
      <c r="P33" s="831"/>
      <c r="S33" s="988"/>
      <c r="T33" s="988"/>
      <c r="U33" s="988"/>
      <c r="V33" s="1037"/>
    </row>
    <row r="34" spans="8:22" s="697" customFormat="1" ht="18" customHeight="1">
      <c r="H34" s="1032"/>
      <c r="I34" s="1032"/>
      <c r="J34" s="1032"/>
      <c r="K34" s="1033"/>
      <c r="P34" s="831"/>
      <c r="S34" s="988"/>
      <c r="T34" s="988"/>
      <c r="U34" s="988"/>
      <c r="V34" s="1037"/>
    </row>
    <row r="35" spans="8:22" s="697" customFormat="1" ht="41.25" customHeight="1">
      <c r="H35" s="1032"/>
      <c r="I35" s="1032"/>
      <c r="J35" s="1032"/>
      <c r="K35" s="1033"/>
      <c r="P35" s="831"/>
      <c r="S35" s="1038"/>
      <c r="T35" s="1039"/>
      <c r="U35" s="1039"/>
      <c r="V35" s="1039"/>
    </row>
    <row r="36" spans="8:22" s="697" customFormat="1" ht="51" customHeight="1">
      <c r="H36" s="1032"/>
      <c r="I36" s="1032"/>
      <c r="J36" s="1032"/>
      <c r="K36" s="1033"/>
      <c r="P36" s="831"/>
      <c r="S36" s="1025"/>
      <c r="T36" s="1040"/>
      <c r="U36" s="1040"/>
      <c r="V36" s="1040"/>
    </row>
    <row r="37" spans="8:22" s="697" customFormat="1" ht="18" customHeight="1">
      <c r="H37" s="1032"/>
      <c r="I37" s="1032"/>
      <c r="J37" s="1032"/>
      <c r="K37" s="1033"/>
      <c r="P37" s="831"/>
      <c r="S37" s="988"/>
      <c r="V37" s="1041"/>
    </row>
    <row r="38" spans="8:22" s="697" customFormat="1" ht="18" customHeight="1">
      <c r="H38" s="1032"/>
      <c r="I38" s="1032"/>
      <c r="J38" s="1032"/>
      <c r="K38" s="1033"/>
      <c r="P38" s="831"/>
      <c r="S38" s="988"/>
      <c r="V38" s="1041"/>
    </row>
    <row r="39" spans="8:22" s="697" customFormat="1" ht="18" customHeight="1">
      <c r="H39" s="1032"/>
      <c r="I39" s="1032"/>
      <c r="J39" s="1032"/>
      <c r="K39" s="1033"/>
      <c r="P39" s="831"/>
      <c r="S39" s="988"/>
      <c r="V39" s="1041"/>
    </row>
    <row r="40" spans="8:22" s="697" customFormat="1" ht="18" customHeight="1">
      <c r="H40" s="1032"/>
      <c r="I40" s="1032"/>
      <c r="J40" s="1032"/>
      <c r="K40" s="1033"/>
      <c r="P40" s="831"/>
      <c r="S40" s="988"/>
      <c r="V40" s="1041"/>
    </row>
    <row r="41" spans="8:22" ht="18" customHeight="1"/>
    <row r="42" spans="8:22" ht="18" customHeight="1"/>
    <row r="43" spans="8:22" ht="18" customHeight="1"/>
    <row r="44" spans="8:22" ht="18" customHeight="1"/>
    <row r="45" spans="8:22" ht="18" customHeight="1"/>
    <row r="46" spans="8:22" ht="18" customHeight="1"/>
    <row r="47" spans="8:22" ht="18" customHeight="1"/>
  </sheetData>
  <mergeCells count="31">
    <mergeCell ref="P29:Q29"/>
    <mergeCell ref="N13:N14"/>
    <mergeCell ref="A19:H19"/>
    <mergeCell ref="J19:L19"/>
    <mergeCell ref="N19:Q19"/>
    <mergeCell ref="P12:P14"/>
    <mergeCell ref="Q12:Q14"/>
    <mergeCell ref="F13:F14"/>
    <mergeCell ref="G13:G14"/>
    <mergeCell ref="H13:H14"/>
    <mergeCell ref="I13:I14"/>
    <mergeCell ref="J13:J14"/>
    <mergeCell ref="K13:K14"/>
    <mergeCell ref="L13:L14"/>
    <mergeCell ref="M13:M14"/>
    <mergeCell ref="A9:Q9"/>
    <mergeCell ref="A12:A14"/>
    <mergeCell ref="B12:B14"/>
    <mergeCell ref="C12:C14"/>
    <mergeCell ref="D12:D14"/>
    <mergeCell ref="E12:E14"/>
    <mergeCell ref="F12:G12"/>
    <mergeCell ref="H12:J12"/>
    <mergeCell ref="K12:N12"/>
    <mergeCell ref="O12:O14"/>
    <mergeCell ref="A8:Q8"/>
    <mergeCell ref="A1:Q1"/>
    <mergeCell ref="A2:Q2"/>
    <mergeCell ref="A3:Q3"/>
    <mergeCell ref="A4:J4"/>
    <mergeCell ref="A5:J5"/>
  </mergeCells>
  <pageMargins left="0.19685039370078741" right="0.19685039370078741" top="0.39370078740157483" bottom="0.35433070866141736" header="0.31496062992125984" footer="0.31496062992125984"/>
  <pageSetup paperSize="9" scale="7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view="pageLayout" topLeftCell="A4" zoomScale="85" zoomScaleNormal="100" zoomScalePageLayoutView="85" workbookViewId="0">
      <selection sqref="A1:XFD1048576"/>
    </sheetView>
  </sheetViews>
  <sheetFormatPr defaultColWidth="9.25" defaultRowHeight="15"/>
  <cols>
    <col min="1" max="1" width="4.375" style="1942" customWidth="1"/>
    <col min="2" max="2" width="4.625" style="1949" customWidth="1"/>
    <col min="3" max="33" width="5.25" style="1935" customWidth="1"/>
    <col min="34" max="34" width="9.375" style="1935" customWidth="1"/>
    <col min="35" max="36" width="9.25" style="1935"/>
    <col min="37" max="37" width="9.375" style="1935" customWidth="1"/>
    <col min="38" max="16384" width="9.25" style="1935"/>
  </cols>
  <sheetData>
    <row r="1" spans="1:36" s="1934" customFormat="1" ht="14.25">
      <c r="A1" s="4571" t="s">
        <v>602</v>
      </c>
      <c r="B1" s="4571"/>
      <c r="C1" s="4571"/>
      <c r="D1" s="4571"/>
      <c r="E1" s="4571"/>
      <c r="F1" s="4571"/>
      <c r="G1" s="4571"/>
      <c r="H1" s="4571"/>
      <c r="I1" s="4571"/>
      <c r="J1" s="4571"/>
      <c r="U1" s="4571" t="s">
        <v>165</v>
      </c>
      <c r="V1" s="4571"/>
      <c r="W1" s="4571"/>
      <c r="X1" s="4571"/>
      <c r="Y1" s="4571"/>
      <c r="Z1" s="4571"/>
      <c r="AA1" s="4571"/>
      <c r="AB1" s="4571"/>
      <c r="AC1" s="4571"/>
      <c r="AD1" s="4571"/>
      <c r="AE1" s="4571"/>
      <c r="AF1" s="4571"/>
      <c r="AG1" s="4571"/>
      <c r="AH1" s="4571"/>
    </row>
    <row r="2" spans="1:36" s="1934" customFormat="1" ht="14.25">
      <c r="A2" s="4571" t="s">
        <v>541</v>
      </c>
      <c r="B2" s="4571"/>
      <c r="C2" s="4571"/>
      <c r="D2" s="4571"/>
      <c r="E2" s="4571"/>
      <c r="F2" s="4571"/>
      <c r="G2" s="4571"/>
      <c r="H2" s="4571"/>
      <c r="I2" s="4571"/>
      <c r="J2" s="4571"/>
      <c r="U2" s="4571" t="s">
        <v>171</v>
      </c>
      <c r="V2" s="4571"/>
      <c r="W2" s="4571"/>
      <c r="X2" s="4571"/>
      <c r="Y2" s="4571"/>
      <c r="Z2" s="4571"/>
      <c r="AA2" s="4571"/>
      <c r="AB2" s="4571"/>
      <c r="AC2" s="4571"/>
      <c r="AD2" s="4571"/>
      <c r="AE2" s="4571"/>
      <c r="AF2" s="4571"/>
      <c r="AG2" s="4571"/>
      <c r="AH2" s="4571"/>
    </row>
    <row r="3" spans="1:36" s="1934" customFormat="1" ht="14.25">
      <c r="A3" s="1952"/>
      <c r="B3" s="1952"/>
      <c r="C3" s="1952"/>
      <c r="D3" s="1952"/>
      <c r="E3" s="1952"/>
      <c r="F3" s="1952"/>
      <c r="G3" s="1952"/>
      <c r="H3" s="1952"/>
      <c r="I3" s="1952"/>
      <c r="J3" s="1952"/>
      <c r="U3" s="1952"/>
      <c r="V3" s="1952"/>
      <c r="W3" s="1952"/>
      <c r="X3" s="1952"/>
      <c r="Y3" s="1952"/>
      <c r="Z3" s="1952"/>
      <c r="AA3" s="1952"/>
      <c r="AB3" s="1952"/>
      <c r="AC3" s="1952"/>
      <c r="AD3" s="1952"/>
      <c r="AE3" s="1952"/>
      <c r="AF3" s="2154"/>
      <c r="AG3" s="1952"/>
      <c r="AH3" s="1952"/>
    </row>
    <row r="4" spans="1:36" s="1934" customFormat="1" ht="14.25">
      <c r="A4" s="1952"/>
      <c r="B4" s="1952"/>
      <c r="C4" s="1952"/>
      <c r="D4" s="1952"/>
      <c r="E4" s="1952"/>
      <c r="F4" s="1952"/>
      <c r="G4" s="1952"/>
      <c r="H4" s="1952"/>
      <c r="I4" s="1952"/>
      <c r="J4" s="1952"/>
      <c r="U4" s="1952"/>
      <c r="V4" s="1952"/>
      <c r="W4" s="1952"/>
      <c r="X4" s="1952"/>
      <c r="Y4" s="1952"/>
      <c r="Z4" s="1952"/>
      <c r="AA4" s="1952"/>
      <c r="AB4" s="1952"/>
      <c r="AC4" s="1952"/>
      <c r="AD4" s="1952"/>
      <c r="AE4" s="1952"/>
      <c r="AF4" s="2154"/>
      <c r="AG4" s="1952"/>
      <c r="AH4" s="1952"/>
    </row>
    <row r="5" spans="1:36" s="1934" customFormat="1" ht="14.25">
      <c r="A5" s="1952"/>
      <c r="B5" s="1952"/>
      <c r="C5" s="1952"/>
      <c r="D5" s="1952"/>
      <c r="E5" s="1952"/>
      <c r="F5" s="1952"/>
      <c r="G5" s="1952"/>
      <c r="H5" s="1952"/>
      <c r="I5" s="1952"/>
      <c r="J5" s="1952"/>
      <c r="U5" s="1952"/>
      <c r="V5" s="1952"/>
      <c r="W5" s="1952"/>
      <c r="X5" s="1952"/>
      <c r="Y5" s="1952"/>
      <c r="Z5" s="1952"/>
      <c r="AA5" s="1952"/>
      <c r="AB5" s="1952"/>
      <c r="AC5" s="1952"/>
      <c r="AD5" s="1952"/>
      <c r="AE5" s="1952"/>
      <c r="AF5" s="2154"/>
      <c r="AG5" s="1952"/>
      <c r="AH5" s="1952"/>
    </row>
    <row r="7" spans="1:36">
      <c r="A7" s="4571" t="s">
        <v>1172</v>
      </c>
      <c r="B7" s="4571"/>
      <c r="C7" s="4571"/>
      <c r="D7" s="4571"/>
      <c r="E7" s="4571"/>
      <c r="F7" s="4571"/>
      <c r="G7" s="4571"/>
      <c r="H7" s="4571"/>
      <c r="I7" s="4571"/>
      <c r="J7" s="4571"/>
      <c r="K7" s="4571"/>
      <c r="L7" s="4571"/>
      <c r="M7" s="4571"/>
      <c r="N7" s="4571"/>
      <c r="O7" s="4571"/>
      <c r="P7" s="4571"/>
      <c r="Q7" s="4571"/>
      <c r="R7" s="4571"/>
      <c r="S7" s="4571"/>
      <c r="T7" s="4571"/>
      <c r="U7" s="4571"/>
      <c r="V7" s="4571"/>
      <c r="W7" s="4571"/>
      <c r="X7" s="4571"/>
      <c r="Y7" s="4571"/>
      <c r="Z7" s="4571"/>
      <c r="AA7" s="4571"/>
      <c r="AB7" s="4571"/>
      <c r="AC7" s="4571"/>
      <c r="AD7" s="4571"/>
      <c r="AE7" s="4571"/>
      <c r="AF7" s="4571"/>
      <c r="AG7" s="4571"/>
      <c r="AH7" s="4571"/>
    </row>
    <row r="8" spans="1:36" s="1934" customFormat="1" ht="14.25">
      <c r="A8" s="1933" t="s">
        <v>1122</v>
      </c>
      <c r="B8" s="1947"/>
    </row>
    <row r="9" spans="1:36">
      <c r="A9" s="4572" t="s">
        <v>1</v>
      </c>
      <c r="B9" s="4573" t="s">
        <v>1133</v>
      </c>
      <c r="C9" s="4575" t="s">
        <v>829</v>
      </c>
      <c r="D9" s="4575"/>
      <c r="E9" s="4575"/>
      <c r="F9" s="4575"/>
      <c r="G9" s="4575"/>
      <c r="H9" s="4575"/>
      <c r="I9" s="4575"/>
      <c r="J9" s="4575"/>
      <c r="K9" s="4575"/>
      <c r="L9" s="4575"/>
      <c r="M9" s="4575"/>
      <c r="N9" s="4575"/>
      <c r="O9" s="4575"/>
      <c r="P9" s="4575"/>
      <c r="Q9" s="4575"/>
      <c r="R9" s="4575"/>
      <c r="S9" s="4575"/>
      <c r="T9" s="4575"/>
      <c r="U9" s="4575"/>
      <c r="V9" s="4575"/>
      <c r="W9" s="4575"/>
      <c r="X9" s="4575"/>
      <c r="Y9" s="4575"/>
      <c r="Z9" s="4575"/>
      <c r="AA9" s="4575"/>
      <c r="AB9" s="4575"/>
      <c r="AC9" s="4575"/>
      <c r="AD9" s="4575"/>
      <c r="AE9" s="4575"/>
      <c r="AF9" s="4575"/>
      <c r="AG9" s="4575"/>
      <c r="AH9" s="4576" t="s">
        <v>1123</v>
      </c>
    </row>
    <row r="10" spans="1:36">
      <c r="A10" s="4572"/>
      <c r="B10" s="4574"/>
      <c r="C10" s="1936">
        <v>1</v>
      </c>
      <c r="D10" s="1936">
        <v>2</v>
      </c>
      <c r="E10" s="1936">
        <v>3</v>
      </c>
      <c r="F10" s="1936">
        <v>4</v>
      </c>
      <c r="G10" s="1936">
        <v>5</v>
      </c>
      <c r="H10" s="1936">
        <v>6</v>
      </c>
      <c r="I10" s="1936">
        <v>7</v>
      </c>
      <c r="J10" s="1936">
        <v>8</v>
      </c>
      <c r="K10" s="1936">
        <v>9</v>
      </c>
      <c r="L10" s="1936">
        <v>10</v>
      </c>
      <c r="M10" s="1936">
        <v>11</v>
      </c>
      <c r="N10" s="1936">
        <v>12</v>
      </c>
      <c r="O10" s="1936">
        <v>13</v>
      </c>
      <c r="P10" s="1936">
        <v>14</v>
      </c>
      <c r="Q10" s="1936">
        <v>15</v>
      </c>
      <c r="R10" s="1936">
        <v>16</v>
      </c>
      <c r="S10" s="1936">
        <v>17</v>
      </c>
      <c r="T10" s="1936">
        <v>18</v>
      </c>
      <c r="U10" s="1936">
        <v>19</v>
      </c>
      <c r="V10" s="1936">
        <v>20</v>
      </c>
      <c r="W10" s="1936">
        <v>21</v>
      </c>
      <c r="X10" s="1936">
        <v>22</v>
      </c>
      <c r="Y10" s="1936">
        <v>23</v>
      </c>
      <c r="Z10" s="1936">
        <v>24</v>
      </c>
      <c r="AA10" s="1936">
        <v>25</v>
      </c>
      <c r="AB10" s="1936">
        <v>26</v>
      </c>
      <c r="AC10" s="1936">
        <v>27</v>
      </c>
      <c r="AD10" s="1936">
        <v>28</v>
      </c>
      <c r="AE10" s="1936">
        <v>29</v>
      </c>
      <c r="AF10" s="1936">
        <v>30</v>
      </c>
      <c r="AG10" s="1936">
        <v>31</v>
      </c>
      <c r="AH10" s="4576"/>
    </row>
    <row r="11" spans="1:36">
      <c r="A11" s="1937">
        <v>1</v>
      </c>
      <c r="B11" s="1948">
        <v>1</v>
      </c>
      <c r="C11" s="2159">
        <f>Mủ!D12</f>
        <v>0</v>
      </c>
      <c r="D11" s="2159">
        <f>Mủ!E12</f>
        <v>0</v>
      </c>
      <c r="E11" s="2159">
        <f>Mủ!F12</f>
        <v>0</v>
      </c>
      <c r="F11" s="2159">
        <f>Mủ!G12</f>
        <v>0</v>
      </c>
      <c r="G11" s="2159">
        <f>Mủ!H12</f>
        <v>0</v>
      </c>
      <c r="H11" s="2159">
        <f>Mủ!I12</f>
        <v>0</v>
      </c>
      <c r="I11" s="2159">
        <f>Mủ!J12</f>
        <v>0</v>
      </c>
      <c r="J11" s="2159">
        <f>Mủ!K12</f>
        <v>0</v>
      </c>
      <c r="K11" s="2159">
        <f>Mủ!L12</f>
        <v>0</v>
      </c>
      <c r="L11" s="2159">
        <f>Mủ!M12</f>
        <v>0</v>
      </c>
      <c r="M11" s="2159">
        <f>Mủ!N12</f>
        <v>0</v>
      </c>
      <c r="N11" s="2159">
        <f>Mủ!O12</f>
        <v>0</v>
      </c>
      <c r="O11" s="2159">
        <f>Mủ!P12</f>
        <v>0</v>
      </c>
      <c r="P11" s="2159">
        <f>Mủ!Q12</f>
        <v>0</v>
      </c>
      <c r="Q11" s="2159">
        <f>Mủ!R12</f>
        <v>0</v>
      </c>
      <c r="R11" s="2159">
        <f>Mủ!S12</f>
        <v>0</v>
      </c>
      <c r="S11" s="2159">
        <f>Mủ!T12</f>
        <v>0</v>
      </c>
      <c r="T11" s="2159">
        <f>Mủ!U12</f>
        <v>0</v>
      </c>
      <c r="U11" s="2159">
        <f>Mủ!V12</f>
        <v>0</v>
      </c>
      <c r="V11" s="2159">
        <f>Mủ!W12</f>
        <v>0</v>
      </c>
      <c r="W11" s="2159">
        <f>Mủ!X12</f>
        <v>0</v>
      </c>
      <c r="X11" s="2159">
        <f>Mủ!Y12</f>
        <v>0</v>
      </c>
      <c r="Y11" s="2159">
        <f>Mủ!Z12</f>
        <v>0</v>
      </c>
      <c r="Z11" s="2159">
        <f>Mủ!AA12</f>
        <v>851</v>
      </c>
      <c r="AA11" s="2159">
        <f>Mủ!AB12</f>
        <v>744</v>
      </c>
      <c r="AB11" s="2159">
        <f>Mủ!AC12</f>
        <v>1366</v>
      </c>
      <c r="AC11" s="2159">
        <f>Mủ!AD12</f>
        <v>1126</v>
      </c>
      <c r="AD11" s="2159">
        <f>Mủ!AE12</f>
        <v>1001</v>
      </c>
      <c r="AE11" s="2159" t="e">
        <f>Mủ!#REF!</f>
        <v>#REF!</v>
      </c>
      <c r="AF11" s="2159" t="e">
        <f>Mủ!#REF!</f>
        <v>#REF!</v>
      </c>
      <c r="AG11" s="2159" t="e">
        <f>Mủ!#REF!</f>
        <v>#REF!</v>
      </c>
      <c r="AH11" s="1938" t="e">
        <f>SUM(C11:AG11)</f>
        <v>#REF!</v>
      </c>
      <c r="AJ11" s="1939"/>
    </row>
    <row r="12" spans="1:36">
      <c r="A12" s="1937">
        <v>2</v>
      </c>
      <c r="B12" s="1948">
        <v>2</v>
      </c>
      <c r="C12" s="2159">
        <f>Mủ!D49</f>
        <v>0</v>
      </c>
      <c r="D12" s="2159">
        <f>Mủ!E49</f>
        <v>0</v>
      </c>
      <c r="E12" s="2159">
        <f>Mủ!F49</f>
        <v>0</v>
      </c>
      <c r="F12" s="2159">
        <f>Mủ!G49</f>
        <v>0</v>
      </c>
      <c r="G12" s="2159">
        <f>Mủ!H49</f>
        <v>0</v>
      </c>
      <c r="H12" s="2159">
        <f>Mủ!I49</f>
        <v>0</v>
      </c>
      <c r="I12" s="2159">
        <f>Mủ!J49</f>
        <v>0</v>
      </c>
      <c r="J12" s="2159">
        <f>Mủ!K49</f>
        <v>0</v>
      </c>
      <c r="K12" s="2159">
        <f>Mủ!L49</f>
        <v>0</v>
      </c>
      <c r="L12" s="2159">
        <f>Mủ!M49</f>
        <v>0</v>
      </c>
      <c r="M12" s="2159">
        <f>Mủ!N49</f>
        <v>0</v>
      </c>
      <c r="N12" s="2159">
        <f>Mủ!O49</f>
        <v>0</v>
      </c>
      <c r="O12" s="2159">
        <f>Mủ!P49</f>
        <v>0</v>
      </c>
      <c r="P12" s="2159">
        <f>Mủ!Q49</f>
        <v>0</v>
      </c>
      <c r="Q12" s="2159">
        <f>Mủ!R49</f>
        <v>0</v>
      </c>
      <c r="R12" s="2159">
        <f>Mủ!S49</f>
        <v>0</v>
      </c>
      <c r="S12" s="2159">
        <f>Mủ!T49</f>
        <v>0</v>
      </c>
      <c r="T12" s="2159">
        <f>Mủ!U49</f>
        <v>0</v>
      </c>
      <c r="U12" s="2159">
        <f>Mủ!V49</f>
        <v>0</v>
      </c>
      <c r="V12" s="2159">
        <f>Mủ!W49</f>
        <v>0</v>
      </c>
      <c r="W12" s="2159">
        <f>Mủ!X49</f>
        <v>0</v>
      </c>
      <c r="X12" s="2159">
        <f>Mủ!Y49</f>
        <v>0</v>
      </c>
      <c r="Y12" s="2159">
        <f>Mủ!Z49</f>
        <v>0</v>
      </c>
      <c r="Z12" s="2159">
        <f>Mủ!AA49</f>
        <v>0</v>
      </c>
      <c r="AA12" s="2159">
        <f>Mủ!AB49</f>
        <v>0</v>
      </c>
      <c r="AB12" s="2159">
        <f>Mủ!AC49</f>
        <v>0</v>
      </c>
      <c r="AC12" s="2159">
        <f>Mủ!AD49</f>
        <v>0</v>
      </c>
      <c r="AD12" s="2159">
        <f>Mủ!AE49</f>
        <v>0</v>
      </c>
      <c r="AE12" s="2159" t="e">
        <f>Mủ!#REF!</f>
        <v>#REF!</v>
      </c>
      <c r="AF12" s="2159" t="e">
        <f>Mủ!#REF!</f>
        <v>#REF!</v>
      </c>
      <c r="AG12" s="2159" t="e">
        <f>Mủ!#REF!</f>
        <v>#REF!</v>
      </c>
      <c r="AH12" s="1938" t="e">
        <f t="shared" ref="AH12:AH14" si="0">SUM(C12:AG12)</f>
        <v>#REF!</v>
      </c>
    </row>
    <row r="13" spans="1:36">
      <c r="A13" s="1937">
        <v>3</v>
      </c>
      <c r="B13" s="1948">
        <v>3</v>
      </c>
      <c r="C13" s="2159">
        <f>Mủ!D65</f>
        <v>0</v>
      </c>
      <c r="D13" s="2159">
        <f>Mủ!E65</f>
        <v>0</v>
      </c>
      <c r="E13" s="2159">
        <f>Mủ!F65</f>
        <v>0</v>
      </c>
      <c r="F13" s="2159">
        <f>Mủ!G65</f>
        <v>0</v>
      </c>
      <c r="G13" s="2159">
        <f>Mủ!H65</f>
        <v>0</v>
      </c>
      <c r="H13" s="2159">
        <f>Mủ!I65</f>
        <v>0</v>
      </c>
      <c r="I13" s="2159">
        <f>Mủ!J65</f>
        <v>0</v>
      </c>
      <c r="J13" s="2159">
        <f>Mủ!K65</f>
        <v>0</v>
      </c>
      <c r="K13" s="2159">
        <f>Mủ!L65</f>
        <v>0</v>
      </c>
      <c r="L13" s="2159">
        <f>Mủ!M65</f>
        <v>0</v>
      </c>
      <c r="M13" s="2159">
        <f>Mủ!N65</f>
        <v>0</v>
      </c>
      <c r="N13" s="2159">
        <f>Mủ!O65</f>
        <v>0</v>
      </c>
      <c r="O13" s="2159">
        <f>Mủ!P65</f>
        <v>0</v>
      </c>
      <c r="P13" s="2159">
        <f>Mủ!Q65</f>
        <v>0</v>
      </c>
      <c r="Q13" s="2159">
        <f>Mủ!R65</f>
        <v>0</v>
      </c>
      <c r="R13" s="2159">
        <f>Mủ!S65</f>
        <v>0</v>
      </c>
      <c r="S13" s="2159">
        <f>Mủ!T65</f>
        <v>0</v>
      </c>
      <c r="T13" s="2159">
        <f>Mủ!U65</f>
        <v>0</v>
      </c>
      <c r="U13" s="2159">
        <f>Mủ!V65</f>
        <v>0</v>
      </c>
      <c r="V13" s="2159">
        <f>Mủ!W65</f>
        <v>0</v>
      </c>
      <c r="W13" s="2159">
        <f>Mủ!X65</f>
        <v>0</v>
      </c>
      <c r="X13" s="2159">
        <f>Mủ!Y65</f>
        <v>0</v>
      </c>
      <c r="Y13" s="2159">
        <f>Mủ!Z65</f>
        <v>0</v>
      </c>
      <c r="Z13" s="2159">
        <f>Mủ!AA65</f>
        <v>0</v>
      </c>
      <c r="AA13" s="2159">
        <f>Mủ!AB65</f>
        <v>0</v>
      </c>
      <c r="AB13" s="2159">
        <f>Mủ!AC65</f>
        <v>0</v>
      </c>
      <c r="AC13" s="2159">
        <f>Mủ!AD65</f>
        <v>0</v>
      </c>
      <c r="AD13" s="2159">
        <f>Mủ!AE65</f>
        <v>24</v>
      </c>
      <c r="AE13" s="2159" t="e">
        <f>Mủ!#REF!</f>
        <v>#REF!</v>
      </c>
      <c r="AF13" s="2159" t="e">
        <f>Mủ!#REF!</f>
        <v>#REF!</v>
      </c>
      <c r="AG13" s="2159" t="e">
        <f>Mủ!#REF!</f>
        <v>#REF!</v>
      </c>
      <c r="AH13" s="1938" t="e">
        <f t="shared" si="0"/>
        <v>#REF!</v>
      </c>
    </row>
    <row r="14" spans="1:36">
      <c r="A14" s="4577" t="s">
        <v>21</v>
      </c>
      <c r="B14" s="4578"/>
      <c r="C14" s="1936">
        <f>SUM(C11:C13)</f>
        <v>0</v>
      </c>
      <c r="D14" s="1936">
        <f t="shared" ref="D14:AG14" si="1">SUM(D11:D13)</f>
        <v>0</v>
      </c>
      <c r="E14" s="1936">
        <f t="shared" si="1"/>
        <v>0</v>
      </c>
      <c r="F14" s="1936">
        <f t="shared" si="1"/>
        <v>0</v>
      </c>
      <c r="G14" s="1936">
        <f t="shared" si="1"/>
        <v>0</v>
      </c>
      <c r="H14" s="1936">
        <f t="shared" si="1"/>
        <v>0</v>
      </c>
      <c r="I14" s="1936">
        <f t="shared" si="1"/>
        <v>0</v>
      </c>
      <c r="J14" s="1936">
        <f t="shared" si="1"/>
        <v>0</v>
      </c>
      <c r="K14" s="1936">
        <f t="shared" si="1"/>
        <v>0</v>
      </c>
      <c r="L14" s="1936">
        <f t="shared" si="1"/>
        <v>0</v>
      </c>
      <c r="M14" s="1936">
        <f t="shared" si="1"/>
        <v>0</v>
      </c>
      <c r="N14" s="1936">
        <f t="shared" si="1"/>
        <v>0</v>
      </c>
      <c r="O14" s="1936">
        <f t="shared" si="1"/>
        <v>0</v>
      </c>
      <c r="P14" s="1936">
        <f t="shared" si="1"/>
        <v>0</v>
      </c>
      <c r="Q14" s="1936">
        <f t="shared" si="1"/>
        <v>0</v>
      </c>
      <c r="R14" s="1936">
        <f t="shared" si="1"/>
        <v>0</v>
      </c>
      <c r="S14" s="1936">
        <f t="shared" si="1"/>
        <v>0</v>
      </c>
      <c r="T14" s="1936">
        <f t="shared" si="1"/>
        <v>0</v>
      </c>
      <c r="U14" s="1936">
        <f t="shared" si="1"/>
        <v>0</v>
      </c>
      <c r="V14" s="1936">
        <f t="shared" si="1"/>
        <v>0</v>
      </c>
      <c r="W14" s="1936">
        <f t="shared" si="1"/>
        <v>0</v>
      </c>
      <c r="X14" s="1936">
        <f t="shared" si="1"/>
        <v>0</v>
      </c>
      <c r="Y14" s="1936">
        <f t="shared" si="1"/>
        <v>0</v>
      </c>
      <c r="Z14" s="1936">
        <f t="shared" si="1"/>
        <v>851</v>
      </c>
      <c r="AA14" s="1936">
        <f t="shared" si="1"/>
        <v>744</v>
      </c>
      <c r="AB14" s="1936">
        <f t="shared" si="1"/>
        <v>1366</v>
      </c>
      <c r="AC14" s="1936">
        <f t="shared" si="1"/>
        <v>1126</v>
      </c>
      <c r="AD14" s="1936">
        <f t="shared" si="1"/>
        <v>1025</v>
      </c>
      <c r="AE14" s="1936" t="e">
        <f t="shared" si="1"/>
        <v>#REF!</v>
      </c>
      <c r="AF14" s="1936" t="e">
        <f t="shared" si="1"/>
        <v>#REF!</v>
      </c>
      <c r="AG14" s="1936" t="e">
        <f t="shared" si="1"/>
        <v>#REF!</v>
      </c>
      <c r="AH14" s="1938" t="e">
        <f t="shared" si="0"/>
        <v>#REF!</v>
      </c>
    </row>
    <row r="16" spans="1:36" s="1934" customFormat="1" ht="14.25">
      <c r="A16" s="1933" t="s">
        <v>1124</v>
      </c>
      <c r="B16" s="1947"/>
    </row>
    <row r="17" spans="1:34" ht="15" customHeight="1">
      <c r="A17" s="4572" t="s">
        <v>1</v>
      </c>
      <c r="B17" s="4573" t="s">
        <v>1133</v>
      </c>
      <c r="C17" s="4575" t="s">
        <v>829</v>
      </c>
      <c r="D17" s="4575"/>
      <c r="E17" s="4575"/>
      <c r="F17" s="4575"/>
      <c r="G17" s="4575"/>
      <c r="H17" s="4575"/>
      <c r="I17" s="4575"/>
      <c r="J17" s="4575"/>
      <c r="K17" s="4575"/>
      <c r="L17" s="4575"/>
      <c r="M17" s="4575"/>
      <c r="N17" s="4575"/>
      <c r="O17" s="4575"/>
      <c r="P17" s="4575"/>
      <c r="Q17" s="4575"/>
      <c r="R17" s="4575"/>
      <c r="S17" s="4575"/>
      <c r="T17" s="4575"/>
      <c r="U17" s="4575"/>
      <c r="V17" s="4575"/>
      <c r="W17" s="4575"/>
      <c r="X17" s="4575"/>
      <c r="Y17" s="4575"/>
      <c r="Z17" s="4575"/>
      <c r="AA17" s="4575"/>
      <c r="AB17" s="4575"/>
      <c r="AC17" s="4575"/>
      <c r="AD17" s="4575"/>
      <c r="AE17" s="4575"/>
      <c r="AF17" s="4575"/>
      <c r="AG17" s="4575"/>
      <c r="AH17" s="4576" t="s">
        <v>1125</v>
      </c>
    </row>
    <row r="18" spans="1:34">
      <c r="A18" s="4572"/>
      <c r="B18" s="4574"/>
      <c r="C18" s="1936">
        <v>1</v>
      </c>
      <c r="D18" s="1936">
        <v>2</v>
      </c>
      <c r="E18" s="1936">
        <v>3</v>
      </c>
      <c r="F18" s="1936">
        <v>4</v>
      </c>
      <c r="G18" s="1936">
        <v>5</v>
      </c>
      <c r="H18" s="1936">
        <v>6</v>
      </c>
      <c r="I18" s="1936">
        <v>7</v>
      </c>
      <c r="J18" s="1936">
        <v>8</v>
      </c>
      <c r="K18" s="1936">
        <v>9</v>
      </c>
      <c r="L18" s="1936">
        <v>10</v>
      </c>
      <c r="M18" s="1936">
        <v>11</v>
      </c>
      <c r="N18" s="1936">
        <v>12</v>
      </c>
      <c r="O18" s="1936">
        <v>13</v>
      </c>
      <c r="P18" s="1936">
        <v>14</v>
      </c>
      <c r="Q18" s="1936">
        <v>15</v>
      </c>
      <c r="R18" s="1936">
        <v>16</v>
      </c>
      <c r="S18" s="1936">
        <v>17</v>
      </c>
      <c r="T18" s="1936">
        <v>18</v>
      </c>
      <c r="U18" s="1936">
        <v>19</v>
      </c>
      <c r="V18" s="1936">
        <v>20</v>
      </c>
      <c r="W18" s="1936">
        <v>21</v>
      </c>
      <c r="X18" s="1936">
        <v>22</v>
      </c>
      <c r="Y18" s="1936">
        <v>23</v>
      </c>
      <c r="Z18" s="1936">
        <v>24</v>
      </c>
      <c r="AA18" s="1936">
        <v>25</v>
      </c>
      <c r="AB18" s="1936">
        <v>26</v>
      </c>
      <c r="AC18" s="1936">
        <v>27</v>
      </c>
      <c r="AD18" s="1936">
        <v>28</v>
      </c>
      <c r="AE18" s="1936">
        <v>29</v>
      </c>
      <c r="AF18" s="1936">
        <v>30</v>
      </c>
      <c r="AG18" s="1936">
        <v>31</v>
      </c>
      <c r="AH18" s="4576"/>
    </row>
    <row r="19" spans="1:34">
      <c r="A19" s="1937">
        <v>1</v>
      </c>
      <c r="B19" s="1948">
        <v>1</v>
      </c>
      <c r="C19" s="1936"/>
      <c r="D19" s="1936"/>
      <c r="E19" s="1936"/>
      <c r="F19" s="1936"/>
      <c r="G19" s="1936"/>
      <c r="H19" s="1936"/>
      <c r="I19" s="1936"/>
      <c r="J19" s="1936"/>
      <c r="K19" s="1936"/>
      <c r="L19" s="1936"/>
      <c r="M19" s="1936"/>
      <c r="N19" s="1936"/>
      <c r="O19" s="1936"/>
      <c r="P19" s="1936"/>
      <c r="Q19" s="1936"/>
      <c r="R19" s="1936"/>
      <c r="S19" s="1936"/>
      <c r="T19" s="1936"/>
      <c r="U19" s="1936"/>
      <c r="V19" s="1936"/>
      <c r="W19" s="1936"/>
      <c r="X19" s="1936"/>
      <c r="Y19" s="1936"/>
      <c r="Z19" s="1936"/>
      <c r="AA19" s="1936"/>
      <c r="AB19" s="1936"/>
      <c r="AC19" s="1936"/>
      <c r="AD19" s="1936"/>
      <c r="AE19" s="1936"/>
      <c r="AF19" s="1936"/>
      <c r="AG19" s="1936"/>
      <c r="AH19" s="1938">
        <f t="shared" ref="AH19:AH22" si="2">SUM(C19:AG19)</f>
        <v>0</v>
      </c>
    </row>
    <row r="20" spans="1:34">
      <c r="A20" s="1937">
        <v>2</v>
      </c>
      <c r="B20" s="1948">
        <v>2</v>
      </c>
      <c r="C20" s="1936"/>
      <c r="D20" s="1936"/>
      <c r="E20" s="1936"/>
      <c r="F20" s="1936"/>
      <c r="G20" s="1936"/>
      <c r="H20" s="1936"/>
      <c r="I20" s="1936"/>
      <c r="J20" s="1936"/>
      <c r="K20" s="1936"/>
      <c r="L20" s="1936"/>
      <c r="M20" s="1936"/>
      <c r="N20" s="1936"/>
      <c r="O20" s="1936"/>
      <c r="P20" s="1936"/>
      <c r="Q20" s="1936"/>
      <c r="R20" s="1936"/>
      <c r="S20" s="1936"/>
      <c r="T20" s="1936"/>
      <c r="U20" s="1936"/>
      <c r="V20" s="1936"/>
      <c r="W20" s="1936"/>
      <c r="X20" s="1936"/>
      <c r="Y20" s="1936"/>
      <c r="Z20" s="1936"/>
      <c r="AA20" s="1936"/>
      <c r="AB20" s="1936"/>
      <c r="AC20" s="1936"/>
      <c r="AD20" s="1936"/>
      <c r="AE20" s="1936"/>
      <c r="AF20" s="1936"/>
      <c r="AG20" s="1936"/>
      <c r="AH20" s="1938">
        <f t="shared" si="2"/>
        <v>0</v>
      </c>
    </row>
    <row r="21" spans="1:34">
      <c r="A21" s="1937">
        <v>3</v>
      </c>
      <c r="B21" s="1948">
        <v>3</v>
      </c>
      <c r="C21" s="1936"/>
      <c r="D21" s="1936"/>
      <c r="E21" s="1936"/>
      <c r="F21" s="1936"/>
      <c r="G21" s="1936"/>
      <c r="H21" s="1936"/>
      <c r="I21" s="1936"/>
      <c r="J21" s="1936"/>
      <c r="K21" s="1936"/>
      <c r="L21" s="1936"/>
      <c r="M21" s="1936"/>
      <c r="N21" s="1936"/>
      <c r="O21" s="1936"/>
      <c r="P21" s="1936"/>
      <c r="Q21" s="1936"/>
      <c r="R21" s="1936"/>
      <c r="S21" s="1936"/>
      <c r="T21" s="1936"/>
      <c r="U21" s="1936"/>
      <c r="V21" s="1936"/>
      <c r="W21" s="1936"/>
      <c r="X21" s="1936"/>
      <c r="Y21" s="1936"/>
      <c r="Z21" s="1936"/>
      <c r="AA21" s="1936"/>
      <c r="AB21" s="1936"/>
      <c r="AC21" s="1936"/>
      <c r="AD21" s="1936"/>
      <c r="AE21" s="1936"/>
      <c r="AF21" s="1936"/>
      <c r="AG21" s="1936"/>
      <c r="AH21" s="1938">
        <f t="shared" si="2"/>
        <v>0</v>
      </c>
    </row>
    <row r="22" spans="1:34">
      <c r="A22" s="4577" t="s">
        <v>21</v>
      </c>
      <c r="B22" s="4578"/>
      <c r="C22" s="1936">
        <f t="shared" ref="C22:AG22" si="3">SUM(C19:C21)</f>
        <v>0</v>
      </c>
      <c r="D22" s="1936">
        <f t="shared" si="3"/>
        <v>0</v>
      </c>
      <c r="E22" s="1936">
        <f t="shared" si="3"/>
        <v>0</v>
      </c>
      <c r="F22" s="1936">
        <f t="shared" si="3"/>
        <v>0</v>
      </c>
      <c r="G22" s="1936">
        <f t="shared" si="3"/>
        <v>0</v>
      </c>
      <c r="H22" s="1936">
        <f t="shared" si="3"/>
        <v>0</v>
      </c>
      <c r="I22" s="1936">
        <f t="shared" si="3"/>
        <v>0</v>
      </c>
      <c r="J22" s="1936">
        <f t="shared" si="3"/>
        <v>0</v>
      </c>
      <c r="K22" s="1936">
        <f t="shared" si="3"/>
        <v>0</v>
      </c>
      <c r="L22" s="1936">
        <f t="shared" si="3"/>
        <v>0</v>
      </c>
      <c r="M22" s="1936">
        <f t="shared" si="3"/>
        <v>0</v>
      </c>
      <c r="N22" s="1936">
        <f t="shared" si="3"/>
        <v>0</v>
      </c>
      <c r="O22" s="1936">
        <f t="shared" si="3"/>
        <v>0</v>
      </c>
      <c r="P22" s="1936">
        <f t="shared" si="3"/>
        <v>0</v>
      </c>
      <c r="Q22" s="1936">
        <f t="shared" si="3"/>
        <v>0</v>
      </c>
      <c r="R22" s="1936">
        <f t="shared" si="3"/>
        <v>0</v>
      </c>
      <c r="S22" s="1936">
        <f t="shared" si="3"/>
        <v>0</v>
      </c>
      <c r="T22" s="1936">
        <f t="shared" si="3"/>
        <v>0</v>
      </c>
      <c r="U22" s="1936">
        <f t="shared" si="3"/>
        <v>0</v>
      </c>
      <c r="V22" s="1936">
        <f t="shared" si="3"/>
        <v>0</v>
      </c>
      <c r="W22" s="1936">
        <f t="shared" si="3"/>
        <v>0</v>
      </c>
      <c r="X22" s="1936">
        <f t="shared" si="3"/>
        <v>0</v>
      </c>
      <c r="Y22" s="1936">
        <f t="shared" si="3"/>
        <v>0</v>
      </c>
      <c r="Z22" s="1936">
        <f t="shared" si="3"/>
        <v>0</v>
      </c>
      <c r="AA22" s="1936">
        <f t="shared" si="3"/>
        <v>0</v>
      </c>
      <c r="AB22" s="1936">
        <f t="shared" si="3"/>
        <v>0</v>
      </c>
      <c r="AC22" s="1936">
        <f t="shared" si="3"/>
        <v>0</v>
      </c>
      <c r="AD22" s="1936">
        <f t="shared" si="3"/>
        <v>0</v>
      </c>
      <c r="AE22" s="1936">
        <f t="shared" si="3"/>
        <v>0</v>
      </c>
      <c r="AF22" s="1936"/>
      <c r="AG22" s="1936">
        <f t="shared" si="3"/>
        <v>0</v>
      </c>
      <c r="AH22" s="1938">
        <f t="shared" si="2"/>
        <v>0</v>
      </c>
    </row>
    <row r="23" spans="1:34">
      <c r="A23" s="1940"/>
      <c r="B23" s="4584" t="s">
        <v>1126</v>
      </c>
      <c r="C23" s="4584"/>
      <c r="D23" s="4585" t="e">
        <f>+AH14</f>
        <v>#REF!</v>
      </c>
      <c r="E23" s="4585"/>
      <c r="F23" s="1941" t="s">
        <v>1127</v>
      </c>
      <c r="G23" s="1941" t="s">
        <v>1128</v>
      </c>
      <c r="H23" s="1941"/>
      <c r="I23" s="1941">
        <v>40</v>
      </c>
      <c r="J23" s="1941" t="s">
        <v>1129</v>
      </c>
      <c r="K23" s="1941"/>
      <c r="L23" s="1941"/>
      <c r="M23" s="1941"/>
      <c r="N23" s="1941"/>
      <c r="O23" s="1941"/>
      <c r="P23" s="1941"/>
      <c r="Q23" s="1941"/>
      <c r="R23" s="1941"/>
      <c r="S23" s="1941"/>
      <c r="T23" s="1941"/>
      <c r="U23" s="1941"/>
      <c r="V23" s="1941"/>
      <c r="W23" s="1941"/>
      <c r="X23" s="1941"/>
      <c r="Y23" s="1941"/>
      <c r="Z23" s="1941"/>
      <c r="AA23" s="1941"/>
      <c r="AB23" s="1941"/>
      <c r="AC23" s="1941"/>
      <c r="AD23" s="1941"/>
      <c r="AE23" s="1941"/>
      <c r="AF23" s="1941"/>
      <c r="AG23" s="1941"/>
      <c r="AH23" s="1941"/>
    </row>
    <row r="24" spans="1:34">
      <c r="A24" s="1940"/>
      <c r="B24" s="4580" t="s">
        <v>1130</v>
      </c>
      <c r="C24" s="4580"/>
      <c r="D24" s="4581">
        <f>+AH22</f>
        <v>0</v>
      </c>
      <c r="E24" s="4581"/>
      <c r="F24" s="1941" t="s">
        <v>1127</v>
      </c>
      <c r="G24" s="1941" t="s">
        <v>1128</v>
      </c>
      <c r="H24" s="1941"/>
      <c r="I24" s="1941"/>
      <c r="J24" s="1941" t="s">
        <v>1129</v>
      </c>
      <c r="K24" s="1941"/>
      <c r="L24" s="1941"/>
      <c r="M24" s="1941"/>
      <c r="N24" s="1941"/>
      <c r="O24" s="1941"/>
      <c r="P24" s="1941"/>
      <c r="Q24" s="1941"/>
      <c r="R24" s="1941"/>
      <c r="S24" s="1941"/>
      <c r="T24" s="1941"/>
      <c r="U24" s="1941"/>
      <c r="V24" s="1941"/>
      <c r="W24" s="1941"/>
      <c r="X24" s="1941"/>
      <c r="Y24" s="1941"/>
      <c r="Z24" s="1941"/>
      <c r="AA24" s="1941"/>
      <c r="AB24" s="1941"/>
      <c r="AC24" s="1941"/>
      <c r="AD24" s="1941"/>
      <c r="AE24" s="1941"/>
      <c r="AF24" s="1941"/>
      <c r="AG24" s="1941"/>
      <c r="AH24" s="1941"/>
    </row>
    <row r="25" spans="1:34">
      <c r="B25" s="4582" t="s">
        <v>1131</v>
      </c>
      <c r="C25" s="4582"/>
      <c r="D25" s="4583" t="e">
        <f>+(D23*I23+D24*I24)/100</f>
        <v>#REF!</v>
      </c>
      <c r="E25" s="4583"/>
      <c r="F25" s="1943" t="s">
        <v>1127</v>
      </c>
      <c r="Y25" s="4586" t="s">
        <v>1173</v>
      </c>
      <c r="Z25" s="4586"/>
      <c r="AA25" s="4586"/>
      <c r="AB25" s="4586"/>
      <c r="AC25" s="4586"/>
      <c r="AD25" s="4586"/>
      <c r="AE25" s="4586"/>
      <c r="AF25" s="4586"/>
      <c r="AG25" s="4586"/>
      <c r="AH25" s="4586"/>
    </row>
    <row r="27" spans="1:34" s="1934" customFormat="1" ht="14.25" customHeight="1">
      <c r="A27" s="4579" t="s">
        <v>46</v>
      </c>
      <c r="B27" s="4579"/>
      <c r="C27" s="4579"/>
      <c r="D27" s="4579"/>
      <c r="E27" s="4579"/>
      <c r="F27" s="4579"/>
      <c r="G27" s="4579"/>
      <c r="H27" s="1945"/>
      <c r="I27" s="1945"/>
      <c r="J27" s="1945"/>
      <c r="K27" s="1945"/>
      <c r="N27" s="4571" t="s">
        <v>1132</v>
      </c>
      <c r="O27" s="4571"/>
      <c r="P27" s="4571"/>
      <c r="Q27" s="4571"/>
      <c r="R27" s="4571"/>
      <c r="S27" s="4571"/>
      <c r="T27" s="1945"/>
      <c r="U27" s="1945"/>
      <c r="V27" s="1945"/>
      <c r="W27" s="1945"/>
      <c r="X27" s="1945"/>
      <c r="Y27" s="1945"/>
      <c r="Z27" s="1945"/>
      <c r="AA27" s="4571" t="s">
        <v>541</v>
      </c>
      <c r="AB27" s="4571"/>
      <c r="AC27" s="4571"/>
      <c r="AD27" s="4571"/>
      <c r="AE27" s="4571"/>
      <c r="AF27" s="4571"/>
      <c r="AG27" s="4571"/>
      <c r="AH27" s="4571"/>
    </row>
    <row r="28" spans="1:34" s="1934" customFormat="1" ht="14.25">
      <c r="A28" s="1944"/>
      <c r="B28" s="1946"/>
      <c r="C28" s="1946"/>
      <c r="D28" s="1946"/>
      <c r="V28" s="1945"/>
      <c r="X28" s="1945"/>
      <c r="Y28" s="1945"/>
      <c r="Z28" s="1945"/>
      <c r="AA28" s="1945"/>
      <c r="AB28" s="1945"/>
      <c r="AC28" s="1945"/>
      <c r="AD28" s="1945"/>
      <c r="AE28" s="1945"/>
      <c r="AF28" s="1945"/>
      <c r="AG28" s="1945"/>
      <c r="AH28" s="1945"/>
    </row>
  </sheetData>
  <mergeCells count="25">
    <mergeCell ref="A14:B14"/>
    <mergeCell ref="A22:B22"/>
    <mergeCell ref="AA27:AH27"/>
    <mergeCell ref="N27:S27"/>
    <mergeCell ref="A27:G27"/>
    <mergeCell ref="B24:C24"/>
    <mergeCell ref="D24:E24"/>
    <mergeCell ref="B25:C25"/>
    <mergeCell ref="D25:E25"/>
    <mergeCell ref="A17:A18"/>
    <mergeCell ref="B17:B18"/>
    <mergeCell ref="C17:AG17"/>
    <mergeCell ref="AH17:AH18"/>
    <mergeCell ref="B23:C23"/>
    <mergeCell ref="D23:E23"/>
    <mergeCell ref="Y25:AH25"/>
    <mergeCell ref="U1:AH1"/>
    <mergeCell ref="U2:AH2"/>
    <mergeCell ref="A7:AH7"/>
    <mergeCell ref="A9:A10"/>
    <mergeCell ref="B9:B10"/>
    <mergeCell ref="C9:AG9"/>
    <mergeCell ref="AH9:AH10"/>
    <mergeCell ref="A2:J2"/>
    <mergeCell ref="A1:J1"/>
  </mergeCells>
  <pageMargins left="0.7" right="0.7" top="0.5" bottom="0.75" header="0.3" footer="0.3"/>
  <pageSetup paperSize="9" scale="6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sqref="A1:XFD1048576"/>
    </sheetView>
  </sheetViews>
  <sheetFormatPr defaultColWidth="9.25" defaultRowHeight="15"/>
  <cols>
    <col min="1" max="1" width="4.375" style="1942" customWidth="1"/>
    <col min="2" max="2" width="4.625" style="1949" customWidth="1"/>
    <col min="3" max="33" width="5.25" style="1935" customWidth="1"/>
    <col min="34" max="34" width="9.375" style="1935" customWidth="1"/>
    <col min="35" max="36" width="9.25" style="1935"/>
    <col min="37" max="37" width="9.375" style="1935" customWidth="1"/>
    <col min="38" max="16384" width="9.25" style="1935"/>
  </cols>
  <sheetData>
    <row r="1" spans="1:36" s="1934" customFormat="1" ht="14.25">
      <c r="A1" s="4571" t="s">
        <v>602</v>
      </c>
      <c r="B1" s="4571"/>
      <c r="C1" s="4571"/>
      <c r="D1" s="4571"/>
      <c r="E1" s="4571"/>
      <c r="F1" s="4571"/>
      <c r="G1" s="4571"/>
      <c r="H1" s="4571"/>
      <c r="I1" s="4571"/>
      <c r="J1" s="4571"/>
      <c r="U1" s="4571" t="s">
        <v>165</v>
      </c>
      <c r="V1" s="4571"/>
      <c r="W1" s="4571"/>
      <c r="X1" s="4571"/>
      <c r="Y1" s="4571"/>
      <c r="Z1" s="4571"/>
      <c r="AA1" s="4571"/>
      <c r="AB1" s="4571"/>
      <c r="AC1" s="4571"/>
      <c r="AD1" s="4571"/>
      <c r="AE1" s="4571"/>
      <c r="AF1" s="4571"/>
      <c r="AG1" s="4571"/>
      <c r="AH1" s="4571"/>
    </row>
    <row r="2" spans="1:36" s="1934" customFormat="1" ht="14.25">
      <c r="A2" s="4571" t="s">
        <v>541</v>
      </c>
      <c r="B2" s="4571"/>
      <c r="C2" s="4571"/>
      <c r="D2" s="4571"/>
      <c r="E2" s="4571"/>
      <c r="F2" s="4571"/>
      <c r="G2" s="4571"/>
      <c r="H2" s="4571"/>
      <c r="I2" s="4571"/>
      <c r="J2" s="4571"/>
      <c r="U2" s="4571" t="s">
        <v>171</v>
      </c>
      <c r="V2" s="4571"/>
      <c r="W2" s="4571"/>
      <c r="X2" s="4571"/>
      <c r="Y2" s="4571"/>
      <c r="Z2" s="4571"/>
      <c r="AA2" s="4571"/>
      <c r="AB2" s="4571"/>
      <c r="AC2" s="4571"/>
      <c r="AD2" s="4571"/>
      <c r="AE2" s="4571"/>
      <c r="AF2" s="4571"/>
      <c r="AG2" s="4571"/>
      <c r="AH2" s="4571"/>
    </row>
    <row r="3" spans="1:36" s="1934" customFormat="1" ht="14.25">
      <c r="A3" s="2154"/>
      <c r="B3" s="2154"/>
      <c r="C3" s="2154"/>
      <c r="D3" s="2154"/>
      <c r="E3" s="2154"/>
      <c r="F3" s="2154"/>
      <c r="G3" s="2154"/>
      <c r="H3" s="2154"/>
      <c r="I3" s="2154"/>
      <c r="J3" s="2154"/>
      <c r="U3" s="2154"/>
      <c r="V3" s="2154"/>
      <c r="W3" s="2154"/>
      <c r="X3" s="2154"/>
      <c r="Y3" s="2154"/>
      <c r="Z3" s="2154"/>
      <c r="AA3" s="2154"/>
      <c r="AB3" s="2154"/>
      <c r="AC3" s="2154"/>
      <c r="AD3" s="2154"/>
      <c r="AE3" s="2154"/>
      <c r="AF3" s="2154"/>
      <c r="AG3" s="2154"/>
      <c r="AH3" s="2154"/>
    </row>
    <row r="4" spans="1:36" s="1934" customFormat="1" ht="14.25">
      <c r="A4" s="2154"/>
      <c r="B4" s="2154"/>
      <c r="C4" s="2154"/>
      <c r="D4" s="2154"/>
      <c r="E4" s="2154"/>
      <c r="F4" s="2154"/>
      <c r="G4" s="2154"/>
      <c r="H4" s="2154"/>
      <c r="I4" s="2154"/>
      <c r="J4" s="2154"/>
      <c r="U4" s="2154"/>
      <c r="V4" s="2154"/>
      <c r="W4" s="2154"/>
      <c r="X4" s="2154"/>
      <c r="Y4" s="2154"/>
      <c r="Z4" s="2154"/>
      <c r="AA4" s="2154"/>
      <c r="AB4" s="2154"/>
      <c r="AC4" s="2154"/>
      <c r="AD4" s="2154"/>
      <c r="AE4" s="2154"/>
      <c r="AF4" s="2154"/>
      <c r="AG4" s="2154"/>
      <c r="AH4" s="2154"/>
    </row>
    <row r="5" spans="1:36" s="1934" customFormat="1" ht="14.25">
      <c r="A5" s="2154"/>
      <c r="B5" s="2154"/>
      <c r="C5" s="2154"/>
      <c r="D5" s="2154"/>
      <c r="E5" s="2154"/>
      <c r="F5" s="2154"/>
      <c r="G5" s="2154"/>
      <c r="H5" s="2154"/>
      <c r="I5" s="2154"/>
      <c r="J5" s="2154"/>
      <c r="U5" s="2154"/>
      <c r="V5" s="2154"/>
      <c r="W5" s="2154"/>
      <c r="X5" s="2154"/>
      <c r="Y5" s="2154"/>
      <c r="Z5" s="2154"/>
      <c r="AA5" s="2154"/>
      <c r="AB5" s="2154"/>
      <c r="AC5" s="2154"/>
      <c r="AD5" s="2154"/>
      <c r="AE5" s="2154"/>
      <c r="AF5" s="2154"/>
      <c r="AG5" s="2154"/>
      <c r="AH5" s="2154"/>
    </row>
    <row r="7" spans="1:36">
      <c r="A7" s="4571" t="s">
        <v>1175</v>
      </c>
      <c r="B7" s="4571"/>
      <c r="C7" s="4571"/>
      <c r="D7" s="4571"/>
      <c r="E7" s="4571"/>
      <c r="F7" s="4571"/>
      <c r="G7" s="4571"/>
      <c r="H7" s="4571"/>
      <c r="I7" s="4571"/>
      <c r="J7" s="4571"/>
      <c r="K7" s="4571"/>
      <c r="L7" s="4571"/>
      <c r="M7" s="4571"/>
      <c r="N7" s="4571"/>
      <c r="O7" s="4571"/>
      <c r="P7" s="4571"/>
      <c r="Q7" s="4571"/>
      <c r="R7" s="4571"/>
      <c r="S7" s="4571"/>
      <c r="T7" s="4571"/>
      <c r="U7" s="4571"/>
      <c r="V7" s="4571"/>
      <c r="W7" s="4571"/>
      <c r="X7" s="4571"/>
      <c r="Y7" s="4571"/>
      <c r="Z7" s="4571"/>
      <c r="AA7" s="4571"/>
      <c r="AB7" s="4571"/>
      <c r="AC7" s="4571"/>
      <c r="AD7" s="4571"/>
      <c r="AE7" s="4571"/>
      <c r="AF7" s="4571"/>
      <c r="AG7" s="4571"/>
      <c r="AH7" s="4571"/>
    </row>
    <row r="8" spans="1:36" s="1934" customFormat="1" ht="14.25">
      <c r="A8" s="1933" t="s">
        <v>1122</v>
      </c>
      <c r="B8" s="1947"/>
    </row>
    <row r="9" spans="1:36">
      <c r="A9" s="4572" t="s">
        <v>1</v>
      </c>
      <c r="B9" s="4573" t="s">
        <v>1133</v>
      </c>
      <c r="C9" s="4575" t="s">
        <v>829</v>
      </c>
      <c r="D9" s="4575"/>
      <c r="E9" s="4575"/>
      <c r="F9" s="4575"/>
      <c r="G9" s="4575"/>
      <c r="H9" s="4575"/>
      <c r="I9" s="4575"/>
      <c r="J9" s="4575"/>
      <c r="K9" s="4575"/>
      <c r="L9" s="4575"/>
      <c r="M9" s="4575"/>
      <c r="N9" s="4575"/>
      <c r="O9" s="4575"/>
      <c r="P9" s="4575"/>
      <c r="Q9" s="4575"/>
      <c r="R9" s="4575"/>
      <c r="S9" s="4575"/>
      <c r="T9" s="4575"/>
      <c r="U9" s="4575"/>
      <c r="V9" s="4575"/>
      <c r="W9" s="4575"/>
      <c r="X9" s="4575"/>
      <c r="Y9" s="4575"/>
      <c r="Z9" s="4575"/>
      <c r="AA9" s="4575"/>
      <c r="AB9" s="4575"/>
      <c r="AC9" s="4575"/>
      <c r="AD9" s="4575"/>
      <c r="AE9" s="4575"/>
      <c r="AF9" s="4575"/>
      <c r="AG9" s="4575"/>
      <c r="AH9" s="4576" t="s">
        <v>1123</v>
      </c>
    </row>
    <row r="10" spans="1:36">
      <c r="A10" s="4572"/>
      <c r="B10" s="4574"/>
      <c r="C10" s="1936">
        <v>1</v>
      </c>
      <c r="D10" s="1936">
        <v>2</v>
      </c>
      <c r="E10" s="1936">
        <v>3</v>
      </c>
      <c r="F10" s="1936">
        <v>4</v>
      </c>
      <c r="G10" s="1936">
        <v>5</v>
      </c>
      <c r="H10" s="1936">
        <v>6</v>
      </c>
      <c r="I10" s="1936">
        <v>7</v>
      </c>
      <c r="J10" s="1936">
        <v>8</v>
      </c>
      <c r="K10" s="1936">
        <v>9</v>
      </c>
      <c r="L10" s="1936">
        <v>10</v>
      </c>
      <c r="M10" s="1936">
        <v>11</v>
      </c>
      <c r="N10" s="1936">
        <v>12</v>
      </c>
      <c r="O10" s="1936">
        <v>13</v>
      </c>
      <c r="P10" s="1936">
        <v>14</v>
      </c>
      <c r="Q10" s="1936">
        <v>15</v>
      </c>
      <c r="R10" s="1936">
        <v>16</v>
      </c>
      <c r="S10" s="1936">
        <v>17</v>
      </c>
      <c r="T10" s="1936">
        <v>18</v>
      </c>
      <c r="U10" s="1936">
        <v>19</v>
      </c>
      <c r="V10" s="1936">
        <v>20</v>
      </c>
      <c r="W10" s="1936">
        <v>21</v>
      </c>
      <c r="X10" s="1936">
        <v>22</v>
      </c>
      <c r="Y10" s="1936">
        <v>23</v>
      </c>
      <c r="Z10" s="1936">
        <v>24</v>
      </c>
      <c r="AA10" s="1936">
        <v>25</v>
      </c>
      <c r="AB10" s="1936">
        <v>26</v>
      </c>
      <c r="AC10" s="1936">
        <v>27</v>
      </c>
      <c r="AD10" s="1936">
        <v>28</v>
      </c>
      <c r="AE10" s="1936">
        <v>29</v>
      </c>
      <c r="AF10" s="1936">
        <v>30</v>
      </c>
      <c r="AG10" s="1936">
        <v>31</v>
      </c>
      <c r="AH10" s="4576"/>
    </row>
    <row r="11" spans="1:36">
      <c r="A11" s="2155">
        <v>1</v>
      </c>
      <c r="B11" s="1948">
        <v>1</v>
      </c>
      <c r="C11" s="2159" t="str">
        <f>'Chấm công công nhân'!M11</f>
        <v>D</v>
      </c>
      <c r="D11" s="2159" t="str">
        <f>'Chấm công công nhân'!N11</f>
        <v>A</v>
      </c>
      <c r="E11" s="2159" t="str">
        <f>'Chấm công công nhân'!O11</f>
        <v>B</v>
      </c>
      <c r="F11" s="2159" t="str">
        <f>'Chấm công công nhân'!P11</f>
        <v>C</v>
      </c>
      <c r="G11" s="2159" t="str">
        <f>'Chấm công công nhân'!Q11</f>
        <v>D</v>
      </c>
      <c r="H11" s="2159" t="str">
        <f>'Chấm công công nhân'!R11</f>
        <v>A</v>
      </c>
      <c r="I11" s="2159" t="str">
        <f>'Chấm công công nhân'!S11</f>
        <v>B</v>
      </c>
      <c r="J11" s="2159" t="str">
        <f>'Chấm công công nhân'!T11</f>
        <v>C</v>
      </c>
      <c r="K11" s="2159" t="str">
        <f>'Chấm công công nhân'!U11</f>
        <v>D</v>
      </c>
      <c r="L11" s="2159" t="str">
        <f>'Chấm công công nhân'!V11</f>
        <v>A</v>
      </c>
      <c r="M11" s="2159" t="str">
        <f>'Chấm công công nhân'!W11</f>
        <v>B</v>
      </c>
      <c r="N11" s="2159" t="str">
        <f>'Chấm công công nhân'!X11</f>
        <v>C</v>
      </c>
      <c r="O11" s="2159" t="str">
        <f>'Chấm công công nhân'!Y11</f>
        <v>D</v>
      </c>
      <c r="P11" s="2159" t="str">
        <f>'Chấm công công nhân'!Z11</f>
        <v>A</v>
      </c>
      <c r="Q11" s="2159" t="str">
        <f>'Chấm công công nhân'!AA11</f>
        <v>B</v>
      </c>
      <c r="R11" s="2159" t="str">
        <f>'Chấm công công nhân'!AB11</f>
        <v>C</v>
      </c>
      <c r="S11" s="2159" t="str">
        <f>'Chấm công công nhân'!AC11</f>
        <v>D</v>
      </c>
      <c r="T11" s="2159" t="str">
        <f>'Chấm công công nhân'!AD11</f>
        <v>A</v>
      </c>
      <c r="U11" s="2159" t="str">
        <f>'Chấm công công nhân'!AE11</f>
        <v>B</v>
      </c>
      <c r="V11" s="2159" t="str">
        <f>'Chấm công công nhân'!AF11</f>
        <v>C</v>
      </c>
      <c r="W11" s="2159" t="str">
        <f>'Chấm công công nhân'!AG11</f>
        <v>D</v>
      </c>
      <c r="X11" s="2159" t="str">
        <f>'Chấm công công nhân'!AH11</f>
        <v>A</v>
      </c>
      <c r="Y11" s="2159" t="str">
        <f>'Chấm công công nhân'!AI11</f>
        <v>B</v>
      </c>
      <c r="Z11" s="2159" t="str">
        <f>'Chấm công công nhân'!AJ11</f>
        <v>C</v>
      </c>
      <c r="AA11" s="2159" t="str">
        <f>'Chấm công công nhân'!AK11</f>
        <v>D</v>
      </c>
      <c r="AB11" s="2159" t="str">
        <f>'Chấm công công nhân'!AL11</f>
        <v>A</v>
      </c>
      <c r="AC11" s="2159" t="str">
        <f>'Chấm công công nhân'!AM11</f>
        <v>B</v>
      </c>
      <c r="AD11" s="2159" t="str">
        <f>'Chấm công công nhân'!AN11</f>
        <v>C</v>
      </c>
      <c r="AE11" s="2159">
        <f>'Chấm công công nhân'!AO11</f>
        <v>0</v>
      </c>
      <c r="AF11" s="2159">
        <f>'Chấm công công nhân'!AP11</f>
        <v>0</v>
      </c>
      <c r="AG11" s="2159">
        <f>'Chấm công công nhân'!AQ11</f>
        <v>0</v>
      </c>
      <c r="AH11" s="1938">
        <f>SUM(C11:AG11)</f>
        <v>0</v>
      </c>
      <c r="AJ11" s="1939"/>
    </row>
    <row r="12" spans="1:36">
      <c r="A12" s="2155">
        <v>2</v>
      </c>
      <c r="B12" s="1948">
        <v>2</v>
      </c>
      <c r="C12" s="2159">
        <f>'Chấm công công nhân'!M48</f>
        <v>0</v>
      </c>
      <c r="D12" s="2159">
        <f>'Chấm công công nhân'!N48</f>
        <v>0</v>
      </c>
      <c r="E12" s="2159">
        <f>'Chấm công công nhân'!O48</f>
        <v>0</v>
      </c>
      <c r="F12" s="2159">
        <f>'Chấm công công nhân'!P48</f>
        <v>0</v>
      </c>
      <c r="G12" s="2159" t="str">
        <f>'Chấm công công nhân'!Q48</f>
        <v>X</v>
      </c>
      <c r="H12" s="2159" t="str">
        <f>'Chấm công công nhân'!R48</f>
        <v>CN</v>
      </c>
      <c r="I12" s="2159" t="str">
        <f>'Chấm công công nhân'!S48</f>
        <v>X</v>
      </c>
      <c r="J12" s="2159" t="str">
        <f>'Chấm công công nhân'!T48</f>
        <v>X</v>
      </c>
      <c r="K12" s="2159" t="str">
        <f>'Chấm công công nhân'!U48</f>
        <v>X</v>
      </c>
      <c r="L12" s="2159" t="str">
        <f>'Chấm công công nhân'!V48</f>
        <v>X</v>
      </c>
      <c r="M12" s="2159" t="str">
        <f>'Chấm công công nhân'!W48</f>
        <v>X</v>
      </c>
      <c r="N12" s="2159" t="str">
        <f>'Chấm công công nhân'!X48</f>
        <v>X</v>
      </c>
      <c r="O12" s="2159" t="str">
        <f>'Chấm công công nhân'!Y48</f>
        <v>CN</v>
      </c>
      <c r="P12" s="2159">
        <f>'Chấm công công nhân'!Z48</f>
        <v>0</v>
      </c>
      <c r="Q12" s="2159">
        <f>'Chấm công công nhân'!AA48</f>
        <v>0</v>
      </c>
      <c r="R12" s="2159">
        <f>'Chấm công công nhân'!AB48</f>
        <v>0</v>
      </c>
      <c r="S12" s="2159" t="str">
        <f>'Chấm công công nhân'!AC48</f>
        <v>X</v>
      </c>
      <c r="T12" s="2159" t="str">
        <f>'Chấm công công nhân'!AD48</f>
        <v>X</v>
      </c>
      <c r="U12" s="2159" t="str">
        <f>'Chấm công công nhân'!AE48</f>
        <v>X</v>
      </c>
      <c r="V12" s="2159" t="str">
        <f>'Chấm công công nhân'!AF48</f>
        <v>CN</v>
      </c>
      <c r="W12" s="2159" t="str">
        <f>'Chấm công công nhân'!AG48</f>
        <v>X</v>
      </c>
      <c r="X12" s="2159" t="str">
        <f>'Chấm công công nhân'!AH48</f>
        <v>X</v>
      </c>
      <c r="Y12" s="2159" t="str">
        <f>'Chấm công công nhân'!AI48</f>
        <v>X</v>
      </c>
      <c r="Z12" s="2159" t="str">
        <f>'Chấm công công nhân'!AJ48</f>
        <v>X</v>
      </c>
      <c r="AA12" s="2159" t="str">
        <f>'Chấm công công nhân'!AK48</f>
        <v>X</v>
      </c>
      <c r="AB12" s="2159" t="str">
        <f>'Chấm công công nhân'!AL48</f>
        <v>X</v>
      </c>
      <c r="AC12" s="2159" t="str">
        <f>'Chấm công công nhân'!AM48</f>
        <v>CN</v>
      </c>
      <c r="AD12" s="2159" t="str">
        <f>'Chấm công công nhân'!AN48</f>
        <v>X</v>
      </c>
      <c r="AE12" s="2159" t="str">
        <f>'Chấm công công nhân'!AO48</f>
        <v>X</v>
      </c>
      <c r="AF12" s="2159" t="str">
        <f>'Chấm công công nhân'!AP48</f>
        <v>X</v>
      </c>
      <c r="AG12" s="2159">
        <f>'Chấm công công nhân'!AQ48</f>
        <v>0</v>
      </c>
      <c r="AH12" s="1938">
        <f t="shared" ref="AH12:AH14" si="0">SUM(C12:AG12)</f>
        <v>0</v>
      </c>
    </row>
    <row r="13" spans="1:36">
      <c r="A13" s="2155">
        <v>3</v>
      </c>
      <c r="B13" s="1948">
        <v>3</v>
      </c>
      <c r="C13" s="2159">
        <f>'Chấm công công nhân'!M64</f>
        <v>0</v>
      </c>
      <c r="D13" s="2159">
        <f>'Chấm công công nhân'!N64</f>
        <v>0</v>
      </c>
      <c r="E13" s="2159">
        <f>'Chấm công công nhân'!O64</f>
        <v>0</v>
      </c>
      <c r="F13" s="2159">
        <f>'Chấm công công nhân'!P64</f>
        <v>0</v>
      </c>
      <c r="G13" s="2159">
        <f>'Chấm công công nhân'!Q64</f>
        <v>0</v>
      </c>
      <c r="H13" s="2159">
        <f>'Chấm công công nhân'!R64</f>
        <v>0</v>
      </c>
      <c r="I13" s="2159">
        <f>'Chấm công công nhân'!S64</f>
        <v>0</v>
      </c>
      <c r="J13" s="2159">
        <f>'Chấm công công nhân'!T64</f>
        <v>0</v>
      </c>
      <c r="K13" s="2159">
        <f>'Chấm công công nhân'!U64</f>
        <v>0</v>
      </c>
      <c r="L13" s="2159">
        <f>'Chấm công công nhân'!V64</f>
        <v>0</v>
      </c>
      <c r="M13" s="2159" t="str">
        <f>'Chấm công công nhân'!W64</f>
        <v>X</v>
      </c>
      <c r="N13" s="2159" t="str">
        <f>'Chấm công công nhân'!X64</f>
        <v>X</v>
      </c>
      <c r="O13" s="2159" t="str">
        <f>'Chấm công công nhân'!Y64</f>
        <v>CN</v>
      </c>
      <c r="P13" s="2159">
        <f>'Chấm công công nhân'!Z64</f>
        <v>0</v>
      </c>
      <c r="Q13" s="2159" t="str">
        <f>'Chấm công công nhân'!AA64</f>
        <v>X</v>
      </c>
      <c r="R13" s="2159" t="str">
        <f>'Chấm công công nhân'!AB64</f>
        <v>X</v>
      </c>
      <c r="S13" s="2159" t="str">
        <f>'Chấm công công nhân'!AC64</f>
        <v>X</v>
      </c>
      <c r="T13" s="2159" t="str">
        <f>'Chấm công công nhân'!AD64</f>
        <v>X</v>
      </c>
      <c r="U13" s="2159" t="str">
        <f>'Chấm công công nhân'!AE64</f>
        <v>X</v>
      </c>
      <c r="V13" s="2159" t="str">
        <f>'Chấm công công nhân'!AF64</f>
        <v>CN</v>
      </c>
      <c r="W13" s="2159" t="str">
        <f>'Chấm công công nhân'!AG64</f>
        <v>X</v>
      </c>
      <c r="X13" s="2159" t="str">
        <f>'Chấm công công nhân'!AH64</f>
        <v>X</v>
      </c>
      <c r="Y13" s="2159" t="str">
        <f>'Chấm công công nhân'!AI64</f>
        <v>X</v>
      </c>
      <c r="Z13" s="2159" t="str">
        <f>'Chấm công công nhân'!AJ64</f>
        <v>X</v>
      </c>
      <c r="AA13" s="2159" t="str">
        <f>'Chấm công công nhân'!AK64</f>
        <v>X</v>
      </c>
      <c r="AB13" s="2159" t="str">
        <f>'Chấm công công nhân'!AL64</f>
        <v>X</v>
      </c>
      <c r="AC13" s="2159">
        <f>'Chấm công công nhân'!AM64</f>
        <v>0</v>
      </c>
      <c r="AD13" s="2159" t="str">
        <f>'Chấm công công nhân'!AN64</f>
        <v>X</v>
      </c>
      <c r="AE13" s="2159" t="str">
        <f>'Chấm công công nhân'!AO64</f>
        <v>X</v>
      </c>
      <c r="AF13" s="2159" t="str">
        <f>'Chấm công công nhân'!AP64</f>
        <v>X</v>
      </c>
      <c r="AG13" s="2159">
        <f>'Chấm công công nhân'!AQ64</f>
        <v>0</v>
      </c>
      <c r="AH13" s="1938">
        <f t="shared" si="0"/>
        <v>0</v>
      </c>
    </row>
    <row r="14" spans="1:36">
      <c r="A14" s="4577" t="s">
        <v>21</v>
      </c>
      <c r="B14" s="4578"/>
      <c r="C14" s="1936">
        <f>SUM(C11:C13)</f>
        <v>0</v>
      </c>
      <c r="D14" s="1936">
        <f t="shared" ref="D14:AG14" si="1">SUM(D11:D13)</f>
        <v>0</v>
      </c>
      <c r="E14" s="1936">
        <f t="shared" si="1"/>
        <v>0</v>
      </c>
      <c r="F14" s="1936">
        <f t="shared" si="1"/>
        <v>0</v>
      </c>
      <c r="G14" s="1936">
        <f t="shared" si="1"/>
        <v>0</v>
      </c>
      <c r="H14" s="1936">
        <f t="shared" si="1"/>
        <v>0</v>
      </c>
      <c r="I14" s="1936">
        <f t="shared" si="1"/>
        <v>0</v>
      </c>
      <c r="J14" s="1936">
        <f t="shared" si="1"/>
        <v>0</v>
      </c>
      <c r="K14" s="1936">
        <f t="shared" si="1"/>
        <v>0</v>
      </c>
      <c r="L14" s="1936">
        <f t="shared" si="1"/>
        <v>0</v>
      </c>
      <c r="M14" s="1936">
        <f t="shared" si="1"/>
        <v>0</v>
      </c>
      <c r="N14" s="1936">
        <f t="shared" si="1"/>
        <v>0</v>
      </c>
      <c r="O14" s="1936">
        <f t="shared" si="1"/>
        <v>0</v>
      </c>
      <c r="P14" s="1936">
        <f t="shared" si="1"/>
        <v>0</v>
      </c>
      <c r="Q14" s="1936">
        <f t="shared" si="1"/>
        <v>0</v>
      </c>
      <c r="R14" s="1936">
        <f t="shared" si="1"/>
        <v>0</v>
      </c>
      <c r="S14" s="1936">
        <f t="shared" si="1"/>
        <v>0</v>
      </c>
      <c r="T14" s="1936">
        <f t="shared" si="1"/>
        <v>0</v>
      </c>
      <c r="U14" s="1936">
        <f t="shared" si="1"/>
        <v>0</v>
      </c>
      <c r="V14" s="1936">
        <f t="shared" si="1"/>
        <v>0</v>
      </c>
      <c r="W14" s="1936">
        <f t="shared" si="1"/>
        <v>0</v>
      </c>
      <c r="X14" s="1936">
        <f t="shared" si="1"/>
        <v>0</v>
      </c>
      <c r="Y14" s="1936">
        <f t="shared" si="1"/>
        <v>0</v>
      </c>
      <c r="Z14" s="1936">
        <f t="shared" si="1"/>
        <v>0</v>
      </c>
      <c r="AA14" s="1936">
        <f t="shared" si="1"/>
        <v>0</v>
      </c>
      <c r="AB14" s="1936">
        <f t="shared" si="1"/>
        <v>0</v>
      </c>
      <c r="AC14" s="1936">
        <f t="shared" si="1"/>
        <v>0</v>
      </c>
      <c r="AD14" s="1936">
        <f t="shared" si="1"/>
        <v>0</v>
      </c>
      <c r="AE14" s="1936">
        <f t="shared" si="1"/>
        <v>0</v>
      </c>
      <c r="AF14" s="1936">
        <f t="shared" si="1"/>
        <v>0</v>
      </c>
      <c r="AG14" s="1936">
        <f t="shared" si="1"/>
        <v>0</v>
      </c>
      <c r="AH14" s="1938">
        <f t="shared" si="0"/>
        <v>0</v>
      </c>
    </row>
    <row r="17" spans="1:34" s="1934" customFormat="1" ht="14.25" customHeight="1">
      <c r="A17" s="4579" t="s">
        <v>46</v>
      </c>
      <c r="B17" s="4579"/>
      <c r="C17" s="4579"/>
      <c r="D17" s="4579"/>
      <c r="E17" s="4579"/>
      <c r="F17" s="4579"/>
      <c r="G17" s="4579"/>
      <c r="H17" s="1945"/>
      <c r="I17" s="1945"/>
      <c r="J17" s="1945"/>
      <c r="K17" s="1945"/>
      <c r="N17" s="4571" t="s">
        <v>1132</v>
      </c>
      <c r="O17" s="4571"/>
      <c r="P17" s="4571"/>
      <c r="Q17" s="4571"/>
      <c r="R17" s="4571"/>
      <c r="S17" s="4571"/>
      <c r="T17" s="1945"/>
      <c r="U17" s="1945"/>
      <c r="V17" s="1945"/>
      <c r="W17" s="1945"/>
      <c r="X17" s="1945"/>
      <c r="Y17" s="1945"/>
      <c r="Z17" s="1945"/>
      <c r="AA17" s="4571" t="s">
        <v>541</v>
      </c>
      <c r="AB17" s="4571"/>
      <c r="AC17" s="4571"/>
      <c r="AD17" s="4571"/>
      <c r="AE17" s="4571"/>
      <c r="AF17" s="4571"/>
      <c r="AG17" s="4571"/>
      <c r="AH17" s="4571"/>
    </row>
    <row r="18" spans="1:34" s="1934" customFormat="1" ht="14.25">
      <c r="A18" s="2154"/>
      <c r="B18" s="2156"/>
      <c r="C18" s="2156"/>
      <c r="D18" s="2156"/>
      <c r="V18" s="1945"/>
      <c r="X18" s="1945"/>
      <c r="Y18" s="1945"/>
      <c r="Z18" s="1945"/>
      <c r="AA18" s="1945"/>
      <c r="AB18" s="1945"/>
      <c r="AC18" s="1945"/>
      <c r="AD18" s="1945"/>
      <c r="AE18" s="1945"/>
      <c r="AF18" s="1945"/>
      <c r="AG18" s="1945"/>
      <c r="AH18" s="1945"/>
    </row>
  </sheetData>
  <mergeCells count="13">
    <mergeCell ref="A17:G17"/>
    <mergeCell ref="N17:S17"/>
    <mergeCell ref="AA17:AH17"/>
    <mergeCell ref="A14:B14"/>
    <mergeCell ref="A1:J1"/>
    <mergeCell ref="U1:AH1"/>
    <mergeCell ref="A2:J2"/>
    <mergeCell ref="U2:AH2"/>
    <mergeCell ref="A7:AH7"/>
    <mergeCell ref="A9:A10"/>
    <mergeCell ref="B9:B10"/>
    <mergeCell ref="C9:AG9"/>
    <mergeCell ref="AH9:AH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97"/>
  <sheetViews>
    <sheetView topLeftCell="A16" zoomScaleNormal="100" workbookViewId="0">
      <selection activeCell="E69" sqref="E69:E84"/>
    </sheetView>
  </sheetViews>
  <sheetFormatPr defaultColWidth="9.375" defaultRowHeight="15.75"/>
  <cols>
    <col min="1" max="1" width="4.25" style="740" customWidth="1"/>
    <col min="2" max="2" width="5.375" style="740" hidden="1" customWidth="1"/>
    <col min="3" max="3" width="13" style="740" customWidth="1"/>
    <col min="4" max="4" width="7.75" style="740" customWidth="1"/>
    <col min="5" max="5" width="6.375" style="740" customWidth="1"/>
    <col min="6" max="6" width="5.375" style="740" customWidth="1"/>
    <col min="7" max="7" width="6.375" style="740" customWidth="1"/>
    <col min="8" max="8" width="8.125" style="740" customWidth="1"/>
    <col min="9" max="9" width="5.375" style="740" customWidth="1"/>
    <col min="10" max="10" width="9.375" style="740" customWidth="1"/>
    <col min="11" max="11" width="6" style="740" customWidth="1"/>
    <col min="12" max="12" width="8.125" style="740" customWidth="1"/>
    <col min="13" max="13" width="9.375" style="740" customWidth="1"/>
    <col min="14" max="14" width="10.375" style="740" customWidth="1"/>
    <col min="15" max="15" width="0" style="740" hidden="1" customWidth="1"/>
    <col min="16" max="16" width="0" style="741" hidden="1" customWidth="1"/>
    <col min="17" max="21" width="0" style="740" hidden="1" customWidth="1"/>
    <col min="22" max="16384" width="9.375" style="740"/>
  </cols>
  <sheetData>
    <row r="1" spans="1:29">
      <c r="A1" s="4593" t="s">
        <v>165</v>
      </c>
      <c r="B1" s="4593"/>
      <c r="C1" s="4593"/>
      <c r="D1" s="4593"/>
      <c r="E1" s="4593"/>
      <c r="F1" s="4593"/>
      <c r="G1" s="4593"/>
      <c r="H1" s="4593"/>
      <c r="I1" s="4593"/>
      <c r="J1" s="4593"/>
      <c r="K1" s="4593"/>
      <c r="L1" s="4593"/>
      <c r="M1" s="4593"/>
      <c r="N1" s="4593"/>
    </row>
    <row r="2" spans="1:29">
      <c r="A2" s="4592" t="s">
        <v>171</v>
      </c>
      <c r="B2" s="4592"/>
      <c r="C2" s="4592"/>
      <c r="D2" s="4592"/>
      <c r="E2" s="4592"/>
      <c r="F2" s="4592"/>
      <c r="G2" s="4592"/>
      <c r="H2" s="4592"/>
      <c r="I2" s="4592"/>
      <c r="J2" s="4592"/>
      <c r="K2" s="4592"/>
      <c r="L2" s="4592"/>
      <c r="M2" s="4592"/>
      <c r="N2" s="4592"/>
    </row>
    <row r="4" spans="1:29">
      <c r="A4" s="484" t="s">
        <v>727</v>
      </c>
      <c r="B4" s="484"/>
      <c r="C4" s="484"/>
      <c r="D4" s="484"/>
      <c r="E4" s="484"/>
      <c r="F4" s="484"/>
      <c r="G4" s="484"/>
      <c r="I4" s="484"/>
      <c r="J4" s="484"/>
      <c r="K4" s="484"/>
      <c r="L4" s="484"/>
      <c r="M4" s="484"/>
      <c r="N4" s="484"/>
    </row>
    <row r="5" spans="1:29">
      <c r="A5" s="4592" t="s">
        <v>541</v>
      </c>
      <c r="B5" s="4592"/>
      <c r="C5" s="4592"/>
      <c r="D5" s="4592"/>
      <c r="E5" s="4592"/>
      <c r="F5" s="4592"/>
      <c r="G5" s="483"/>
      <c r="I5" s="754"/>
      <c r="J5" s="754"/>
      <c r="K5" s="754"/>
      <c r="L5" s="754"/>
      <c r="M5" s="754"/>
      <c r="N5" s="754"/>
    </row>
    <row r="6" spans="1:29" ht="15.75" customHeight="1">
      <c r="B6" s="483"/>
      <c r="C6" s="483"/>
      <c r="D6" s="483"/>
      <c r="E6" s="483"/>
      <c r="F6" s="483"/>
      <c r="G6" s="483"/>
      <c r="H6" s="483"/>
      <c r="I6" s="483"/>
      <c r="J6" s="484"/>
      <c r="K6" s="484"/>
      <c r="L6" s="484"/>
      <c r="M6" s="484"/>
      <c r="N6" s="484"/>
    </row>
    <row r="7" spans="1:29" ht="20.25" customHeight="1">
      <c r="A7" s="4594" t="s">
        <v>1866</v>
      </c>
      <c r="B7" s="4594"/>
      <c r="C7" s="4594"/>
      <c r="D7" s="4594"/>
      <c r="E7" s="4594"/>
      <c r="F7" s="4594"/>
      <c r="G7" s="4594"/>
      <c r="H7" s="4594"/>
      <c r="I7" s="4594"/>
      <c r="J7" s="4594"/>
      <c r="K7" s="4594"/>
      <c r="L7" s="4594"/>
      <c r="M7" s="4594"/>
      <c r="N7" s="4594"/>
    </row>
    <row r="8" spans="1:29" ht="24" customHeight="1">
      <c r="A8" s="485"/>
      <c r="B8" s="485"/>
      <c r="C8" s="485"/>
      <c r="D8" s="485"/>
      <c r="E8" s="485"/>
      <c r="F8" s="485"/>
      <c r="G8" s="485"/>
      <c r="H8" s="485"/>
      <c r="I8" s="484"/>
      <c r="J8" s="484"/>
      <c r="K8" s="484"/>
      <c r="L8" s="484"/>
      <c r="M8" s="484"/>
      <c r="N8" s="484"/>
    </row>
    <row r="9" spans="1:29" ht="85.5" customHeight="1">
      <c r="A9" s="742" t="s">
        <v>19</v>
      </c>
      <c r="B9" s="742" t="s">
        <v>239</v>
      </c>
      <c r="C9" s="742" t="s">
        <v>20</v>
      </c>
      <c r="D9" s="743" t="s">
        <v>325</v>
      </c>
      <c r="E9" s="744" t="s">
        <v>300</v>
      </c>
      <c r="F9" s="744" t="s">
        <v>301</v>
      </c>
      <c r="G9" s="744" t="s">
        <v>302</v>
      </c>
      <c r="H9" s="744" t="s">
        <v>303</v>
      </c>
      <c r="I9" s="744" t="s">
        <v>304</v>
      </c>
      <c r="J9" s="744" t="s">
        <v>305</v>
      </c>
      <c r="K9" s="744" t="s">
        <v>306</v>
      </c>
      <c r="L9" s="744" t="s">
        <v>307</v>
      </c>
      <c r="M9" s="744" t="s">
        <v>308</v>
      </c>
      <c r="N9" s="742" t="s">
        <v>309</v>
      </c>
      <c r="AB9" s="740">
        <f>12-4</f>
        <v>8</v>
      </c>
    </row>
    <row r="10" spans="1:29" ht="21" customHeight="1">
      <c r="A10" s="4597" t="s">
        <v>272</v>
      </c>
      <c r="B10" s="4597"/>
      <c r="C10" s="4597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</row>
    <row r="11" spans="1:29" s="748" customFormat="1" ht="21.75" customHeight="1">
      <c r="A11" s="955">
        <v>1</v>
      </c>
      <c r="B11" s="683" t="s">
        <v>242</v>
      </c>
      <c r="C11" s="1611" t="str">
        <f>'Chấm công công nhân'!L13</f>
        <v>Vắt Đi</v>
      </c>
      <c r="D11" s="956" t="s">
        <v>40</v>
      </c>
      <c r="E11" s="1650">
        <f>'Chấm công công nhân'!AV13</f>
        <v>14</v>
      </c>
      <c r="F11" s="957"/>
      <c r="G11" s="957"/>
      <c r="H11" s="957">
        <f>SUM(E11:G11)</f>
        <v>14</v>
      </c>
      <c r="I11" s="958" t="str">
        <f>IF(H11&gt;=16,"40",IF(H11&gt;=13,"35",IF(H11&gt;=10,"30","25")))</f>
        <v>35</v>
      </c>
      <c r="J11" s="959" t="str">
        <f>Mủ!AK13</f>
        <v>A</v>
      </c>
      <c r="K11" s="960"/>
      <c r="L11" s="961">
        <f>I11+K11</f>
        <v>35</v>
      </c>
      <c r="M11" s="962" t="str">
        <f>J11</f>
        <v>A</v>
      </c>
      <c r="N11" s="963"/>
      <c r="O11" s="632">
        <f>IF(H11&lt;20,25,IF(H11&lt;=22,30,IF(H11&gt;=26,"40",35)))</f>
        <v>25</v>
      </c>
      <c r="P11" s="746">
        <f>IF(J11="A",60,IF(J11="B",50,IF(J11="C",45,IF(J11="d",40))))</f>
        <v>60</v>
      </c>
      <c r="Q11" s="747">
        <f>+O11+P11</f>
        <v>85</v>
      </c>
      <c r="R11" s="634" t="str">
        <f>IF(Q11&lt;70,"D",IF(Q11&gt;=95,"A",IF(Q11&lt;=80,"C","B")))</f>
        <v>B</v>
      </c>
      <c r="S11" s="740" t="b">
        <f>EXACT(M11,R11)</f>
        <v>0</v>
      </c>
      <c r="T11" s="740"/>
      <c r="U11" s="745" t="s">
        <v>92</v>
      </c>
      <c r="V11" s="740"/>
      <c r="W11" s="740"/>
      <c r="X11" s="740"/>
      <c r="Y11" s="740"/>
      <c r="Z11" s="740"/>
      <c r="AA11" s="740"/>
      <c r="AB11" s="740"/>
      <c r="AC11" s="740"/>
    </row>
    <row r="12" spans="1:29" s="748" customFormat="1" ht="21.75" customHeight="1">
      <c r="A12" s="955">
        <v>2</v>
      </c>
      <c r="B12" s="683" t="s">
        <v>241</v>
      </c>
      <c r="C12" s="1611" t="str">
        <f>'Chấm công công nhân'!L14</f>
        <v>Mẹ Leo</v>
      </c>
      <c r="D12" s="956" t="s">
        <v>40</v>
      </c>
      <c r="E12" s="1650">
        <f>'Chấm công công nhân'!AV14</f>
        <v>23</v>
      </c>
      <c r="F12" s="957"/>
      <c r="G12" s="957"/>
      <c r="H12" s="957">
        <f t="shared" ref="H12:H42" si="0">SUM(E12:G12)</f>
        <v>23</v>
      </c>
      <c r="I12" s="958" t="str">
        <f t="shared" ref="I12:I75" si="1">IF(H12&gt;=16,"40",IF(H12&gt;=13,"35",IF(H12&gt;=10,"30","25")))</f>
        <v>40</v>
      </c>
      <c r="J12" s="959" t="str">
        <f>Mủ!AK14</f>
        <v>B</v>
      </c>
      <c r="K12" s="960"/>
      <c r="L12" s="961">
        <f t="shared" ref="L12:L47" si="2">I12+K12</f>
        <v>40</v>
      </c>
      <c r="M12" s="962" t="str">
        <f t="shared" ref="M12:M47" si="3">J12</f>
        <v>B</v>
      </c>
      <c r="N12" s="963"/>
      <c r="O12" s="632">
        <f t="shared" ref="O12:O42" si="4">IF(H12&lt;20,25,IF(H12&lt;=22,30,IF(H12&gt;=26,"40",35)))</f>
        <v>35</v>
      </c>
      <c r="P12" s="746">
        <f t="shared" ref="P12:P63" si="5">IF(J12="A",60,IF(J12="B",50,IF(J12="C",45,IF(J12="d",40))))</f>
        <v>50</v>
      </c>
      <c r="Q12" s="747">
        <f t="shared" ref="Q12:Q42" si="6">+O12+P12</f>
        <v>85</v>
      </c>
      <c r="R12" s="634" t="str">
        <f t="shared" ref="R12:R42" si="7">IF(Q12&lt;70,"D",IF(Q12&gt;=95,"A",IF(Q12&lt;=80,"C","B")))</f>
        <v>B</v>
      </c>
      <c r="S12" s="740" t="b">
        <f t="shared" ref="S12:S42" si="8">EXACT(M12,R12)</f>
        <v>1</v>
      </c>
      <c r="T12" s="740"/>
      <c r="U12" s="745" t="s">
        <v>92</v>
      </c>
      <c r="V12" s="740"/>
      <c r="W12" s="740"/>
      <c r="X12" s="740"/>
      <c r="Y12" s="740"/>
      <c r="Z12" s="740"/>
      <c r="AA12" s="740"/>
      <c r="AB12" s="740"/>
      <c r="AC12" s="740"/>
    </row>
    <row r="13" spans="1:29" s="748" customFormat="1" ht="21.75" customHeight="1">
      <c r="A13" s="955">
        <v>3</v>
      </c>
      <c r="B13" s="683" t="s">
        <v>245</v>
      </c>
      <c r="C13" s="1611" t="str">
        <f>'Chấm công công nhân'!L15</f>
        <v xml:space="preserve">Thảo Ken </v>
      </c>
      <c r="D13" s="956" t="s">
        <v>40</v>
      </c>
      <c r="E13" s="1650">
        <f>'Chấm công công nhân'!AV15</f>
        <v>15</v>
      </c>
      <c r="F13" s="957"/>
      <c r="G13" s="957"/>
      <c r="H13" s="957">
        <f t="shared" si="0"/>
        <v>15</v>
      </c>
      <c r="I13" s="958" t="str">
        <f t="shared" si="1"/>
        <v>35</v>
      </c>
      <c r="J13" s="959" t="str">
        <f>Mủ!AK15</f>
        <v>A</v>
      </c>
      <c r="K13" s="960"/>
      <c r="L13" s="961">
        <f t="shared" si="2"/>
        <v>35</v>
      </c>
      <c r="M13" s="962" t="str">
        <f t="shared" si="3"/>
        <v>A</v>
      </c>
      <c r="N13" s="963"/>
      <c r="O13" s="632">
        <f t="shared" si="4"/>
        <v>25</v>
      </c>
      <c r="P13" s="746">
        <f t="shared" si="5"/>
        <v>60</v>
      </c>
      <c r="Q13" s="747">
        <f t="shared" si="6"/>
        <v>85</v>
      </c>
      <c r="R13" s="634" t="str">
        <f t="shared" si="7"/>
        <v>B</v>
      </c>
      <c r="S13" s="740" t="b">
        <f t="shared" si="8"/>
        <v>0</v>
      </c>
      <c r="T13" s="740"/>
      <c r="U13" s="745" t="s">
        <v>52</v>
      </c>
      <c r="V13" s="740"/>
      <c r="W13" s="740"/>
      <c r="X13" s="740"/>
      <c r="Y13" s="740"/>
      <c r="Z13" s="740"/>
      <c r="AA13" s="740"/>
      <c r="AB13" s="740"/>
      <c r="AC13" s="740"/>
    </row>
    <row r="14" spans="1:29" s="748" customFormat="1" ht="21.75" customHeight="1">
      <c r="A14" s="955">
        <v>4</v>
      </c>
      <c r="B14" s="683" t="s">
        <v>285</v>
      </c>
      <c r="C14" s="1611" t="str">
        <f>'Chấm công công nhân'!L16</f>
        <v>Thảo Phút</v>
      </c>
      <c r="D14" s="956" t="s">
        <v>40</v>
      </c>
      <c r="E14" s="1650">
        <f>'Chấm công công nhân'!AV16</f>
        <v>25</v>
      </c>
      <c r="F14" s="957"/>
      <c r="G14" s="957"/>
      <c r="H14" s="957">
        <f>SUM(E14:G14)</f>
        <v>25</v>
      </c>
      <c r="I14" s="958" t="str">
        <f t="shared" si="1"/>
        <v>40</v>
      </c>
      <c r="J14" s="959" t="str">
        <f>Mủ!AK16</f>
        <v>A</v>
      </c>
      <c r="K14" s="960"/>
      <c r="L14" s="961">
        <f t="shared" si="2"/>
        <v>40</v>
      </c>
      <c r="M14" s="962" t="str">
        <f t="shared" si="3"/>
        <v>A</v>
      </c>
      <c r="N14" s="963"/>
      <c r="O14" s="632">
        <f t="shared" si="4"/>
        <v>35</v>
      </c>
      <c r="P14" s="746">
        <f t="shared" si="5"/>
        <v>60</v>
      </c>
      <c r="Q14" s="747">
        <f t="shared" si="6"/>
        <v>95</v>
      </c>
      <c r="R14" s="634" t="str">
        <f t="shared" si="7"/>
        <v>A</v>
      </c>
      <c r="S14" s="740" t="b">
        <f t="shared" si="8"/>
        <v>1</v>
      </c>
      <c r="T14" s="740"/>
      <c r="U14" s="745" t="s">
        <v>92</v>
      </c>
      <c r="V14" s="740"/>
      <c r="W14" s="740"/>
      <c r="X14" s="740"/>
      <c r="Y14" s="740"/>
      <c r="Z14" s="740"/>
      <c r="AA14" s="740"/>
      <c r="AB14" s="740"/>
      <c r="AC14" s="740"/>
    </row>
    <row r="15" spans="1:29" s="748" customFormat="1" ht="21.75" customHeight="1">
      <c r="A15" s="955">
        <v>5</v>
      </c>
      <c r="B15" s="683" t="s">
        <v>240</v>
      </c>
      <c r="C15" s="1611" t="str">
        <f>'Chấm công công nhân'!L17</f>
        <v>Thảo Mằn</v>
      </c>
      <c r="D15" s="956" t="s">
        <v>40</v>
      </c>
      <c r="E15" s="1650">
        <f>'Chấm công công nhân'!AV17</f>
        <v>15</v>
      </c>
      <c r="F15" s="957"/>
      <c r="G15" s="957"/>
      <c r="H15" s="957">
        <f t="shared" si="0"/>
        <v>15</v>
      </c>
      <c r="I15" s="958" t="str">
        <f t="shared" si="1"/>
        <v>35</v>
      </c>
      <c r="J15" s="959" t="str">
        <f>Mủ!AK17</f>
        <v>B</v>
      </c>
      <c r="K15" s="960"/>
      <c r="L15" s="961">
        <f t="shared" si="2"/>
        <v>35</v>
      </c>
      <c r="M15" s="962" t="str">
        <f t="shared" si="3"/>
        <v>B</v>
      </c>
      <c r="N15" s="963"/>
      <c r="O15" s="632">
        <f t="shared" si="4"/>
        <v>25</v>
      </c>
      <c r="P15" s="746">
        <f t="shared" si="5"/>
        <v>50</v>
      </c>
      <c r="Q15" s="747">
        <f t="shared" si="6"/>
        <v>75</v>
      </c>
      <c r="R15" s="634" t="str">
        <f t="shared" si="7"/>
        <v>C</v>
      </c>
      <c r="S15" s="740" t="b">
        <f t="shared" si="8"/>
        <v>0</v>
      </c>
      <c r="T15" s="740"/>
      <c r="U15" s="745" t="s">
        <v>53</v>
      </c>
      <c r="V15" s="740"/>
      <c r="W15" s="740"/>
      <c r="X15" s="740"/>
      <c r="Y15" s="740"/>
      <c r="Z15" s="740"/>
      <c r="AA15" s="740"/>
      <c r="AB15" s="740"/>
      <c r="AC15" s="740"/>
    </row>
    <row r="16" spans="1:29" s="748" customFormat="1" ht="21.75" customHeight="1">
      <c r="A16" s="955">
        <v>6</v>
      </c>
      <c r="B16" s="680" t="s">
        <v>348</v>
      </c>
      <c r="C16" s="1611" t="str">
        <f>'Chấm công công nhân'!L18</f>
        <v>Nàng Chay</v>
      </c>
      <c r="D16" s="956" t="s">
        <v>40</v>
      </c>
      <c r="E16" s="1650">
        <f>'Chấm công công nhân'!AV18</f>
        <v>16</v>
      </c>
      <c r="F16" s="957"/>
      <c r="G16" s="957"/>
      <c r="H16" s="957">
        <f t="shared" si="0"/>
        <v>16</v>
      </c>
      <c r="I16" s="958" t="str">
        <f t="shared" si="1"/>
        <v>40</v>
      </c>
      <c r="J16" s="959" t="str">
        <f>Mủ!AK18</f>
        <v>B</v>
      </c>
      <c r="K16" s="960"/>
      <c r="L16" s="961">
        <f t="shared" si="2"/>
        <v>40</v>
      </c>
      <c r="M16" s="962" t="str">
        <f t="shared" si="3"/>
        <v>B</v>
      </c>
      <c r="N16" s="963"/>
      <c r="O16" s="632">
        <f t="shared" si="4"/>
        <v>25</v>
      </c>
      <c r="P16" s="746">
        <f t="shared" si="5"/>
        <v>50</v>
      </c>
      <c r="Q16" s="747">
        <f t="shared" si="6"/>
        <v>75</v>
      </c>
      <c r="R16" s="634" t="str">
        <f t="shared" si="7"/>
        <v>C</v>
      </c>
      <c r="S16" s="740" t="b">
        <f t="shared" si="8"/>
        <v>0</v>
      </c>
      <c r="T16" s="740"/>
      <c r="U16" s="745" t="s">
        <v>52</v>
      </c>
      <c r="V16" s="740"/>
      <c r="W16" s="740"/>
      <c r="X16" s="740"/>
      <c r="Y16" s="740"/>
      <c r="Z16" s="740"/>
      <c r="AA16" s="740"/>
      <c r="AB16" s="740"/>
      <c r="AC16" s="740"/>
    </row>
    <row r="17" spans="1:29" s="748" customFormat="1" ht="21.75" customHeight="1">
      <c r="A17" s="955">
        <v>7</v>
      </c>
      <c r="B17" s="683" t="s">
        <v>329</v>
      </c>
      <c r="C17" s="1611" t="str">
        <f>'Chấm công công nhân'!L19</f>
        <v>Thảo Sắp</v>
      </c>
      <c r="D17" s="956" t="s">
        <v>40</v>
      </c>
      <c r="E17" s="1650">
        <f>'Chấm công công nhân'!AV19</f>
        <v>26</v>
      </c>
      <c r="F17" s="957"/>
      <c r="G17" s="957"/>
      <c r="H17" s="957">
        <f t="shared" si="0"/>
        <v>26</v>
      </c>
      <c r="I17" s="958" t="str">
        <f t="shared" si="1"/>
        <v>40</v>
      </c>
      <c r="J17" s="959" t="str">
        <f>Mủ!AK19</f>
        <v>A</v>
      </c>
      <c r="K17" s="960"/>
      <c r="L17" s="961">
        <f t="shared" si="2"/>
        <v>40</v>
      </c>
      <c r="M17" s="962" t="str">
        <f t="shared" si="3"/>
        <v>A</v>
      </c>
      <c r="N17" s="963"/>
      <c r="O17" s="632" t="str">
        <f t="shared" si="4"/>
        <v>40</v>
      </c>
      <c r="P17" s="746">
        <f t="shared" si="5"/>
        <v>60</v>
      </c>
      <c r="Q17" s="747">
        <f t="shared" si="6"/>
        <v>100</v>
      </c>
      <c r="R17" s="634" t="str">
        <f t="shared" si="7"/>
        <v>A</v>
      </c>
      <c r="S17" s="740" t="b">
        <f t="shared" si="8"/>
        <v>1</v>
      </c>
      <c r="T17" s="740"/>
      <c r="U17" s="745" t="s">
        <v>92</v>
      </c>
      <c r="V17" s="740"/>
      <c r="W17" s="740"/>
      <c r="X17" s="740"/>
      <c r="Y17" s="740"/>
      <c r="Z17" s="740"/>
      <c r="AA17" s="740"/>
      <c r="AB17" s="740"/>
      <c r="AC17" s="740"/>
    </row>
    <row r="18" spans="1:29" s="748" customFormat="1" ht="21.75" customHeight="1">
      <c r="A18" s="955">
        <v>8</v>
      </c>
      <c r="B18" s="683" t="s">
        <v>243</v>
      </c>
      <c r="C18" s="1611" t="str">
        <f>'Chấm công công nhân'!L20</f>
        <v>Thảo Say</v>
      </c>
      <c r="D18" s="956" t="s">
        <v>40</v>
      </c>
      <c r="E18" s="1650">
        <f>'Chấm công công nhân'!AV20</f>
        <v>25</v>
      </c>
      <c r="F18" s="957"/>
      <c r="G18" s="957"/>
      <c r="H18" s="957">
        <f t="shared" si="0"/>
        <v>25</v>
      </c>
      <c r="I18" s="958" t="str">
        <f t="shared" si="1"/>
        <v>40</v>
      </c>
      <c r="J18" s="959" t="str">
        <f>Mủ!AK20</f>
        <v>A</v>
      </c>
      <c r="K18" s="960"/>
      <c r="L18" s="961">
        <f t="shared" si="2"/>
        <v>40</v>
      </c>
      <c r="M18" s="962" t="str">
        <f t="shared" si="3"/>
        <v>A</v>
      </c>
      <c r="N18" s="963"/>
      <c r="O18" s="632">
        <f t="shared" si="4"/>
        <v>35</v>
      </c>
      <c r="P18" s="746">
        <f t="shared" si="5"/>
        <v>60</v>
      </c>
      <c r="Q18" s="747">
        <f t="shared" si="6"/>
        <v>95</v>
      </c>
      <c r="R18" s="634" t="str">
        <f t="shared" si="7"/>
        <v>A</v>
      </c>
      <c r="S18" s="741" t="b">
        <f t="shared" si="8"/>
        <v>1</v>
      </c>
      <c r="T18" s="740"/>
      <c r="U18" s="745" t="s">
        <v>52</v>
      </c>
      <c r="V18" s="740"/>
      <c r="W18" s="740"/>
      <c r="X18" s="740"/>
      <c r="Y18" s="740"/>
      <c r="Z18" s="740"/>
      <c r="AA18" s="740"/>
      <c r="AB18" s="740"/>
      <c r="AC18" s="740"/>
    </row>
    <row r="19" spans="1:29" s="748" customFormat="1" ht="21.75" customHeight="1">
      <c r="A19" s="955">
        <v>9</v>
      </c>
      <c r="B19" s="683" t="s">
        <v>252</v>
      </c>
      <c r="C19" s="1611" t="str">
        <f>'Chấm công công nhân'!L21</f>
        <v>Thảo Cợt</v>
      </c>
      <c r="D19" s="956" t="s">
        <v>40</v>
      </c>
      <c r="E19" s="1650">
        <f>'Chấm công công nhân'!AV21</f>
        <v>13</v>
      </c>
      <c r="F19" s="957"/>
      <c r="G19" s="957"/>
      <c r="H19" s="957">
        <f t="shared" si="0"/>
        <v>13</v>
      </c>
      <c r="I19" s="958" t="str">
        <f t="shared" si="1"/>
        <v>35</v>
      </c>
      <c r="J19" s="959" t="str">
        <f>Mủ!AK21</f>
        <v>C</v>
      </c>
      <c r="K19" s="960"/>
      <c r="L19" s="961">
        <f t="shared" si="2"/>
        <v>35</v>
      </c>
      <c r="M19" s="962" t="str">
        <f t="shared" si="3"/>
        <v>C</v>
      </c>
      <c r="N19" s="963"/>
      <c r="O19" s="632">
        <f t="shared" si="4"/>
        <v>25</v>
      </c>
      <c r="P19" s="746">
        <f t="shared" si="5"/>
        <v>45</v>
      </c>
      <c r="Q19" s="747">
        <f t="shared" si="6"/>
        <v>70</v>
      </c>
      <c r="R19" s="634" t="str">
        <f t="shared" si="7"/>
        <v>C</v>
      </c>
      <c r="S19" s="740" t="b">
        <f t="shared" si="8"/>
        <v>1</v>
      </c>
      <c r="T19" s="740"/>
      <c r="U19" s="745" t="s">
        <v>52</v>
      </c>
      <c r="V19" s="740"/>
      <c r="W19" s="740"/>
      <c r="X19" s="740"/>
      <c r="Y19" s="740"/>
      <c r="Z19" s="740"/>
      <c r="AA19" s="740"/>
      <c r="AB19" s="740"/>
      <c r="AC19" s="740"/>
    </row>
    <row r="20" spans="1:29" s="748" customFormat="1" ht="21.75" customHeight="1">
      <c r="A20" s="955">
        <v>10</v>
      </c>
      <c r="B20" s="683" t="s">
        <v>246</v>
      </c>
      <c r="C20" s="1611" t="str">
        <f>'Chấm công công nhân'!L22</f>
        <v>Thảo Hôm</v>
      </c>
      <c r="D20" s="956" t="s">
        <v>40</v>
      </c>
      <c r="E20" s="1650">
        <f>'Chấm công công nhân'!AV22</f>
        <v>21</v>
      </c>
      <c r="F20" s="957"/>
      <c r="G20" s="957"/>
      <c r="H20" s="957">
        <f t="shared" si="0"/>
        <v>21</v>
      </c>
      <c r="I20" s="958" t="str">
        <f t="shared" si="1"/>
        <v>40</v>
      </c>
      <c r="J20" s="959" t="str">
        <f>Mủ!AK22</f>
        <v>A</v>
      </c>
      <c r="K20" s="960"/>
      <c r="L20" s="961">
        <f t="shared" si="2"/>
        <v>40</v>
      </c>
      <c r="M20" s="962" t="str">
        <f t="shared" si="3"/>
        <v>A</v>
      </c>
      <c r="N20" s="963"/>
      <c r="O20" s="632">
        <f t="shared" si="4"/>
        <v>30</v>
      </c>
      <c r="P20" s="746">
        <f t="shared" si="5"/>
        <v>60</v>
      </c>
      <c r="Q20" s="747">
        <f t="shared" si="6"/>
        <v>90</v>
      </c>
      <c r="R20" s="634" t="str">
        <f t="shared" si="7"/>
        <v>B</v>
      </c>
      <c r="S20" s="740" t="b">
        <f t="shared" si="8"/>
        <v>0</v>
      </c>
      <c r="T20" s="740"/>
      <c r="U20" s="745" t="s">
        <v>92</v>
      </c>
      <c r="V20" s="740"/>
      <c r="W20" s="740"/>
      <c r="X20" s="740"/>
      <c r="Y20" s="740"/>
      <c r="Z20" s="740"/>
      <c r="AA20" s="740"/>
      <c r="AB20" s="740"/>
      <c r="AC20" s="740"/>
    </row>
    <row r="21" spans="1:29" s="748" customFormat="1" ht="21.75" customHeight="1">
      <c r="A21" s="955">
        <v>11</v>
      </c>
      <c r="B21" s="683" t="s">
        <v>286</v>
      </c>
      <c r="C21" s="1611" t="str">
        <f>'Chấm công công nhân'!L23</f>
        <v xml:space="preserve">Thảo Khăm  </v>
      </c>
      <c r="D21" s="956" t="s">
        <v>40</v>
      </c>
      <c r="E21" s="1650">
        <f>'Chấm công công nhân'!AV23</f>
        <v>10</v>
      </c>
      <c r="F21" s="957"/>
      <c r="G21" s="957"/>
      <c r="H21" s="957">
        <f t="shared" si="0"/>
        <v>10</v>
      </c>
      <c r="I21" s="958" t="str">
        <f t="shared" si="1"/>
        <v>30</v>
      </c>
      <c r="J21" s="959" t="str">
        <f>Mủ!AK23</f>
        <v>B</v>
      </c>
      <c r="K21" s="960"/>
      <c r="L21" s="961">
        <f t="shared" si="2"/>
        <v>30</v>
      </c>
      <c r="M21" s="962" t="str">
        <f t="shared" si="3"/>
        <v>B</v>
      </c>
      <c r="N21" s="963"/>
      <c r="O21" s="632">
        <f t="shared" si="4"/>
        <v>25</v>
      </c>
      <c r="P21" s="746">
        <f t="shared" si="5"/>
        <v>50</v>
      </c>
      <c r="Q21" s="747">
        <f t="shared" si="6"/>
        <v>75</v>
      </c>
      <c r="R21" s="634" t="str">
        <f t="shared" si="7"/>
        <v>C</v>
      </c>
      <c r="S21" s="740" t="b">
        <f t="shared" si="8"/>
        <v>0</v>
      </c>
      <c r="T21" s="740"/>
      <c r="U21" s="745" t="s">
        <v>92</v>
      </c>
      <c r="V21" s="740"/>
      <c r="W21" s="740"/>
      <c r="X21" s="740"/>
      <c r="Y21" s="740"/>
      <c r="Z21" s="740"/>
      <c r="AA21" s="740"/>
      <c r="AB21" s="740"/>
      <c r="AC21" s="740"/>
    </row>
    <row r="22" spans="1:29" s="748" customFormat="1" ht="21.75" customHeight="1">
      <c r="A22" s="955">
        <v>12</v>
      </c>
      <c r="B22" s="683" t="s">
        <v>244</v>
      </c>
      <c r="C22" s="1611" t="str">
        <f>'Chấm công công nhân'!L24</f>
        <v>Thảo Hăm</v>
      </c>
      <c r="D22" s="956" t="s">
        <v>40</v>
      </c>
      <c r="E22" s="1650">
        <f>'Chấm công công nhân'!AV24</f>
        <v>16</v>
      </c>
      <c r="F22" s="957"/>
      <c r="G22" s="957"/>
      <c r="H22" s="957">
        <f t="shared" si="0"/>
        <v>16</v>
      </c>
      <c r="I22" s="958" t="str">
        <f t="shared" si="1"/>
        <v>40</v>
      </c>
      <c r="J22" s="959" t="str">
        <f>Mủ!AK24</f>
        <v>A</v>
      </c>
      <c r="K22" s="960"/>
      <c r="L22" s="961">
        <f t="shared" si="2"/>
        <v>40</v>
      </c>
      <c r="M22" s="962" t="str">
        <f t="shared" si="3"/>
        <v>A</v>
      </c>
      <c r="N22" s="963"/>
      <c r="O22" s="632">
        <f t="shared" si="4"/>
        <v>25</v>
      </c>
      <c r="P22" s="746">
        <f t="shared" si="5"/>
        <v>60</v>
      </c>
      <c r="Q22" s="747">
        <f t="shared" si="6"/>
        <v>85</v>
      </c>
      <c r="R22" s="634" t="str">
        <f t="shared" si="7"/>
        <v>B</v>
      </c>
      <c r="S22" s="740" t="b">
        <f t="shared" si="8"/>
        <v>0</v>
      </c>
      <c r="T22" s="740"/>
      <c r="U22" s="745" t="s">
        <v>92</v>
      </c>
      <c r="V22" s="740"/>
      <c r="W22" s="740"/>
      <c r="X22" s="740"/>
      <c r="Y22" s="740"/>
      <c r="Z22" s="740"/>
      <c r="AA22" s="740"/>
      <c r="AB22" s="740"/>
      <c r="AC22" s="740"/>
    </row>
    <row r="23" spans="1:29" s="748" customFormat="1" ht="21.75" customHeight="1">
      <c r="A23" s="955">
        <v>13</v>
      </c>
      <c r="B23" s="683" t="s">
        <v>352</v>
      </c>
      <c r="C23" s="1611" t="str">
        <f>'Chấm công công nhân'!L25</f>
        <v>Nang Lon</v>
      </c>
      <c r="D23" s="956" t="s">
        <v>40</v>
      </c>
      <c r="E23" s="1650">
        <f>'Chấm công công nhân'!AV25</f>
        <v>16</v>
      </c>
      <c r="F23" s="957"/>
      <c r="G23" s="957"/>
      <c r="H23" s="957">
        <f t="shared" si="0"/>
        <v>16</v>
      </c>
      <c r="I23" s="958" t="str">
        <f t="shared" si="1"/>
        <v>40</v>
      </c>
      <c r="J23" s="959" t="str">
        <f>Mủ!AK25</f>
        <v>B</v>
      </c>
      <c r="K23" s="960"/>
      <c r="L23" s="961">
        <f t="shared" si="2"/>
        <v>40</v>
      </c>
      <c r="M23" s="962" t="str">
        <f t="shared" si="3"/>
        <v>B</v>
      </c>
      <c r="N23" s="963"/>
      <c r="O23" s="632">
        <f t="shared" si="4"/>
        <v>25</v>
      </c>
      <c r="P23" s="746">
        <f t="shared" si="5"/>
        <v>50</v>
      </c>
      <c r="Q23" s="747">
        <f t="shared" si="6"/>
        <v>75</v>
      </c>
      <c r="R23" s="634" t="str">
        <f t="shared" si="7"/>
        <v>C</v>
      </c>
      <c r="S23" s="740" t="b">
        <f t="shared" si="8"/>
        <v>0</v>
      </c>
      <c r="T23" s="740"/>
      <c r="U23" s="745" t="s">
        <v>93</v>
      </c>
      <c r="V23" s="740"/>
      <c r="W23" s="740"/>
      <c r="X23" s="740"/>
      <c r="Y23" s="740"/>
      <c r="Z23" s="740"/>
      <c r="AA23" s="740"/>
      <c r="AB23" s="740"/>
      <c r="AC23" s="740"/>
    </row>
    <row r="24" spans="1:29" s="748" customFormat="1" ht="21.75" customHeight="1">
      <c r="A24" s="955">
        <v>14</v>
      </c>
      <c r="B24" s="683" t="s">
        <v>327</v>
      </c>
      <c r="C24" s="1611" t="str">
        <f>'Chấm công công nhân'!L26</f>
        <v>Thảo Pheng</v>
      </c>
      <c r="D24" s="956" t="s">
        <v>40</v>
      </c>
      <c r="E24" s="1650">
        <f>'Chấm công công nhân'!AV26</f>
        <v>16</v>
      </c>
      <c r="F24" s="957"/>
      <c r="G24" s="957"/>
      <c r="H24" s="957">
        <f t="shared" si="0"/>
        <v>16</v>
      </c>
      <c r="I24" s="958" t="str">
        <f t="shared" si="1"/>
        <v>40</v>
      </c>
      <c r="J24" s="959" t="str">
        <f>Mủ!AK26</f>
        <v>B</v>
      </c>
      <c r="K24" s="960"/>
      <c r="L24" s="961">
        <f t="shared" si="2"/>
        <v>40</v>
      </c>
      <c r="M24" s="962" t="str">
        <f t="shared" si="3"/>
        <v>B</v>
      </c>
      <c r="N24" s="963"/>
      <c r="O24" s="632">
        <f t="shared" si="4"/>
        <v>25</v>
      </c>
      <c r="P24" s="746">
        <f t="shared" si="5"/>
        <v>50</v>
      </c>
      <c r="Q24" s="747">
        <f t="shared" si="6"/>
        <v>75</v>
      </c>
      <c r="R24" s="634" t="str">
        <f t="shared" si="7"/>
        <v>C</v>
      </c>
      <c r="S24" s="740" t="b">
        <f t="shared" si="8"/>
        <v>0</v>
      </c>
      <c r="T24" s="740"/>
      <c r="U24" s="745" t="s">
        <v>93</v>
      </c>
      <c r="V24" s="740"/>
      <c r="W24" s="740"/>
      <c r="X24" s="740"/>
      <c r="Y24" s="740"/>
      <c r="Z24" s="740"/>
      <c r="AA24" s="740"/>
      <c r="AB24" s="740"/>
      <c r="AC24" s="740"/>
    </row>
    <row r="25" spans="1:29" s="748" customFormat="1" ht="21.75" customHeight="1">
      <c r="A25" s="955">
        <v>15</v>
      </c>
      <c r="B25" s="683" t="s">
        <v>328</v>
      </c>
      <c r="C25" s="1611" t="str">
        <f>'Chấm công công nhân'!L27</f>
        <v>Thảo kok</v>
      </c>
      <c r="D25" s="956" t="s">
        <v>40</v>
      </c>
      <c r="E25" s="1650">
        <f>'Chấm công công nhân'!AV27</f>
        <v>15</v>
      </c>
      <c r="F25" s="957"/>
      <c r="G25" s="957"/>
      <c r="H25" s="957">
        <f t="shared" si="0"/>
        <v>15</v>
      </c>
      <c r="I25" s="958" t="str">
        <f t="shared" si="1"/>
        <v>35</v>
      </c>
      <c r="J25" s="959" t="str">
        <f>Mủ!AK27</f>
        <v>A</v>
      </c>
      <c r="K25" s="960"/>
      <c r="L25" s="961">
        <f t="shared" si="2"/>
        <v>35</v>
      </c>
      <c r="M25" s="962" t="str">
        <f t="shared" si="3"/>
        <v>A</v>
      </c>
      <c r="N25" s="963"/>
      <c r="O25" s="632">
        <f t="shared" si="4"/>
        <v>25</v>
      </c>
      <c r="P25" s="746">
        <f>IF(J25="A",60,IF(J25="B",50,IF(J25="C",45,IF(J25="d",40))))</f>
        <v>60</v>
      </c>
      <c r="Q25" s="747">
        <f t="shared" si="6"/>
        <v>85</v>
      </c>
      <c r="R25" s="634" t="str">
        <f t="shared" si="7"/>
        <v>B</v>
      </c>
      <c r="S25" s="740" t="b">
        <f t="shared" si="8"/>
        <v>0</v>
      </c>
      <c r="T25" s="740"/>
      <c r="U25" s="745" t="s">
        <v>52</v>
      </c>
      <c r="V25" s="740"/>
      <c r="W25" s="740"/>
      <c r="X25" s="740"/>
      <c r="Y25" s="740"/>
      <c r="Z25" s="740"/>
      <c r="AA25" s="740"/>
      <c r="AB25" s="740"/>
      <c r="AC25" s="740"/>
    </row>
    <row r="26" spans="1:29" s="748" customFormat="1" ht="21.75" customHeight="1">
      <c r="A26" s="955">
        <v>16</v>
      </c>
      <c r="B26" s="680" t="s">
        <v>326</v>
      </c>
      <c r="C26" s="1611" t="str">
        <f>'Chấm công công nhân'!L28</f>
        <v>Nàng Sút Chay</v>
      </c>
      <c r="D26" s="956" t="s">
        <v>40</v>
      </c>
      <c r="E26" s="1650">
        <f>'Chấm công công nhân'!AV28</f>
        <v>14</v>
      </c>
      <c r="F26" s="957"/>
      <c r="G26" s="957"/>
      <c r="H26" s="957">
        <f t="shared" si="0"/>
        <v>14</v>
      </c>
      <c r="I26" s="958" t="str">
        <f t="shared" si="1"/>
        <v>35</v>
      </c>
      <c r="J26" s="959" t="str">
        <f>Mủ!AK28</f>
        <v>A</v>
      </c>
      <c r="K26" s="960"/>
      <c r="L26" s="961">
        <f t="shared" si="2"/>
        <v>35</v>
      </c>
      <c r="M26" s="962" t="str">
        <f t="shared" si="3"/>
        <v>A</v>
      </c>
      <c r="N26" s="963"/>
      <c r="O26" s="632">
        <f t="shared" si="4"/>
        <v>25</v>
      </c>
      <c r="P26" s="746">
        <f t="shared" si="5"/>
        <v>60</v>
      </c>
      <c r="Q26" s="747">
        <f t="shared" si="6"/>
        <v>85</v>
      </c>
      <c r="R26" s="634" t="str">
        <f t="shared" si="7"/>
        <v>B</v>
      </c>
      <c r="S26" s="740" t="b">
        <f t="shared" si="8"/>
        <v>0</v>
      </c>
      <c r="T26" s="740"/>
      <c r="U26" s="745" t="s">
        <v>52</v>
      </c>
      <c r="V26" s="740"/>
      <c r="W26" s="740"/>
      <c r="X26" s="740"/>
      <c r="Y26" s="740"/>
      <c r="Z26" s="740"/>
      <c r="AA26" s="740"/>
      <c r="AB26" s="740"/>
      <c r="AC26" s="740"/>
    </row>
    <row r="27" spans="1:29" s="748" customFormat="1" ht="21.75" customHeight="1">
      <c r="A27" s="955">
        <v>17</v>
      </c>
      <c r="B27" s="683" t="s">
        <v>296</v>
      </c>
      <c r="C27" s="1611" t="str">
        <f>'Chấm công công nhân'!L29</f>
        <v>Thảo Khăm Phay</v>
      </c>
      <c r="D27" s="956" t="s">
        <v>40</v>
      </c>
      <c r="E27" s="1650">
        <f>'Chấm công công nhân'!AV29</f>
        <v>14</v>
      </c>
      <c r="F27" s="957"/>
      <c r="G27" s="957"/>
      <c r="H27" s="957">
        <f t="shared" si="0"/>
        <v>14</v>
      </c>
      <c r="I27" s="958" t="str">
        <f t="shared" si="1"/>
        <v>35</v>
      </c>
      <c r="J27" s="959" t="str">
        <f>Mủ!AK29</f>
        <v>B</v>
      </c>
      <c r="K27" s="960"/>
      <c r="L27" s="961">
        <f t="shared" si="2"/>
        <v>35</v>
      </c>
      <c r="M27" s="962" t="str">
        <f t="shared" si="3"/>
        <v>B</v>
      </c>
      <c r="N27" s="963"/>
      <c r="O27" s="632">
        <f t="shared" si="4"/>
        <v>25</v>
      </c>
      <c r="P27" s="746">
        <f t="shared" si="5"/>
        <v>50</v>
      </c>
      <c r="Q27" s="747">
        <f t="shared" si="6"/>
        <v>75</v>
      </c>
      <c r="R27" s="634" t="str">
        <f t="shared" si="7"/>
        <v>C</v>
      </c>
      <c r="S27" s="740" t="b">
        <f t="shared" si="8"/>
        <v>0</v>
      </c>
      <c r="T27" s="740"/>
      <c r="U27" s="745" t="s">
        <v>92</v>
      </c>
      <c r="V27" s="740"/>
      <c r="W27" s="740"/>
      <c r="X27" s="740"/>
      <c r="Y27" s="740"/>
      <c r="Z27" s="740"/>
      <c r="AA27" s="740"/>
      <c r="AB27" s="740"/>
      <c r="AC27" s="740"/>
    </row>
    <row r="28" spans="1:29" s="748" customFormat="1" ht="21.75" customHeight="1">
      <c r="A28" s="955">
        <v>18</v>
      </c>
      <c r="B28" s="683" t="s">
        <v>284</v>
      </c>
      <c r="C28" s="1611" t="str">
        <f>'Chấm công công nhân'!L30</f>
        <v>Thảo Sớm</v>
      </c>
      <c r="D28" s="956" t="s">
        <v>40</v>
      </c>
      <c r="E28" s="1650">
        <f>'Chấm công công nhân'!AV30</f>
        <v>15</v>
      </c>
      <c r="F28" s="957"/>
      <c r="G28" s="957"/>
      <c r="H28" s="957">
        <f t="shared" si="0"/>
        <v>15</v>
      </c>
      <c r="I28" s="958" t="str">
        <f t="shared" si="1"/>
        <v>35</v>
      </c>
      <c r="J28" s="959" t="str">
        <f>Mủ!AK30</f>
        <v>A</v>
      </c>
      <c r="K28" s="960"/>
      <c r="L28" s="961">
        <f t="shared" si="2"/>
        <v>35</v>
      </c>
      <c r="M28" s="962" t="str">
        <f t="shared" si="3"/>
        <v>A</v>
      </c>
      <c r="N28" s="963"/>
      <c r="O28" s="632">
        <f t="shared" si="4"/>
        <v>25</v>
      </c>
      <c r="P28" s="746">
        <f t="shared" si="5"/>
        <v>60</v>
      </c>
      <c r="Q28" s="747">
        <f t="shared" si="6"/>
        <v>85</v>
      </c>
      <c r="R28" s="634" t="str">
        <f t="shared" si="7"/>
        <v>B</v>
      </c>
      <c r="S28" s="740" t="b">
        <f t="shared" si="8"/>
        <v>0</v>
      </c>
      <c r="T28" s="740"/>
      <c r="U28" s="745" t="s">
        <v>52</v>
      </c>
      <c r="V28" s="740"/>
      <c r="W28" s="740"/>
      <c r="X28" s="740"/>
      <c r="Y28" s="740"/>
      <c r="Z28" s="740"/>
      <c r="AA28" s="740"/>
      <c r="AB28" s="740"/>
      <c r="AC28" s="740"/>
    </row>
    <row r="29" spans="1:29" s="748" customFormat="1" ht="21.75" customHeight="1">
      <c r="A29" s="955">
        <v>19</v>
      </c>
      <c r="B29" s="683" t="s">
        <v>294</v>
      </c>
      <c r="C29" s="1611" t="str">
        <f>'Chấm công công nhân'!L31</f>
        <v>Pha Xúc</v>
      </c>
      <c r="D29" s="956" t="s">
        <v>40</v>
      </c>
      <c r="E29" s="1650">
        <f>'Chấm công công nhân'!AV31</f>
        <v>13</v>
      </c>
      <c r="F29" s="957"/>
      <c r="G29" s="957"/>
      <c r="H29" s="957">
        <f t="shared" si="0"/>
        <v>13</v>
      </c>
      <c r="I29" s="958" t="str">
        <f t="shared" si="1"/>
        <v>35</v>
      </c>
      <c r="J29" s="959" t="str">
        <f>Mủ!AK31</f>
        <v>B</v>
      </c>
      <c r="K29" s="960"/>
      <c r="L29" s="961">
        <f t="shared" si="2"/>
        <v>35</v>
      </c>
      <c r="M29" s="962" t="str">
        <f t="shared" si="3"/>
        <v>B</v>
      </c>
      <c r="N29" s="963"/>
      <c r="O29" s="632">
        <f t="shared" si="4"/>
        <v>25</v>
      </c>
      <c r="P29" s="746">
        <f t="shared" si="5"/>
        <v>50</v>
      </c>
      <c r="Q29" s="747">
        <f t="shared" si="6"/>
        <v>75</v>
      </c>
      <c r="R29" s="634" t="str">
        <f t="shared" si="7"/>
        <v>C</v>
      </c>
      <c r="S29" s="740" t="b">
        <f t="shared" si="8"/>
        <v>0</v>
      </c>
      <c r="T29" s="740"/>
      <c r="U29" s="745" t="s">
        <v>52</v>
      </c>
      <c r="V29" s="740"/>
      <c r="W29" s="740"/>
      <c r="X29" s="740"/>
      <c r="Y29" s="740"/>
      <c r="Z29" s="740"/>
      <c r="AA29" s="740"/>
      <c r="AB29" s="740"/>
      <c r="AC29" s="740"/>
    </row>
    <row r="30" spans="1:29" s="748" customFormat="1" ht="21.75" customHeight="1">
      <c r="A30" s="955">
        <v>20</v>
      </c>
      <c r="B30" s="683" t="s">
        <v>298</v>
      </c>
      <c r="C30" s="1611" t="str">
        <f>'Chấm công công nhân'!L32</f>
        <v>Nàng Phon</v>
      </c>
      <c r="D30" s="956" t="s">
        <v>40</v>
      </c>
      <c r="E30" s="1650">
        <f>'Chấm công công nhân'!AV32</f>
        <v>17</v>
      </c>
      <c r="F30" s="957"/>
      <c r="G30" s="957"/>
      <c r="H30" s="957">
        <f t="shared" si="0"/>
        <v>17</v>
      </c>
      <c r="I30" s="958" t="str">
        <f t="shared" si="1"/>
        <v>40</v>
      </c>
      <c r="J30" s="959" t="str">
        <f>Mủ!AK32</f>
        <v>A</v>
      </c>
      <c r="K30" s="960"/>
      <c r="L30" s="961">
        <f t="shared" si="2"/>
        <v>40</v>
      </c>
      <c r="M30" s="962" t="str">
        <f t="shared" si="3"/>
        <v>A</v>
      </c>
      <c r="N30" s="963"/>
      <c r="O30" s="632">
        <f t="shared" si="4"/>
        <v>25</v>
      </c>
      <c r="P30" s="746">
        <f t="shared" si="5"/>
        <v>60</v>
      </c>
      <c r="Q30" s="747">
        <f t="shared" si="6"/>
        <v>85</v>
      </c>
      <c r="R30" s="634" t="str">
        <f t="shared" si="7"/>
        <v>B</v>
      </c>
      <c r="S30" s="740" t="b">
        <f t="shared" si="8"/>
        <v>0</v>
      </c>
      <c r="T30" s="740"/>
      <c r="U30" s="745" t="s">
        <v>52</v>
      </c>
      <c r="V30" s="740"/>
      <c r="W30" s="740"/>
      <c r="X30" s="740"/>
      <c r="Y30" s="740"/>
      <c r="Z30" s="740"/>
      <c r="AA30" s="740"/>
      <c r="AB30" s="740"/>
      <c r="AC30" s="740"/>
    </row>
    <row r="31" spans="1:29" s="748" customFormat="1" ht="21.75" customHeight="1">
      <c r="A31" s="955">
        <v>21</v>
      </c>
      <c r="B31" s="683"/>
      <c r="C31" s="1611" t="str">
        <f>'Chấm công công nhân'!L33</f>
        <v>Thảo Chăn</v>
      </c>
      <c r="D31" s="956" t="s">
        <v>40</v>
      </c>
      <c r="E31" s="1650">
        <f>'Chấm công công nhân'!AV33</f>
        <v>17</v>
      </c>
      <c r="F31" s="957"/>
      <c r="G31" s="957"/>
      <c r="H31" s="957">
        <f t="shared" si="0"/>
        <v>17</v>
      </c>
      <c r="I31" s="958" t="str">
        <f t="shared" si="1"/>
        <v>40</v>
      </c>
      <c r="J31" s="959" t="str">
        <f>Mủ!AK33</f>
        <v>A</v>
      </c>
      <c r="K31" s="960"/>
      <c r="L31" s="961">
        <f t="shared" si="2"/>
        <v>40</v>
      </c>
      <c r="M31" s="962" t="str">
        <f t="shared" si="3"/>
        <v>A</v>
      </c>
      <c r="N31" s="963"/>
      <c r="O31" s="632">
        <f t="shared" si="4"/>
        <v>25</v>
      </c>
      <c r="P31" s="746">
        <f t="shared" si="5"/>
        <v>60</v>
      </c>
      <c r="Q31" s="747">
        <f t="shared" si="6"/>
        <v>85</v>
      </c>
      <c r="R31" s="634" t="str">
        <f t="shared" si="7"/>
        <v>B</v>
      </c>
      <c r="S31" s="740"/>
      <c r="T31" s="740"/>
      <c r="U31" s="745" t="s">
        <v>52</v>
      </c>
      <c r="V31" s="740"/>
      <c r="W31" s="740"/>
      <c r="X31" s="740"/>
      <c r="Y31" s="740"/>
      <c r="Z31" s="740"/>
      <c r="AA31" s="740"/>
      <c r="AB31" s="740"/>
      <c r="AC31" s="740"/>
    </row>
    <row r="32" spans="1:29" s="748" customFormat="1" ht="21.75" customHeight="1">
      <c r="A32" s="955">
        <v>22</v>
      </c>
      <c r="B32" s="683"/>
      <c r="C32" s="1611" t="str">
        <f>'Chấm công công nhân'!L34</f>
        <v>Thong La</v>
      </c>
      <c r="D32" s="956" t="s">
        <v>40</v>
      </c>
      <c r="E32" s="1650">
        <f>'Chấm công công nhân'!AV34</f>
        <v>17</v>
      </c>
      <c r="F32" s="957"/>
      <c r="G32" s="957"/>
      <c r="H32" s="957">
        <f t="shared" si="0"/>
        <v>17</v>
      </c>
      <c r="I32" s="958" t="str">
        <f t="shared" si="1"/>
        <v>40</v>
      </c>
      <c r="J32" s="959" t="str">
        <f>Mủ!AK34</f>
        <v>A</v>
      </c>
      <c r="K32" s="960"/>
      <c r="L32" s="961">
        <f t="shared" si="2"/>
        <v>40</v>
      </c>
      <c r="M32" s="962" t="str">
        <f t="shared" si="3"/>
        <v>A</v>
      </c>
      <c r="N32" s="963"/>
      <c r="O32" s="632">
        <f t="shared" si="4"/>
        <v>25</v>
      </c>
      <c r="P32" s="746">
        <f t="shared" si="5"/>
        <v>60</v>
      </c>
      <c r="Q32" s="747">
        <f t="shared" si="6"/>
        <v>85</v>
      </c>
      <c r="R32" s="634" t="str">
        <f t="shared" si="7"/>
        <v>B</v>
      </c>
      <c r="S32" s="740"/>
      <c r="T32" s="740"/>
      <c r="U32" s="745" t="s">
        <v>52</v>
      </c>
      <c r="V32" s="740"/>
      <c r="W32" s="740"/>
      <c r="X32" s="740"/>
      <c r="Y32" s="740"/>
      <c r="Z32" s="740"/>
      <c r="AA32" s="740"/>
      <c r="AB32" s="740"/>
      <c r="AC32" s="740"/>
    </row>
    <row r="33" spans="1:29" s="748" customFormat="1" ht="21.75" customHeight="1">
      <c r="A33" s="955">
        <v>23</v>
      </c>
      <c r="B33" s="683"/>
      <c r="C33" s="1611" t="str">
        <f>'Chấm công công nhân'!L35</f>
        <v>Thảo Cum Pha</v>
      </c>
      <c r="D33" s="956" t="s">
        <v>40</v>
      </c>
      <c r="E33" s="1650">
        <f>'Chấm công công nhân'!AV35</f>
        <v>10</v>
      </c>
      <c r="F33" s="957"/>
      <c r="G33" s="957"/>
      <c r="H33" s="957">
        <f t="shared" si="0"/>
        <v>10</v>
      </c>
      <c r="I33" s="958" t="str">
        <f t="shared" si="1"/>
        <v>30</v>
      </c>
      <c r="J33" s="959" t="str">
        <f>Mủ!AK35</f>
        <v>B</v>
      </c>
      <c r="K33" s="960"/>
      <c r="L33" s="961">
        <f t="shared" si="2"/>
        <v>30</v>
      </c>
      <c r="M33" s="962" t="str">
        <f t="shared" si="3"/>
        <v>B</v>
      </c>
      <c r="N33" s="963"/>
      <c r="O33" s="632">
        <f t="shared" si="4"/>
        <v>25</v>
      </c>
      <c r="P33" s="746">
        <f t="shared" si="5"/>
        <v>50</v>
      </c>
      <c r="Q33" s="747">
        <f t="shared" si="6"/>
        <v>75</v>
      </c>
      <c r="R33" s="634" t="str">
        <f t="shared" si="7"/>
        <v>C</v>
      </c>
      <c r="S33" s="740"/>
      <c r="T33" s="740"/>
      <c r="U33" s="745" t="s">
        <v>52</v>
      </c>
      <c r="V33" s="740"/>
      <c r="W33" s="740"/>
      <c r="X33" s="740"/>
      <c r="Y33" s="740"/>
      <c r="Z33" s="740"/>
      <c r="AA33" s="740"/>
      <c r="AB33" s="740"/>
      <c r="AC33" s="740"/>
    </row>
    <row r="34" spans="1:29" s="748" customFormat="1" ht="21.75" customHeight="1">
      <c r="A34" s="955">
        <v>24</v>
      </c>
      <c r="B34" s="683"/>
      <c r="C34" s="1611" t="str">
        <f>'Chấm công công nhân'!L36</f>
        <v>T Ô Vên</v>
      </c>
      <c r="D34" s="956" t="s">
        <v>40</v>
      </c>
      <c r="E34" s="1650">
        <f>'Chấm công công nhân'!AV36</f>
        <v>17</v>
      </c>
      <c r="F34" s="957"/>
      <c r="G34" s="957"/>
      <c r="H34" s="957">
        <f t="shared" si="0"/>
        <v>17</v>
      </c>
      <c r="I34" s="958" t="str">
        <f t="shared" si="1"/>
        <v>40</v>
      </c>
      <c r="J34" s="959" t="str">
        <f>Mủ!AK36</f>
        <v>B</v>
      </c>
      <c r="K34" s="960"/>
      <c r="L34" s="961">
        <f t="shared" si="2"/>
        <v>40</v>
      </c>
      <c r="M34" s="962" t="str">
        <f t="shared" si="3"/>
        <v>B</v>
      </c>
      <c r="N34" s="963"/>
      <c r="O34" s="632">
        <f t="shared" si="4"/>
        <v>25</v>
      </c>
      <c r="P34" s="746">
        <f t="shared" si="5"/>
        <v>50</v>
      </c>
      <c r="Q34" s="747">
        <f t="shared" si="6"/>
        <v>75</v>
      </c>
      <c r="R34" s="634" t="str">
        <f t="shared" si="7"/>
        <v>C</v>
      </c>
      <c r="S34" s="740"/>
      <c r="T34" s="740"/>
      <c r="U34" s="745" t="s">
        <v>52</v>
      </c>
      <c r="V34" s="740"/>
      <c r="W34" s="740"/>
      <c r="X34" s="740"/>
      <c r="Y34" s="740"/>
      <c r="Z34" s="740"/>
      <c r="AA34" s="740"/>
      <c r="AB34" s="740"/>
      <c r="AC34" s="740"/>
    </row>
    <row r="35" spans="1:29" s="748" customFormat="1" ht="21.75" customHeight="1">
      <c r="A35" s="955">
        <v>25</v>
      </c>
      <c r="B35" s="683"/>
      <c r="C35" s="1611" t="str">
        <f>'Chấm công công nhân'!L37</f>
        <v>Nàng Lam</v>
      </c>
      <c r="D35" s="956" t="s">
        <v>40</v>
      </c>
      <c r="E35" s="1650">
        <f>'Chấm công công nhân'!AV37</f>
        <v>22</v>
      </c>
      <c r="F35" s="957"/>
      <c r="G35" s="957"/>
      <c r="H35" s="957">
        <f t="shared" si="0"/>
        <v>22</v>
      </c>
      <c r="I35" s="958" t="str">
        <f t="shared" si="1"/>
        <v>40</v>
      </c>
      <c r="J35" s="959" t="str">
        <f>Mủ!AK37</f>
        <v>A</v>
      </c>
      <c r="K35" s="960"/>
      <c r="L35" s="961">
        <f t="shared" si="2"/>
        <v>40</v>
      </c>
      <c r="M35" s="962" t="str">
        <f t="shared" si="3"/>
        <v>A</v>
      </c>
      <c r="N35" s="963"/>
      <c r="O35" s="632"/>
      <c r="P35" s="746">
        <f t="shared" si="5"/>
        <v>60</v>
      </c>
      <c r="Q35" s="747"/>
      <c r="R35" s="634"/>
      <c r="S35" s="740"/>
      <c r="T35" s="740"/>
      <c r="U35" s="745"/>
      <c r="V35" s="740"/>
      <c r="W35" s="740"/>
      <c r="X35" s="740"/>
      <c r="Y35" s="740"/>
      <c r="Z35" s="740"/>
      <c r="AA35" s="740"/>
      <c r="AB35" s="740"/>
      <c r="AC35" s="740"/>
    </row>
    <row r="36" spans="1:29" s="748" customFormat="1" ht="21.75" customHeight="1">
      <c r="A36" s="955">
        <v>26</v>
      </c>
      <c r="B36" s="683"/>
      <c r="C36" s="1611" t="str">
        <f>'Chấm công công nhân'!L38</f>
        <v>Nàng Hđao</v>
      </c>
      <c r="D36" s="956" t="s">
        <v>40</v>
      </c>
      <c r="E36" s="1650">
        <f>'Chấm công công nhân'!AV38</f>
        <v>16</v>
      </c>
      <c r="F36" s="957"/>
      <c r="G36" s="957"/>
      <c r="H36" s="957">
        <f t="shared" si="0"/>
        <v>16</v>
      </c>
      <c r="I36" s="958" t="str">
        <f t="shared" si="1"/>
        <v>40</v>
      </c>
      <c r="J36" s="959" t="str">
        <f>Mủ!AK38</f>
        <v>B</v>
      </c>
      <c r="K36" s="960"/>
      <c r="L36" s="961">
        <f t="shared" si="2"/>
        <v>40</v>
      </c>
      <c r="M36" s="962" t="str">
        <f t="shared" si="3"/>
        <v>B</v>
      </c>
      <c r="N36" s="963"/>
      <c r="O36" s="632"/>
      <c r="P36" s="746">
        <f t="shared" si="5"/>
        <v>50</v>
      </c>
      <c r="Q36" s="747"/>
      <c r="R36" s="634"/>
      <c r="S36" s="740"/>
      <c r="T36" s="740"/>
      <c r="U36" s="745"/>
      <c r="V36" s="740"/>
      <c r="W36" s="740"/>
      <c r="X36" s="740"/>
      <c r="Y36" s="740"/>
      <c r="Z36" s="740"/>
      <c r="AA36" s="740"/>
      <c r="AB36" s="740"/>
      <c r="AC36" s="740"/>
    </row>
    <row r="37" spans="1:29" s="748" customFormat="1" ht="21.75" customHeight="1">
      <c r="A37" s="955">
        <v>27</v>
      </c>
      <c r="B37" s="683"/>
      <c r="C37" s="1611" t="str">
        <f>'Chấm công công nhân'!L39</f>
        <v>Thảo Tong</v>
      </c>
      <c r="D37" s="956" t="s">
        <v>40</v>
      </c>
      <c r="E37" s="1650">
        <f>'Chấm công công nhân'!AV39</f>
        <v>17</v>
      </c>
      <c r="F37" s="957"/>
      <c r="G37" s="957"/>
      <c r="H37" s="957">
        <f t="shared" si="0"/>
        <v>17</v>
      </c>
      <c r="I37" s="958" t="str">
        <f t="shared" si="1"/>
        <v>40</v>
      </c>
      <c r="J37" s="959" t="str">
        <f>Mủ!AK39</f>
        <v>B</v>
      </c>
      <c r="K37" s="960"/>
      <c r="L37" s="961">
        <f t="shared" si="2"/>
        <v>40</v>
      </c>
      <c r="M37" s="962" t="str">
        <f t="shared" si="3"/>
        <v>B</v>
      </c>
      <c r="N37" s="963"/>
      <c r="O37" s="632"/>
      <c r="P37" s="746">
        <f t="shared" si="5"/>
        <v>50</v>
      </c>
      <c r="Q37" s="747"/>
      <c r="R37" s="634"/>
      <c r="S37" s="740"/>
      <c r="T37" s="740"/>
      <c r="U37" s="745"/>
      <c r="V37" s="740"/>
      <c r="W37" s="740"/>
      <c r="X37" s="740"/>
      <c r="Y37" s="740"/>
      <c r="Z37" s="740"/>
      <c r="AA37" s="740"/>
      <c r="AB37" s="740"/>
      <c r="AC37" s="740"/>
    </row>
    <row r="38" spans="1:29" s="748" customFormat="1" ht="21.75" customHeight="1">
      <c r="A38" s="955">
        <v>28</v>
      </c>
      <c r="B38" s="683" t="s">
        <v>295</v>
      </c>
      <c r="C38" s="1611" t="str">
        <f>'Chấm công công nhân'!L40</f>
        <v>Thảo Khốc</v>
      </c>
      <c r="D38" s="956" t="s">
        <v>40</v>
      </c>
      <c r="E38" s="1650">
        <f>'Chấm công công nhân'!AV40</f>
        <v>22</v>
      </c>
      <c r="F38" s="957"/>
      <c r="G38" s="957"/>
      <c r="H38" s="957">
        <f t="shared" si="0"/>
        <v>22</v>
      </c>
      <c r="I38" s="958" t="str">
        <f t="shared" si="1"/>
        <v>40</v>
      </c>
      <c r="J38" s="959" t="str">
        <f>Mủ!AK40</f>
        <v>A</v>
      </c>
      <c r="K38" s="960"/>
      <c r="L38" s="961">
        <f t="shared" si="2"/>
        <v>40</v>
      </c>
      <c r="M38" s="962" t="str">
        <f t="shared" si="3"/>
        <v>A</v>
      </c>
      <c r="N38" s="963"/>
      <c r="O38" s="632">
        <f t="shared" si="4"/>
        <v>30</v>
      </c>
      <c r="P38" s="746">
        <f t="shared" si="5"/>
        <v>60</v>
      </c>
      <c r="Q38" s="747">
        <f t="shared" si="6"/>
        <v>90</v>
      </c>
      <c r="R38" s="634" t="str">
        <f t="shared" si="7"/>
        <v>B</v>
      </c>
      <c r="S38" s="740" t="b">
        <f t="shared" si="8"/>
        <v>0</v>
      </c>
      <c r="T38" s="740"/>
      <c r="U38" s="745" t="s">
        <v>52</v>
      </c>
      <c r="V38" s="740"/>
      <c r="W38" s="740"/>
      <c r="X38" s="740"/>
      <c r="Y38" s="740"/>
      <c r="Z38" s="740"/>
      <c r="AA38" s="740"/>
      <c r="AB38" s="740"/>
      <c r="AC38" s="740"/>
    </row>
    <row r="39" spans="1:29" s="748" customFormat="1" ht="21.75" customHeight="1">
      <c r="A39" s="955">
        <v>29</v>
      </c>
      <c r="B39" s="683"/>
      <c r="C39" s="1611" t="str">
        <f>'Chấm công công nhân'!L41</f>
        <v>Thảo Sợt</v>
      </c>
      <c r="D39" s="956" t="s">
        <v>40</v>
      </c>
      <c r="E39" s="1650">
        <f>'Chấm công công nhân'!AV41</f>
        <v>22</v>
      </c>
      <c r="F39" s="957"/>
      <c r="G39" s="957"/>
      <c r="H39" s="957">
        <f t="shared" si="0"/>
        <v>22</v>
      </c>
      <c r="I39" s="958" t="str">
        <f t="shared" si="1"/>
        <v>40</v>
      </c>
      <c r="J39" s="959" t="str">
        <f>Mủ!AK41</f>
        <v>B</v>
      </c>
      <c r="K39" s="960"/>
      <c r="L39" s="961">
        <f t="shared" si="2"/>
        <v>40</v>
      </c>
      <c r="M39" s="962" t="str">
        <f t="shared" si="3"/>
        <v>B</v>
      </c>
      <c r="N39" s="963"/>
      <c r="O39" s="632"/>
      <c r="P39" s="746">
        <f t="shared" si="5"/>
        <v>50</v>
      </c>
      <c r="Q39" s="747"/>
      <c r="R39" s="634"/>
      <c r="S39" s="740"/>
      <c r="T39" s="740"/>
      <c r="U39" s="745"/>
      <c r="V39" s="740"/>
      <c r="W39" s="740"/>
      <c r="X39" s="740"/>
      <c r="Y39" s="740"/>
      <c r="Z39" s="740"/>
      <c r="AA39" s="740"/>
      <c r="AB39" s="740"/>
      <c r="AC39" s="740"/>
    </row>
    <row r="40" spans="1:29" s="748" customFormat="1" ht="21.75" customHeight="1">
      <c r="A40" s="955">
        <v>30</v>
      </c>
      <c r="B40" s="683" t="s">
        <v>297</v>
      </c>
      <c r="C40" s="1611" t="str">
        <f>'Chấm công công nhân'!L42</f>
        <v>Thảo Văn</v>
      </c>
      <c r="D40" s="956" t="s">
        <v>40</v>
      </c>
      <c r="E40" s="1650">
        <f>'Chấm công công nhân'!AV42</f>
        <v>15</v>
      </c>
      <c r="F40" s="957"/>
      <c r="G40" s="957"/>
      <c r="H40" s="957">
        <f t="shared" si="0"/>
        <v>15</v>
      </c>
      <c r="I40" s="958" t="str">
        <f t="shared" si="1"/>
        <v>35</v>
      </c>
      <c r="J40" s="959" t="str">
        <f>Mủ!AK42</f>
        <v>C</v>
      </c>
      <c r="K40" s="960"/>
      <c r="L40" s="961">
        <f t="shared" si="2"/>
        <v>35</v>
      </c>
      <c r="M40" s="962" t="str">
        <f t="shared" si="3"/>
        <v>C</v>
      </c>
      <c r="N40" s="963"/>
      <c r="O40" s="632"/>
      <c r="P40" s="746">
        <f t="shared" si="5"/>
        <v>45</v>
      </c>
      <c r="Q40" s="747"/>
      <c r="R40" s="634"/>
      <c r="S40" s="740" t="b">
        <f t="shared" si="8"/>
        <v>0</v>
      </c>
      <c r="T40" s="740"/>
      <c r="U40" s="745" t="s">
        <v>52</v>
      </c>
      <c r="V40" s="740"/>
      <c r="W40" s="740"/>
      <c r="X40" s="740"/>
      <c r="Y40" s="740"/>
      <c r="Z40" s="740"/>
      <c r="AA40" s="740"/>
      <c r="AB40" s="740"/>
      <c r="AC40" s="740"/>
    </row>
    <row r="41" spans="1:29" s="748" customFormat="1" ht="21.75" customHeight="1">
      <c r="A41" s="955">
        <v>31</v>
      </c>
      <c r="B41" s="683" t="s">
        <v>351</v>
      </c>
      <c r="C41" s="1611" t="str">
        <f>'Chấm công công nhân'!L43</f>
        <v>Nàng Túc</v>
      </c>
      <c r="D41" s="956" t="s">
        <v>40</v>
      </c>
      <c r="E41" s="1650">
        <f>'Chấm công công nhân'!AV43</f>
        <v>17</v>
      </c>
      <c r="F41" s="957"/>
      <c r="G41" s="957"/>
      <c r="H41" s="957">
        <f t="shared" si="0"/>
        <v>17</v>
      </c>
      <c r="I41" s="958" t="str">
        <f t="shared" si="1"/>
        <v>40</v>
      </c>
      <c r="J41" s="959" t="str">
        <f>Mủ!AK43</f>
        <v>A</v>
      </c>
      <c r="K41" s="960"/>
      <c r="L41" s="961">
        <f t="shared" si="2"/>
        <v>40</v>
      </c>
      <c r="M41" s="962" t="str">
        <f t="shared" si="3"/>
        <v>A</v>
      </c>
      <c r="N41" s="963"/>
      <c r="O41" s="632"/>
      <c r="P41" s="746">
        <f t="shared" si="5"/>
        <v>60</v>
      </c>
      <c r="Q41" s="747"/>
      <c r="R41" s="634"/>
      <c r="S41" s="740" t="b">
        <f t="shared" si="8"/>
        <v>0</v>
      </c>
      <c r="T41" s="740"/>
      <c r="U41" s="745" t="s">
        <v>92</v>
      </c>
      <c r="V41" s="740"/>
      <c r="W41" s="740"/>
      <c r="X41" s="740"/>
      <c r="Y41" s="740"/>
      <c r="Z41" s="740"/>
      <c r="AA41" s="740"/>
      <c r="AB41" s="740"/>
      <c r="AC41" s="740"/>
    </row>
    <row r="42" spans="1:29" s="748" customFormat="1" ht="21.75" customHeight="1">
      <c r="A42" s="955">
        <v>32</v>
      </c>
      <c r="B42" s="683" t="s">
        <v>331</v>
      </c>
      <c r="C42" s="1611" t="str">
        <f>'Chấm công công nhân'!L44</f>
        <v>Nàng Chon</v>
      </c>
      <c r="D42" s="956" t="s">
        <v>40</v>
      </c>
      <c r="E42" s="1650">
        <f>'Chấm công công nhân'!AV44</f>
        <v>22</v>
      </c>
      <c r="F42" s="724"/>
      <c r="G42" s="957"/>
      <c r="H42" s="957">
        <f t="shared" si="0"/>
        <v>22</v>
      </c>
      <c r="I42" s="958" t="str">
        <f t="shared" si="1"/>
        <v>40</v>
      </c>
      <c r="J42" s="959" t="str">
        <f>Mủ!AK44</f>
        <v>B</v>
      </c>
      <c r="K42" s="960"/>
      <c r="L42" s="961">
        <f t="shared" si="2"/>
        <v>40</v>
      </c>
      <c r="M42" s="962" t="str">
        <f t="shared" si="3"/>
        <v>B</v>
      </c>
      <c r="N42" s="963"/>
      <c r="O42" s="632">
        <f t="shared" si="4"/>
        <v>30</v>
      </c>
      <c r="P42" s="746">
        <f t="shared" si="5"/>
        <v>50</v>
      </c>
      <c r="Q42" s="747">
        <f t="shared" si="6"/>
        <v>80</v>
      </c>
      <c r="R42" s="634" t="str">
        <f t="shared" si="7"/>
        <v>C</v>
      </c>
      <c r="S42" s="740" t="b">
        <f t="shared" si="8"/>
        <v>0</v>
      </c>
      <c r="T42" s="740"/>
      <c r="U42" s="745" t="s">
        <v>52</v>
      </c>
      <c r="V42" s="740"/>
      <c r="W42" s="740"/>
      <c r="X42" s="740"/>
      <c r="Y42" s="740"/>
      <c r="Z42" s="740"/>
      <c r="AA42" s="740"/>
      <c r="AB42" s="740"/>
      <c r="AC42" s="740"/>
    </row>
    <row r="43" spans="1:29" s="748" customFormat="1" ht="21.75" customHeight="1">
      <c r="A43" s="955">
        <v>33</v>
      </c>
      <c r="B43" s="683" t="s">
        <v>297</v>
      </c>
      <c r="C43" s="1611" t="str">
        <f>'Chấm công công nhân'!L45</f>
        <v>Thảo Hơ Phơ</v>
      </c>
      <c r="D43" s="956" t="s">
        <v>40</v>
      </c>
      <c r="E43" s="1650">
        <f>'Chấm công công nhân'!AV45</f>
        <v>20</v>
      </c>
      <c r="F43" s="957"/>
      <c r="G43" s="957"/>
      <c r="H43" s="957">
        <f t="shared" ref="H43:H84" si="9">SUM(E43:G43)</f>
        <v>20</v>
      </c>
      <c r="I43" s="958" t="str">
        <f t="shared" si="1"/>
        <v>40</v>
      </c>
      <c r="J43" s="959" t="str">
        <f>Mủ!AK45</f>
        <v>A</v>
      </c>
      <c r="K43" s="960"/>
      <c r="L43" s="961">
        <f t="shared" si="2"/>
        <v>40</v>
      </c>
      <c r="M43" s="962" t="str">
        <f t="shared" si="3"/>
        <v>A</v>
      </c>
      <c r="N43" s="963"/>
      <c r="O43" s="632"/>
      <c r="P43" s="746">
        <f t="shared" ref="P43:P46" si="10">IF(J43="A",60,IF(J43="B",50,IF(J43="C",45,IF(J43="d",40))))</f>
        <v>60</v>
      </c>
      <c r="Q43" s="747"/>
      <c r="R43" s="634"/>
      <c r="S43" s="740" t="b">
        <f t="shared" ref="S43:S45" si="11">EXACT(M43,R43)</f>
        <v>0</v>
      </c>
      <c r="T43" s="740"/>
      <c r="U43" s="745" t="s">
        <v>52</v>
      </c>
      <c r="V43" s="740"/>
      <c r="W43" s="740"/>
      <c r="X43" s="740"/>
      <c r="Y43" s="740"/>
      <c r="Z43" s="740"/>
      <c r="AA43" s="740"/>
      <c r="AB43" s="740"/>
      <c r="AC43" s="740"/>
    </row>
    <row r="44" spans="1:29" s="748" customFormat="1" ht="21.75" customHeight="1">
      <c r="A44" s="955">
        <v>34</v>
      </c>
      <c r="B44" s="683" t="s">
        <v>351</v>
      </c>
      <c r="C44" s="1611" t="str">
        <f>'Chấm công công nhân'!L46</f>
        <v>Thảo Phét</v>
      </c>
      <c r="D44" s="956" t="s">
        <v>40</v>
      </c>
      <c r="E44" s="1650">
        <f>'Chấm công công nhân'!AV46</f>
        <v>23</v>
      </c>
      <c r="F44" s="957"/>
      <c r="G44" s="957"/>
      <c r="H44" s="957">
        <f t="shared" si="9"/>
        <v>23</v>
      </c>
      <c r="I44" s="958" t="str">
        <f t="shared" si="1"/>
        <v>40</v>
      </c>
      <c r="J44" s="959" t="str">
        <f>Mủ!AK46</f>
        <v>A</v>
      </c>
      <c r="K44" s="960"/>
      <c r="L44" s="961">
        <f t="shared" si="2"/>
        <v>40</v>
      </c>
      <c r="M44" s="962" t="str">
        <f t="shared" si="3"/>
        <v>A</v>
      </c>
      <c r="N44" s="963"/>
      <c r="O44" s="632"/>
      <c r="P44" s="746">
        <f t="shared" si="10"/>
        <v>60</v>
      </c>
      <c r="Q44" s="747"/>
      <c r="R44" s="634"/>
      <c r="S44" s="740" t="b">
        <f t="shared" si="11"/>
        <v>0</v>
      </c>
      <c r="T44" s="740"/>
      <c r="U44" s="745" t="s">
        <v>92</v>
      </c>
      <c r="V44" s="740"/>
      <c r="W44" s="740"/>
      <c r="X44" s="740"/>
      <c r="Y44" s="740"/>
      <c r="Z44" s="740"/>
      <c r="AA44" s="740"/>
      <c r="AB44" s="740"/>
      <c r="AC44" s="740"/>
    </row>
    <row r="45" spans="1:29" s="748" customFormat="1" ht="21.75" customHeight="1">
      <c r="A45" s="955">
        <v>35</v>
      </c>
      <c r="B45" s="683" t="s">
        <v>331</v>
      </c>
      <c r="C45" s="1611" t="str">
        <f>'Chấm công công nhân'!L47</f>
        <v>Hăn</v>
      </c>
      <c r="D45" s="956" t="s">
        <v>40</v>
      </c>
      <c r="E45" s="1650">
        <f>'Chấm công công nhân'!AV47</f>
        <v>20</v>
      </c>
      <c r="F45" s="724"/>
      <c r="G45" s="957"/>
      <c r="H45" s="957">
        <f t="shared" si="9"/>
        <v>20</v>
      </c>
      <c r="I45" s="958" t="str">
        <f t="shared" si="1"/>
        <v>40</v>
      </c>
      <c r="J45" s="959" t="str">
        <f>Mủ!AK47</f>
        <v>A</v>
      </c>
      <c r="K45" s="960"/>
      <c r="L45" s="961">
        <f t="shared" si="2"/>
        <v>40</v>
      </c>
      <c r="M45" s="962" t="str">
        <f t="shared" si="3"/>
        <v>A</v>
      </c>
      <c r="N45" s="963"/>
      <c r="O45" s="632">
        <f t="shared" ref="O45" si="12">IF(H45&lt;20,25,IF(H45&lt;=22,30,IF(H45&gt;=26,"40",35)))</f>
        <v>30</v>
      </c>
      <c r="P45" s="746">
        <f t="shared" si="10"/>
        <v>60</v>
      </c>
      <c r="Q45" s="747">
        <f t="shared" ref="Q45" si="13">+O45+P45</f>
        <v>90</v>
      </c>
      <c r="R45" s="634" t="str">
        <f t="shared" ref="R45" si="14">IF(Q45&lt;70,"D",IF(Q45&gt;=95,"A",IF(Q45&lt;=80,"C","B")))</f>
        <v>B</v>
      </c>
      <c r="S45" s="740" t="b">
        <f t="shared" si="11"/>
        <v>0</v>
      </c>
      <c r="T45" s="740"/>
      <c r="U45" s="745" t="s">
        <v>52</v>
      </c>
      <c r="V45" s="740"/>
      <c r="W45" s="740"/>
      <c r="X45" s="740"/>
      <c r="Y45" s="740"/>
      <c r="Z45" s="740"/>
      <c r="AA45" s="740"/>
      <c r="AB45" s="740"/>
      <c r="AC45" s="740"/>
    </row>
    <row r="46" spans="1:29" s="748" customFormat="1" ht="21.75" customHeight="1">
      <c r="A46" s="955">
        <v>36</v>
      </c>
      <c r="B46" s="683"/>
      <c r="C46" s="1611" t="str">
        <f>'Chấm công công nhân'!L48</f>
        <v>Thảo Tuỳ</v>
      </c>
      <c r="D46" s="956" t="s">
        <v>40</v>
      </c>
      <c r="E46" s="1650">
        <f>'Chấm công công nhân'!AV48</f>
        <v>23</v>
      </c>
      <c r="F46" s="724"/>
      <c r="G46" s="957"/>
      <c r="H46" s="957">
        <f t="shared" si="9"/>
        <v>23</v>
      </c>
      <c r="I46" s="958" t="str">
        <f t="shared" si="1"/>
        <v>40</v>
      </c>
      <c r="J46" s="959" t="str">
        <f>Mủ!AK48</f>
        <v>A</v>
      </c>
      <c r="K46" s="960"/>
      <c r="L46" s="961">
        <f t="shared" si="2"/>
        <v>40</v>
      </c>
      <c r="M46" s="962" t="str">
        <f t="shared" si="3"/>
        <v>A</v>
      </c>
      <c r="N46" s="963"/>
      <c r="O46" s="632"/>
      <c r="P46" s="746">
        <f t="shared" si="10"/>
        <v>60</v>
      </c>
      <c r="Q46" s="747"/>
      <c r="R46" s="634"/>
      <c r="S46" s="740"/>
      <c r="T46" s="740"/>
      <c r="U46" s="745"/>
      <c r="V46" s="740"/>
      <c r="W46" s="740"/>
      <c r="X46" s="740"/>
      <c r="Y46" s="740"/>
      <c r="Z46" s="740"/>
      <c r="AA46" s="740"/>
      <c r="AB46" s="740"/>
      <c r="AC46" s="740"/>
    </row>
    <row r="47" spans="1:29" s="748" customFormat="1" ht="21.75" customHeight="1">
      <c r="A47" s="3669">
        <v>37</v>
      </c>
      <c r="B47" s="683"/>
      <c r="C47" s="1611" t="str">
        <f>'Chấm công công nhân'!L49</f>
        <v>Thảo Đa Văn</v>
      </c>
      <c r="D47" s="956" t="s">
        <v>40</v>
      </c>
      <c r="E47" s="1650">
        <f>'Chấm công công nhân'!AV49</f>
        <v>6</v>
      </c>
      <c r="F47" s="724"/>
      <c r="G47" s="957"/>
      <c r="H47" s="957">
        <f t="shared" si="9"/>
        <v>6</v>
      </c>
      <c r="I47" s="958" t="str">
        <f t="shared" si="1"/>
        <v>25</v>
      </c>
      <c r="J47" s="959" t="str">
        <f>Mủ!AK49</f>
        <v>B</v>
      </c>
      <c r="K47" s="960"/>
      <c r="L47" s="961">
        <f t="shared" si="2"/>
        <v>25</v>
      </c>
      <c r="M47" s="962" t="str">
        <f t="shared" si="3"/>
        <v>B</v>
      </c>
      <c r="N47" s="963"/>
      <c r="O47" s="632"/>
      <c r="P47" s="746"/>
      <c r="Q47" s="747"/>
      <c r="R47" s="634"/>
      <c r="S47" s="740"/>
      <c r="T47" s="740"/>
      <c r="U47" s="745"/>
      <c r="V47" s="740"/>
      <c r="W47" s="740"/>
      <c r="X47" s="740"/>
      <c r="Y47" s="740"/>
      <c r="Z47" s="740"/>
      <c r="AA47" s="740"/>
      <c r="AB47" s="740"/>
      <c r="AC47" s="740"/>
    </row>
    <row r="48" spans="1:29" s="748" customFormat="1" ht="21.75" customHeight="1">
      <c r="A48" s="4597" t="s">
        <v>273</v>
      </c>
      <c r="B48" s="4597"/>
      <c r="C48" s="4597"/>
      <c r="D48" s="2158"/>
      <c r="E48" s="2158"/>
      <c r="F48" s="2158"/>
      <c r="G48" s="2158"/>
      <c r="H48" s="2158"/>
      <c r="I48" s="958"/>
      <c r="J48" s="2158"/>
      <c r="K48" s="2158"/>
      <c r="L48" s="2158"/>
      <c r="M48" s="962"/>
      <c r="N48" s="2158"/>
      <c r="O48" s="632"/>
      <c r="P48" s="746"/>
      <c r="Q48" s="747"/>
      <c r="R48" s="634"/>
      <c r="S48" s="740"/>
      <c r="T48" s="740"/>
      <c r="U48" s="745"/>
      <c r="V48" s="740"/>
      <c r="W48" s="740"/>
      <c r="X48" s="740"/>
      <c r="Y48" s="740"/>
      <c r="Z48" s="740"/>
      <c r="AA48" s="740"/>
      <c r="AB48" s="740"/>
      <c r="AC48" s="740"/>
    </row>
    <row r="49" spans="1:29" s="748" customFormat="1" ht="21.75" customHeight="1">
      <c r="A49" s="955">
        <v>1</v>
      </c>
      <c r="B49" s="964"/>
      <c r="C49" s="1566" t="str">
        <f>'Chấm công công nhân'!L51</f>
        <v>Thảo Xa Đết</v>
      </c>
      <c r="D49" s="956" t="s">
        <v>40</v>
      </c>
      <c r="E49" s="1650">
        <f>'Chấm công công nhân'!AV51</f>
        <v>13</v>
      </c>
      <c r="F49" s="724"/>
      <c r="G49" s="957"/>
      <c r="H49" s="957">
        <f t="shared" si="9"/>
        <v>13</v>
      </c>
      <c r="I49" s="958" t="str">
        <f t="shared" si="1"/>
        <v>35</v>
      </c>
      <c r="J49" s="959" t="str">
        <f>Mủ!AK51</f>
        <v>B</v>
      </c>
      <c r="K49" s="960"/>
      <c r="L49" s="961">
        <f t="shared" ref="L49:L79" si="15">I49+K49</f>
        <v>35</v>
      </c>
      <c r="M49" s="962" t="str">
        <f>J49</f>
        <v>B</v>
      </c>
      <c r="N49" s="963"/>
      <c r="O49" s="632"/>
      <c r="P49" s="746">
        <f t="shared" si="5"/>
        <v>50</v>
      </c>
      <c r="Q49" s="747"/>
      <c r="R49" s="634"/>
      <c r="S49" s="740"/>
      <c r="T49" s="740"/>
      <c r="U49" s="745"/>
      <c r="V49" s="740"/>
      <c r="W49" s="740"/>
      <c r="X49" s="740"/>
      <c r="Y49" s="740"/>
      <c r="Z49" s="740"/>
      <c r="AA49" s="740"/>
      <c r="AB49" s="740"/>
      <c r="AC49" s="740"/>
    </row>
    <row r="50" spans="1:29" s="748" customFormat="1" ht="21.75" customHeight="1">
      <c r="A50" s="955">
        <v>2</v>
      </c>
      <c r="B50" s="964"/>
      <c r="C50" s="1566" t="str">
        <f>'Chấm công công nhân'!L52</f>
        <v>Thảo Sột</v>
      </c>
      <c r="D50" s="956" t="s">
        <v>40</v>
      </c>
      <c r="E50" s="1650">
        <f>'Chấm công công nhân'!AV52</f>
        <v>20</v>
      </c>
      <c r="F50" s="724"/>
      <c r="G50" s="957"/>
      <c r="H50" s="957">
        <f t="shared" si="9"/>
        <v>20</v>
      </c>
      <c r="I50" s="958" t="str">
        <f t="shared" si="1"/>
        <v>40</v>
      </c>
      <c r="J50" s="959" t="str">
        <f>Mủ!AK52</f>
        <v>A</v>
      </c>
      <c r="K50" s="960"/>
      <c r="L50" s="961">
        <f t="shared" si="15"/>
        <v>40</v>
      </c>
      <c r="M50" s="962" t="str">
        <f t="shared" ref="M50:M67" si="16">J50</f>
        <v>A</v>
      </c>
      <c r="N50" s="963"/>
      <c r="O50" s="632"/>
      <c r="P50" s="746">
        <f t="shared" si="5"/>
        <v>60</v>
      </c>
      <c r="Q50" s="747"/>
      <c r="R50" s="634"/>
      <c r="S50" s="740"/>
      <c r="T50" s="740"/>
      <c r="U50" s="745"/>
      <c r="V50" s="740"/>
      <c r="W50" s="740"/>
      <c r="X50" s="740"/>
      <c r="Y50" s="740"/>
      <c r="Z50" s="740"/>
      <c r="AA50" s="740"/>
      <c r="AB50" s="740"/>
      <c r="AC50" s="740"/>
    </row>
    <row r="51" spans="1:29" s="748" customFormat="1" ht="21.75" customHeight="1">
      <c r="A51" s="955">
        <v>3</v>
      </c>
      <c r="B51" s="964"/>
      <c r="C51" s="1566" t="str">
        <f>'Chấm công công nhân'!L53</f>
        <v>Stoong</v>
      </c>
      <c r="D51" s="956" t="s">
        <v>40</v>
      </c>
      <c r="E51" s="1650">
        <f>'Chấm công công nhân'!AV53</f>
        <v>16</v>
      </c>
      <c r="F51" s="724"/>
      <c r="G51" s="957"/>
      <c r="H51" s="957">
        <f t="shared" si="9"/>
        <v>16</v>
      </c>
      <c r="I51" s="958" t="str">
        <f t="shared" si="1"/>
        <v>40</v>
      </c>
      <c r="J51" s="959" t="str">
        <f>Mủ!AK53</f>
        <v>A</v>
      </c>
      <c r="K51" s="960"/>
      <c r="L51" s="961">
        <f t="shared" si="15"/>
        <v>40</v>
      </c>
      <c r="M51" s="962" t="str">
        <f t="shared" si="16"/>
        <v>A</v>
      </c>
      <c r="N51" s="963"/>
      <c r="O51" s="632"/>
      <c r="P51" s="746">
        <f t="shared" si="5"/>
        <v>60</v>
      </c>
      <c r="Q51" s="747"/>
      <c r="R51" s="634"/>
      <c r="S51" s="740"/>
      <c r="T51" s="740"/>
      <c r="U51" s="745"/>
      <c r="V51" s="740"/>
      <c r="W51" s="740"/>
      <c r="X51" s="740"/>
      <c r="Y51" s="740"/>
      <c r="Z51" s="740"/>
      <c r="AA51" s="740"/>
      <c r="AB51" s="740"/>
      <c r="AC51" s="740"/>
    </row>
    <row r="52" spans="1:29" s="748" customFormat="1" ht="21.75" customHeight="1">
      <c r="A52" s="955">
        <v>4</v>
      </c>
      <c r="B52" s="964"/>
      <c r="C52" s="1566" t="str">
        <f>'Chấm công công nhân'!L54</f>
        <v>Nàng Phắt</v>
      </c>
      <c r="D52" s="956" t="s">
        <v>40</v>
      </c>
      <c r="E52" s="1650">
        <f>'Chấm công công nhân'!AV54</f>
        <v>16</v>
      </c>
      <c r="F52" s="724"/>
      <c r="G52" s="957"/>
      <c r="H52" s="957">
        <f t="shared" si="9"/>
        <v>16</v>
      </c>
      <c r="I52" s="958" t="str">
        <f t="shared" si="1"/>
        <v>40</v>
      </c>
      <c r="J52" s="959" t="str">
        <f>Mủ!AK54</f>
        <v>B</v>
      </c>
      <c r="K52" s="960"/>
      <c r="L52" s="961">
        <f t="shared" si="15"/>
        <v>40</v>
      </c>
      <c r="M52" s="962" t="str">
        <f t="shared" si="16"/>
        <v>B</v>
      </c>
      <c r="N52" s="963"/>
      <c r="O52" s="632"/>
      <c r="P52" s="746">
        <f t="shared" si="5"/>
        <v>50</v>
      </c>
      <c r="Q52" s="747"/>
      <c r="R52" s="634"/>
      <c r="S52" s="740"/>
      <c r="T52" s="740"/>
      <c r="U52" s="745"/>
      <c r="V52" s="740"/>
      <c r="W52" s="740"/>
      <c r="X52" s="740"/>
      <c r="Y52" s="740"/>
      <c r="Z52" s="740"/>
      <c r="AA52" s="740"/>
      <c r="AB52" s="740"/>
      <c r="AC52" s="740"/>
    </row>
    <row r="53" spans="1:29" s="748" customFormat="1" ht="21.75" customHeight="1">
      <c r="A53" s="955">
        <v>5</v>
      </c>
      <c r="B53" s="964"/>
      <c r="C53" s="1566" t="str">
        <f>'Chấm công công nhân'!L55</f>
        <v>Nàng May</v>
      </c>
      <c r="D53" s="956" t="s">
        <v>40</v>
      </c>
      <c r="E53" s="1650">
        <f>'Chấm công công nhân'!AV55</f>
        <v>17</v>
      </c>
      <c r="F53" s="724"/>
      <c r="G53" s="957"/>
      <c r="H53" s="957">
        <f t="shared" si="9"/>
        <v>17</v>
      </c>
      <c r="I53" s="958" t="str">
        <f t="shared" si="1"/>
        <v>40</v>
      </c>
      <c r="J53" s="959" t="str">
        <f>Mủ!AK55</f>
        <v>B</v>
      </c>
      <c r="K53" s="960"/>
      <c r="L53" s="961">
        <f t="shared" si="15"/>
        <v>40</v>
      </c>
      <c r="M53" s="962" t="str">
        <f t="shared" si="16"/>
        <v>B</v>
      </c>
      <c r="N53" s="963"/>
      <c r="O53" s="632"/>
      <c r="P53" s="746">
        <f t="shared" si="5"/>
        <v>50</v>
      </c>
      <c r="Q53" s="747"/>
      <c r="R53" s="634"/>
      <c r="S53" s="740"/>
      <c r="T53" s="740"/>
      <c r="U53" s="745"/>
      <c r="V53" s="740"/>
      <c r="W53" s="740"/>
      <c r="X53" s="740"/>
      <c r="Y53" s="740"/>
      <c r="Z53" s="740"/>
      <c r="AA53" s="740"/>
      <c r="AB53" s="740"/>
      <c r="AC53" s="740"/>
    </row>
    <row r="54" spans="1:29" s="748" customFormat="1" ht="21.75" customHeight="1">
      <c r="A54" s="955">
        <v>6</v>
      </c>
      <c r="B54" s="964"/>
      <c r="C54" s="1566" t="str">
        <f>'Chấm công công nhân'!L56</f>
        <v>Thảo Bênh</v>
      </c>
      <c r="D54" s="956" t="s">
        <v>40</v>
      </c>
      <c r="E54" s="1650">
        <f>'Chấm công công nhân'!AV56</f>
        <v>17</v>
      </c>
      <c r="F54" s="724"/>
      <c r="G54" s="957"/>
      <c r="H54" s="957">
        <f t="shared" si="9"/>
        <v>17</v>
      </c>
      <c r="I54" s="958" t="str">
        <f t="shared" si="1"/>
        <v>40</v>
      </c>
      <c r="J54" s="959" t="str">
        <f>Mủ!AK56</f>
        <v>A</v>
      </c>
      <c r="K54" s="960"/>
      <c r="L54" s="961">
        <f t="shared" si="15"/>
        <v>40</v>
      </c>
      <c r="M54" s="962" t="str">
        <f t="shared" si="16"/>
        <v>A</v>
      </c>
      <c r="N54" s="963"/>
      <c r="O54" s="632"/>
      <c r="P54" s="746">
        <f t="shared" si="5"/>
        <v>60</v>
      </c>
      <c r="Q54" s="747"/>
      <c r="R54" s="634"/>
      <c r="S54" s="740"/>
      <c r="T54" s="740"/>
      <c r="U54" s="745"/>
      <c r="V54" s="740"/>
      <c r="W54" s="740"/>
      <c r="X54" s="740"/>
      <c r="Y54" s="740"/>
      <c r="Z54" s="740"/>
      <c r="AA54" s="740"/>
      <c r="AB54" s="740"/>
      <c r="AC54" s="740"/>
    </row>
    <row r="55" spans="1:29" s="748" customFormat="1" ht="21.75" customHeight="1">
      <c r="A55" s="955">
        <v>7</v>
      </c>
      <c r="B55" s="964"/>
      <c r="C55" s="1566" t="str">
        <f>'Chấm công công nhân'!L57</f>
        <v>Thảo Đinh</v>
      </c>
      <c r="D55" s="956" t="s">
        <v>40</v>
      </c>
      <c r="E55" s="1650">
        <f>'Chấm công công nhân'!AV57</f>
        <v>24</v>
      </c>
      <c r="F55" s="724"/>
      <c r="G55" s="957"/>
      <c r="H55" s="957">
        <f t="shared" si="9"/>
        <v>24</v>
      </c>
      <c r="I55" s="958" t="str">
        <f t="shared" si="1"/>
        <v>40</v>
      </c>
      <c r="J55" s="959" t="str">
        <f>Mủ!AK57</f>
        <v>A</v>
      </c>
      <c r="K55" s="960"/>
      <c r="L55" s="961">
        <f t="shared" si="15"/>
        <v>40</v>
      </c>
      <c r="M55" s="962" t="str">
        <f t="shared" si="16"/>
        <v>A</v>
      </c>
      <c r="N55" s="963"/>
      <c r="O55" s="632"/>
      <c r="P55" s="746">
        <f t="shared" si="5"/>
        <v>60</v>
      </c>
      <c r="Q55" s="747"/>
      <c r="R55" s="634"/>
      <c r="S55" s="740"/>
      <c r="T55" s="740"/>
      <c r="U55" s="745"/>
      <c r="V55" s="740"/>
      <c r="W55" s="740"/>
      <c r="X55" s="740"/>
      <c r="Y55" s="740"/>
      <c r="Z55" s="740"/>
      <c r="AA55" s="740"/>
      <c r="AB55" s="740"/>
      <c r="AC55" s="740"/>
    </row>
    <row r="56" spans="1:29" s="748" customFormat="1" ht="21.75" customHeight="1">
      <c r="A56" s="955">
        <v>8</v>
      </c>
      <c r="B56" s="964"/>
      <c r="C56" s="1566" t="str">
        <f>'Chấm công công nhân'!L58</f>
        <v>Thảo Vi</v>
      </c>
      <c r="D56" s="956" t="s">
        <v>40</v>
      </c>
      <c r="E56" s="1650">
        <f>'Chấm công công nhân'!AV58</f>
        <v>16</v>
      </c>
      <c r="F56" s="724"/>
      <c r="G56" s="957"/>
      <c r="H56" s="957">
        <f t="shared" si="9"/>
        <v>16</v>
      </c>
      <c r="I56" s="958" t="str">
        <f t="shared" si="1"/>
        <v>40</v>
      </c>
      <c r="J56" s="959" t="str">
        <f>Mủ!AK58</f>
        <v>B</v>
      </c>
      <c r="K56" s="960"/>
      <c r="L56" s="961">
        <f t="shared" si="15"/>
        <v>40</v>
      </c>
      <c r="M56" s="962" t="str">
        <f t="shared" si="16"/>
        <v>B</v>
      </c>
      <c r="N56" s="963"/>
      <c r="O56" s="632"/>
      <c r="P56" s="746">
        <f t="shared" si="5"/>
        <v>50</v>
      </c>
      <c r="Q56" s="747"/>
      <c r="R56" s="634"/>
      <c r="S56" s="740"/>
      <c r="T56" s="740"/>
      <c r="U56" s="745"/>
      <c r="V56" s="740"/>
      <c r="W56" s="740"/>
      <c r="X56" s="740"/>
      <c r="Y56" s="740"/>
      <c r="Z56" s="740"/>
      <c r="AA56" s="740"/>
      <c r="AB56" s="740"/>
      <c r="AC56" s="740"/>
    </row>
    <row r="57" spans="1:29" s="748" customFormat="1" ht="21.75" customHeight="1">
      <c r="A57" s="955">
        <v>9</v>
      </c>
      <c r="B57" s="964"/>
      <c r="C57" s="1566" t="str">
        <f>'Chấm công công nhân'!L59</f>
        <v>Thảo Văn</v>
      </c>
      <c r="D57" s="956" t="s">
        <v>40</v>
      </c>
      <c r="E57" s="1650">
        <f>'Chấm công công nhân'!AV59</f>
        <v>22</v>
      </c>
      <c r="F57" s="724"/>
      <c r="G57" s="957"/>
      <c r="H57" s="957">
        <f t="shared" si="9"/>
        <v>22</v>
      </c>
      <c r="I57" s="958" t="str">
        <f t="shared" si="1"/>
        <v>40</v>
      </c>
      <c r="J57" s="959" t="str">
        <f>Mủ!AK59</f>
        <v>B</v>
      </c>
      <c r="K57" s="960"/>
      <c r="L57" s="961">
        <f t="shared" si="15"/>
        <v>40</v>
      </c>
      <c r="M57" s="962" t="str">
        <f t="shared" si="16"/>
        <v>B</v>
      </c>
      <c r="N57" s="963"/>
      <c r="O57" s="632"/>
      <c r="P57" s="746">
        <f t="shared" si="5"/>
        <v>50</v>
      </c>
      <c r="Q57" s="747"/>
      <c r="R57" s="634"/>
      <c r="S57" s="740"/>
      <c r="T57" s="740"/>
      <c r="U57" s="745"/>
      <c r="V57" s="740"/>
      <c r="W57" s="740"/>
      <c r="X57" s="740"/>
      <c r="Y57" s="740"/>
      <c r="Z57" s="740"/>
      <c r="AA57" s="740"/>
      <c r="AB57" s="740"/>
      <c r="AC57" s="740"/>
    </row>
    <row r="58" spans="1:29" s="748" customFormat="1" ht="21.75" customHeight="1">
      <c r="A58" s="955">
        <v>10</v>
      </c>
      <c r="B58" s="964"/>
      <c r="C58" s="1566" t="str">
        <f>'Chấm công công nhân'!L60</f>
        <v>Nàng Phìn</v>
      </c>
      <c r="D58" s="956" t="s">
        <v>40</v>
      </c>
      <c r="E58" s="1650">
        <f>'Chấm công công nhân'!AV60</f>
        <v>19</v>
      </c>
      <c r="F58" s="724"/>
      <c r="G58" s="957"/>
      <c r="H58" s="957">
        <f t="shared" si="9"/>
        <v>19</v>
      </c>
      <c r="I58" s="958" t="str">
        <f t="shared" si="1"/>
        <v>40</v>
      </c>
      <c r="J58" s="959" t="str">
        <f>Mủ!AK60</f>
        <v>A</v>
      </c>
      <c r="K58" s="960"/>
      <c r="L58" s="961">
        <f t="shared" si="15"/>
        <v>40</v>
      </c>
      <c r="M58" s="962" t="str">
        <f t="shared" si="16"/>
        <v>A</v>
      </c>
      <c r="N58" s="963"/>
      <c r="O58" s="632"/>
      <c r="P58" s="746">
        <f t="shared" si="5"/>
        <v>60</v>
      </c>
      <c r="Q58" s="747"/>
      <c r="R58" s="634"/>
      <c r="S58" s="740"/>
      <c r="T58" s="740"/>
      <c r="U58" s="745"/>
      <c r="V58" s="740"/>
      <c r="W58" s="740"/>
      <c r="X58" s="740"/>
      <c r="Y58" s="740"/>
      <c r="Z58" s="740"/>
      <c r="AA58" s="740"/>
      <c r="AB58" s="740"/>
      <c r="AC58" s="740"/>
    </row>
    <row r="59" spans="1:29" s="748" customFormat="1" ht="21.75" customHeight="1">
      <c r="A59" s="955">
        <v>11</v>
      </c>
      <c r="B59" s="964"/>
      <c r="C59" s="1566" t="str">
        <f>'Chấm công công nhân'!L61</f>
        <v>Mẹ Sột</v>
      </c>
      <c r="D59" s="956" t="s">
        <v>40</v>
      </c>
      <c r="E59" s="1650">
        <f>'Chấm công công nhân'!AV61</f>
        <v>19</v>
      </c>
      <c r="F59" s="724"/>
      <c r="G59" s="957"/>
      <c r="H59" s="957">
        <f t="shared" si="9"/>
        <v>19</v>
      </c>
      <c r="I59" s="958" t="str">
        <f t="shared" si="1"/>
        <v>40</v>
      </c>
      <c r="J59" s="959" t="str">
        <f>Mủ!AK61</f>
        <v>C</v>
      </c>
      <c r="K59" s="960"/>
      <c r="L59" s="961">
        <f t="shared" si="15"/>
        <v>40</v>
      </c>
      <c r="M59" s="962" t="str">
        <f t="shared" si="16"/>
        <v>C</v>
      </c>
      <c r="N59" s="963"/>
      <c r="O59" s="632"/>
      <c r="P59" s="746">
        <f t="shared" si="5"/>
        <v>45</v>
      </c>
      <c r="Q59" s="747"/>
      <c r="R59" s="634"/>
      <c r="S59" s="740"/>
      <c r="T59" s="740"/>
      <c r="U59" s="745"/>
      <c r="V59" s="740"/>
      <c r="W59" s="740"/>
      <c r="X59" s="740"/>
      <c r="Y59" s="740"/>
      <c r="Z59" s="740"/>
      <c r="AA59" s="740"/>
      <c r="AB59" s="740"/>
      <c r="AC59" s="740"/>
    </row>
    <row r="60" spans="1:29" s="748" customFormat="1" ht="21.75" customHeight="1">
      <c r="A60" s="955">
        <v>12</v>
      </c>
      <c r="B60" s="964"/>
      <c r="C60" s="1566" t="str">
        <f>'Chấm công công nhân'!L62</f>
        <v>Nàng Heo</v>
      </c>
      <c r="D60" s="956" t="s">
        <v>40</v>
      </c>
      <c r="E60" s="1650">
        <f>'Chấm công công nhân'!AV62</f>
        <v>16</v>
      </c>
      <c r="F60" s="724"/>
      <c r="G60" s="957"/>
      <c r="H60" s="957">
        <f t="shared" si="9"/>
        <v>16</v>
      </c>
      <c r="I60" s="958" t="str">
        <f t="shared" si="1"/>
        <v>40</v>
      </c>
      <c r="J60" s="959" t="str">
        <f>Mủ!AK62</f>
        <v>A</v>
      </c>
      <c r="K60" s="960"/>
      <c r="L60" s="961">
        <f t="shared" si="15"/>
        <v>40</v>
      </c>
      <c r="M60" s="962" t="str">
        <f t="shared" si="16"/>
        <v>A</v>
      </c>
      <c r="N60" s="963"/>
      <c r="O60" s="632"/>
      <c r="P60" s="746">
        <f t="shared" si="5"/>
        <v>60</v>
      </c>
      <c r="Q60" s="747"/>
      <c r="R60" s="634"/>
      <c r="S60" s="740"/>
      <c r="T60" s="740"/>
      <c r="U60" s="745"/>
      <c r="V60" s="740"/>
      <c r="W60" s="740"/>
      <c r="X60" s="740"/>
      <c r="Y60" s="740"/>
      <c r="Z60" s="740"/>
      <c r="AA60" s="740"/>
      <c r="AB60" s="740"/>
      <c r="AC60" s="740"/>
    </row>
    <row r="61" spans="1:29" s="748" customFormat="1" ht="21.75" customHeight="1">
      <c r="A61" s="955">
        <v>13</v>
      </c>
      <c r="B61" s="964"/>
      <c r="C61" s="1566" t="str">
        <f>'Chấm công công nhân'!L63</f>
        <v>Thảo Chăn Ti</v>
      </c>
      <c r="D61" s="956" t="s">
        <v>40</v>
      </c>
      <c r="E61" s="1650">
        <f>'Chấm công công nhân'!AV63</f>
        <v>13</v>
      </c>
      <c r="F61" s="724"/>
      <c r="G61" s="957"/>
      <c r="H61" s="957">
        <f t="shared" si="9"/>
        <v>13</v>
      </c>
      <c r="I61" s="958" t="str">
        <f t="shared" si="1"/>
        <v>35</v>
      </c>
      <c r="J61" s="959" t="str">
        <f>Mủ!AK63</f>
        <v>B</v>
      </c>
      <c r="K61" s="960"/>
      <c r="L61" s="961">
        <f t="shared" si="15"/>
        <v>35</v>
      </c>
      <c r="M61" s="962" t="str">
        <f t="shared" si="16"/>
        <v>B</v>
      </c>
      <c r="N61" s="963"/>
      <c r="O61" s="632"/>
      <c r="P61" s="746">
        <f t="shared" si="5"/>
        <v>50</v>
      </c>
      <c r="Q61" s="747"/>
      <c r="R61" s="634"/>
      <c r="S61" s="740"/>
      <c r="T61" s="740"/>
      <c r="U61" s="745"/>
      <c r="V61" s="740"/>
      <c r="W61" s="740"/>
      <c r="X61" s="740"/>
      <c r="Y61" s="740"/>
      <c r="Z61" s="740"/>
      <c r="AA61" s="740"/>
      <c r="AB61" s="740"/>
      <c r="AC61" s="740"/>
    </row>
    <row r="62" spans="1:29" s="748" customFormat="1" ht="21.75" customHeight="1">
      <c r="A62" s="955">
        <v>14</v>
      </c>
      <c r="B62" s="964"/>
      <c r="C62" s="1566" t="str">
        <f>'Chấm công công nhân'!L64</f>
        <v>Nàng Ve</v>
      </c>
      <c r="D62" s="956" t="s">
        <v>40</v>
      </c>
      <c r="E62" s="1650">
        <f>'Chấm công công nhân'!AV64</f>
        <v>18</v>
      </c>
      <c r="F62" s="724"/>
      <c r="G62" s="957"/>
      <c r="H62" s="957">
        <f t="shared" si="9"/>
        <v>18</v>
      </c>
      <c r="I62" s="958" t="str">
        <f t="shared" si="1"/>
        <v>40</v>
      </c>
      <c r="J62" s="959" t="str">
        <f>Mủ!AK64</f>
        <v>B</v>
      </c>
      <c r="K62" s="960"/>
      <c r="L62" s="961">
        <f t="shared" si="15"/>
        <v>40</v>
      </c>
      <c r="M62" s="962" t="str">
        <f t="shared" si="16"/>
        <v>B</v>
      </c>
      <c r="N62" s="963"/>
      <c r="O62" s="632"/>
      <c r="P62" s="746">
        <f t="shared" si="5"/>
        <v>50</v>
      </c>
      <c r="Q62" s="747"/>
      <c r="R62" s="634"/>
      <c r="S62" s="740"/>
      <c r="T62" s="740"/>
      <c r="U62" s="745"/>
      <c r="V62" s="740"/>
      <c r="W62" s="740"/>
      <c r="X62" s="740"/>
      <c r="Y62" s="740"/>
      <c r="Z62" s="740"/>
      <c r="AA62" s="740"/>
      <c r="AB62" s="740"/>
      <c r="AC62" s="740"/>
    </row>
    <row r="63" spans="1:29" s="748" customFormat="1" ht="21.75" customHeight="1">
      <c r="A63" s="955">
        <v>15</v>
      </c>
      <c r="B63" s="964"/>
      <c r="C63" s="1566" t="str">
        <f>'Chấm công công nhân'!L65</f>
        <v>Nàng Phết</v>
      </c>
      <c r="D63" s="956" t="s">
        <v>40</v>
      </c>
      <c r="E63" s="1650">
        <f>'Chấm công công nhân'!AV65</f>
        <v>13</v>
      </c>
      <c r="F63" s="724"/>
      <c r="G63" s="957"/>
      <c r="H63" s="957">
        <f t="shared" si="9"/>
        <v>13</v>
      </c>
      <c r="I63" s="958" t="str">
        <f t="shared" si="1"/>
        <v>35</v>
      </c>
      <c r="J63" s="959" t="str">
        <f>Mủ!AK65</f>
        <v>A</v>
      </c>
      <c r="K63" s="960"/>
      <c r="L63" s="961">
        <f t="shared" si="15"/>
        <v>35</v>
      </c>
      <c r="M63" s="962" t="str">
        <f t="shared" si="16"/>
        <v>A</v>
      </c>
      <c r="N63" s="963"/>
      <c r="O63" s="632"/>
      <c r="P63" s="746">
        <f t="shared" si="5"/>
        <v>60</v>
      </c>
      <c r="Q63" s="747"/>
      <c r="R63" s="634"/>
      <c r="S63" s="740"/>
      <c r="T63" s="740"/>
      <c r="U63" s="745"/>
      <c r="V63" s="740"/>
      <c r="W63" s="740"/>
      <c r="X63" s="740"/>
      <c r="Y63" s="740"/>
      <c r="Z63" s="740"/>
      <c r="AA63" s="740"/>
      <c r="AB63" s="740"/>
      <c r="AC63" s="740"/>
    </row>
    <row r="64" spans="1:29" s="748" customFormat="1" ht="21.75" customHeight="1">
      <c r="A64" s="3669">
        <v>16</v>
      </c>
      <c r="B64" s="964"/>
      <c r="C64" s="1566" t="str">
        <f>'Chấm công công nhân'!L66</f>
        <v>Thảo On</v>
      </c>
      <c r="D64" s="956" t="s">
        <v>40</v>
      </c>
      <c r="E64" s="1650">
        <f>'Chấm công công nhân'!AV66</f>
        <v>4</v>
      </c>
      <c r="F64" s="724"/>
      <c r="G64" s="957"/>
      <c r="H64" s="957">
        <f t="shared" si="9"/>
        <v>4</v>
      </c>
      <c r="I64" s="958" t="str">
        <f t="shared" si="1"/>
        <v>25</v>
      </c>
      <c r="J64" s="959" t="str">
        <f>Mủ!AK66</f>
        <v>A</v>
      </c>
      <c r="K64" s="960"/>
      <c r="L64" s="961">
        <f t="shared" si="15"/>
        <v>25</v>
      </c>
      <c r="M64" s="962" t="str">
        <f t="shared" si="16"/>
        <v>A</v>
      </c>
      <c r="N64" s="963"/>
      <c r="O64" s="632"/>
      <c r="P64" s="746"/>
      <c r="Q64" s="747"/>
      <c r="R64" s="634"/>
      <c r="S64" s="740"/>
      <c r="T64" s="740"/>
      <c r="U64" s="745"/>
      <c r="V64" s="740"/>
      <c r="W64" s="740"/>
      <c r="X64" s="740"/>
      <c r="Y64" s="740"/>
      <c r="Z64" s="740"/>
      <c r="AA64" s="740"/>
      <c r="AB64" s="740"/>
      <c r="AC64" s="740"/>
    </row>
    <row r="65" spans="1:29" s="748" customFormat="1" ht="21.75" customHeight="1">
      <c r="A65" s="3669">
        <v>17</v>
      </c>
      <c r="B65" s="964"/>
      <c r="C65" s="1566" t="str">
        <f>'Chấm công công nhân'!L67</f>
        <v>Thảo Sum</v>
      </c>
      <c r="D65" s="956" t="s">
        <v>40</v>
      </c>
      <c r="E65" s="1650">
        <f>'Chấm công công nhân'!AV67</f>
        <v>4</v>
      </c>
      <c r="F65" s="724"/>
      <c r="G65" s="957"/>
      <c r="H65" s="957">
        <f t="shared" si="9"/>
        <v>4</v>
      </c>
      <c r="I65" s="958" t="str">
        <f t="shared" si="1"/>
        <v>25</v>
      </c>
      <c r="J65" s="959" t="str">
        <f>Mủ!AK67</f>
        <v>B</v>
      </c>
      <c r="K65" s="960"/>
      <c r="L65" s="961">
        <f t="shared" si="15"/>
        <v>25</v>
      </c>
      <c r="M65" s="962" t="str">
        <f t="shared" si="16"/>
        <v>B</v>
      </c>
      <c r="N65" s="963"/>
      <c r="O65" s="632"/>
      <c r="P65" s="746"/>
      <c r="Q65" s="747"/>
      <c r="R65" s="634"/>
      <c r="S65" s="740"/>
      <c r="T65" s="740"/>
      <c r="U65" s="745"/>
      <c r="V65" s="740"/>
      <c r="W65" s="740"/>
      <c r="X65" s="740"/>
      <c r="Y65" s="740"/>
      <c r="Z65" s="740"/>
      <c r="AA65" s="740"/>
      <c r="AB65" s="740"/>
      <c r="AC65" s="740"/>
    </row>
    <row r="66" spans="1:29" s="748" customFormat="1" ht="21.75" customHeight="1">
      <c r="A66" s="3669">
        <v>18</v>
      </c>
      <c r="B66" s="964"/>
      <c r="C66" s="1566" t="str">
        <f>'Chấm công công nhân'!L68</f>
        <v>Cha La</v>
      </c>
      <c r="D66" s="956" t="s">
        <v>40</v>
      </c>
      <c r="E66" s="1650">
        <f>'Chấm công công nhân'!AV68</f>
        <v>4</v>
      </c>
      <c r="F66" s="724"/>
      <c r="G66" s="957"/>
      <c r="H66" s="957">
        <f t="shared" si="9"/>
        <v>4</v>
      </c>
      <c r="I66" s="958" t="str">
        <f t="shared" si="1"/>
        <v>25</v>
      </c>
      <c r="J66" s="959" t="str">
        <f>Mủ!AK68</f>
        <v>A</v>
      </c>
      <c r="K66" s="960"/>
      <c r="L66" s="961">
        <f t="shared" si="15"/>
        <v>25</v>
      </c>
      <c r="M66" s="962" t="str">
        <f t="shared" si="16"/>
        <v>A</v>
      </c>
      <c r="N66" s="963"/>
      <c r="O66" s="632"/>
      <c r="P66" s="746"/>
      <c r="Q66" s="747"/>
      <c r="R66" s="634"/>
      <c r="S66" s="740"/>
      <c r="T66" s="740"/>
      <c r="U66" s="745"/>
      <c r="V66" s="740"/>
      <c r="W66" s="740"/>
      <c r="X66" s="740"/>
      <c r="Y66" s="740"/>
      <c r="Z66" s="740"/>
      <c r="AA66" s="740"/>
      <c r="AB66" s="740"/>
      <c r="AC66" s="740"/>
    </row>
    <row r="67" spans="1:29" s="748" customFormat="1" ht="21.75" customHeight="1">
      <c r="A67" s="3669">
        <v>19</v>
      </c>
      <c r="B67" s="964"/>
      <c r="C67" s="1566" t="str">
        <f>'Chấm công công nhân'!L69</f>
        <v>Nàng Binh</v>
      </c>
      <c r="D67" s="956" t="s">
        <v>40</v>
      </c>
      <c r="E67" s="1650">
        <f>'Chấm công công nhân'!AV69</f>
        <v>2</v>
      </c>
      <c r="F67" s="724"/>
      <c r="G67" s="957"/>
      <c r="H67" s="957">
        <f t="shared" si="9"/>
        <v>2</v>
      </c>
      <c r="I67" s="958" t="str">
        <f t="shared" si="1"/>
        <v>25</v>
      </c>
      <c r="J67" s="959" t="str">
        <f>Mủ!AK69</f>
        <v>C</v>
      </c>
      <c r="K67" s="960"/>
      <c r="L67" s="961">
        <f t="shared" si="15"/>
        <v>25</v>
      </c>
      <c r="M67" s="962" t="str">
        <f t="shared" si="16"/>
        <v>C</v>
      </c>
      <c r="N67" s="963"/>
      <c r="O67" s="632"/>
      <c r="P67" s="746"/>
      <c r="Q67" s="747"/>
      <c r="R67" s="634"/>
      <c r="S67" s="740"/>
      <c r="T67" s="740"/>
      <c r="U67" s="745"/>
      <c r="V67" s="740"/>
      <c r="W67" s="740"/>
      <c r="X67" s="740"/>
      <c r="Y67" s="740"/>
      <c r="Z67" s="740"/>
      <c r="AA67" s="740"/>
      <c r="AB67" s="740"/>
      <c r="AC67" s="740"/>
    </row>
    <row r="68" spans="1:29" s="748" customFormat="1" ht="21.75" customHeight="1">
      <c r="A68" s="4597" t="s">
        <v>790</v>
      </c>
      <c r="B68" s="4597"/>
      <c r="C68" s="4597"/>
      <c r="D68" s="2158"/>
      <c r="E68" s="2158"/>
      <c r="F68" s="2158"/>
      <c r="G68" s="2158"/>
      <c r="H68" s="2158"/>
      <c r="I68" s="2158"/>
      <c r="J68" s="2158"/>
      <c r="K68" s="2158"/>
      <c r="L68" s="2158"/>
      <c r="M68" s="962"/>
      <c r="N68" s="2158"/>
      <c r="O68" s="632"/>
      <c r="P68" s="746"/>
      <c r="Q68" s="747"/>
      <c r="R68" s="634"/>
      <c r="S68" s="740"/>
      <c r="T68" s="740"/>
      <c r="U68" s="745"/>
      <c r="V68" s="740"/>
      <c r="W68" s="740"/>
      <c r="X68" s="740"/>
      <c r="Y68" s="740"/>
      <c r="Z68" s="740"/>
      <c r="AA68" s="740"/>
      <c r="AB68" s="740"/>
      <c r="AC68" s="740"/>
    </row>
    <row r="69" spans="1:29" s="748" customFormat="1" ht="21.75" customHeight="1">
      <c r="A69" s="955">
        <v>1</v>
      </c>
      <c r="B69" s="964"/>
      <c r="C69" s="2052" t="str">
        <f>'Chấm công công nhân'!L71</f>
        <v>Thảo Bun</v>
      </c>
      <c r="D69" s="956" t="s">
        <v>40</v>
      </c>
      <c r="E69" s="3827">
        <f>'Chấm công công nhân'!AV71</f>
        <v>23</v>
      </c>
      <c r="F69" s="724"/>
      <c r="G69" s="957"/>
      <c r="H69" s="957">
        <f t="shared" si="9"/>
        <v>23</v>
      </c>
      <c r="I69" s="958" t="str">
        <f t="shared" si="1"/>
        <v>40</v>
      </c>
      <c r="J69" s="959" t="str">
        <f>Mủ!AK71</f>
        <v>B</v>
      </c>
      <c r="K69" s="960"/>
      <c r="L69" s="961">
        <f t="shared" si="15"/>
        <v>40</v>
      </c>
      <c r="M69" s="962" t="str">
        <f>J69</f>
        <v>B</v>
      </c>
      <c r="N69" s="963"/>
      <c r="O69" s="632"/>
      <c r="P69" s="746"/>
      <c r="Q69" s="747"/>
      <c r="R69" s="634"/>
      <c r="S69" s="740"/>
      <c r="T69" s="740"/>
      <c r="U69" s="745"/>
      <c r="V69" s="740"/>
      <c r="W69" s="740"/>
      <c r="X69" s="740"/>
      <c r="Y69" s="740"/>
      <c r="Z69" s="740"/>
      <c r="AA69" s="740"/>
      <c r="AB69" s="740"/>
      <c r="AC69" s="740"/>
    </row>
    <row r="70" spans="1:29" s="748" customFormat="1" ht="21.75" customHeight="1">
      <c r="A70" s="955">
        <v>2</v>
      </c>
      <c r="B70" s="964"/>
      <c r="C70" s="2052" t="str">
        <f>'Chấm công công nhân'!L72</f>
        <v>Thảo Nga</v>
      </c>
      <c r="D70" s="956" t="s">
        <v>40</v>
      </c>
      <c r="E70" s="3827">
        <f>'Chấm công công nhân'!AV72</f>
        <v>18</v>
      </c>
      <c r="F70" s="724"/>
      <c r="G70" s="957"/>
      <c r="H70" s="957">
        <f t="shared" si="9"/>
        <v>18</v>
      </c>
      <c r="I70" s="958" t="str">
        <f t="shared" si="1"/>
        <v>40</v>
      </c>
      <c r="J70" s="959" t="str">
        <f>Mủ!AK72</f>
        <v>A</v>
      </c>
      <c r="K70" s="960"/>
      <c r="L70" s="961">
        <f t="shared" si="15"/>
        <v>40</v>
      </c>
      <c r="M70" s="962" t="str">
        <f t="shared" ref="M70:M84" si="17">J70</f>
        <v>A</v>
      </c>
      <c r="N70" s="963"/>
      <c r="O70" s="632"/>
      <c r="P70" s="746"/>
      <c r="Q70" s="747"/>
      <c r="R70" s="634"/>
      <c r="S70" s="740"/>
      <c r="T70" s="740"/>
      <c r="U70" s="745"/>
      <c r="V70" s="740"/>
      <c r="W70" s="740"/>
      <c r="X70" s="740"/>
      <c r="Y70" s="740"/>
      <c r="Z70" s="740"/>
      <c r="AA70" s="740"/>
      <c r="AB70" s="740"/>
      <c r="AC70" s="740"/>
    </row>
    <row r="71" spans="1:29" s="748" customFormat="1" ht="21.75" customHeight="1">
      <c r="A71" s="955">
        <v>3</v>
      </c>
      <c r="B71" s="964"/>
      <c r="C71" s="2052" t="str">
        <f>'Chấm công công nhân'!L73</f>
        <v>Thảo Tia</v>
      </c>
      <c r="D71" s="956" t="s">
        <v>40</v>
      </c>
      <c r="E71" s="3827">
        <f>'Chấm công công nhân'!AV73</f>
        <v>19</v>
      </c>
      <c r="F71" s="724"/>
      <c r="G71" s="957"/>
      <c r="H71" s="957">
        <f t="shared" si="9"/>
        <v>19</v>
      </c>
      <c r="I71" s="958" t="str">
        <f t="shared" si="1"/>
        <v>40</v>
      </c>
      <c r="J71" s="959" t="str">
        <f>Mủ!AK73</f>
        <v>A</v>
      </c>
      <c r="K71" s="960"/>
      <c r="L71" s="961">
        <f t="shared" si="15"/>
        <v>40</v>
      </c>
      <c r="M71" s="962" t="str">
        <f t="shared" si="17"/>
        <v>A</v>
      </c>
      <c r="N71" s="963"/>
      <c r="O71" s="632"/>
      <c r="P71" s="746"/>
      <c r="Q71" s="747"/>
      <c r="R71" s="634"/>
      <c r="S71" s="740"/>
      <c r="T71" s="740"/>
      <c r="U71" s="745"/>
      <c r="V71" s="740"/>
      <c r="W71" s="740"/>
      <c r="X71" s="740"/>
      <c r="Y71" s="740"/>
      <c r="Z71" s="740"/>
      <c r="AA71" s="740"/>
      <c r="AB71" s="740"/>
      <c r="AC71" s="740"/>
    </row>
    <row r="72" spans="1:29" s="748" customFormat="1" ht="21.75" customHeight="1">
      <c r="A72" s="955">
        <v>4</v>
      </c>
      <c r="B72" s="964"/>
      <c r="C72" s="2052" t="str">
        <f>'Chấm công công nhân'!L74</f>
        <v>Thảo Nuy</v>
      </c>
      <c r="D72" s="956" t="s">
        <v>40</v>
      </c>
      <c r="E72" s="3827">
        <f>'Chấm công công nhân'!AV74</f>
        <v>18</v>
      </c>
      <c r="F72" s="724"/>
      <c r="G72" s="957"/>
      <c r="H72" s="957">
        <f t="shared" si="9"/>
        <v>18</v>
      </c>
      <c r="I72" s="958" t="str">
        <f t="shared" si="1"/>
        <v>40</v>
      </c>
      <c r="J72" s="959" t="str">
        <f>Mủ!AK74</f>
        <v>B</v>
      </c>
      <c r="K72" s="960"/>
      <c r="L72" s="961">
        <f t="shared" si="15"/>
        <v>40</v>
      </c>
      <c r="M72" s="962" t="str">
        <f t="shared" si="17"/>
        <v>B</v>
      </c>
      <c r="N72" s="963"/>
      <c r="O72" s="632"/>
      <c r="P72" s="746"/>
      <c r="Q72" s="747"/>
      <c r="R72" s="634"/>
      <c r="S72" s="740"/>
      <c r="T72" s="740"/>
      <c r="U72" s="745"/>
      <c r="V72" s="740"/>
      <c r="W72" s="740"/>
      <c r="X72" s="740"/>
      <c r="Y72" s="740"/>
      <c r="Z72" s="740"/>
      <c r="AA72" s="740"/>
      <c r="AB72" s="740"/>
      <c r="AC72" s="740"/>
    </row>
    <row r="73" spans="1:29" s="748" customFormat="1" ht="21.75" customHeight="1">
      <c r="A73" s="955">
        <v>5</v>
      </c>
      <c r="B73" s="964"/>
      <c r="C73" s="2052" t="str">
        <f>'Chấm công công nhân'!L75</f>
        <v>Thảo Xay</v>
      </c>
      <c r="D73" s="956" t="s">
        <v>40</v>
      </c>
      <c r="E73" s="3827">
        <f>'Chấm công công nhân'!AV75</f>
        <v>12</v>
      </c>
      <c r="F73" s="724"/>
      <c r="G73" s="957"/>
      <c r="H73" s="957">
        <f t="shared" si="9"/>
        <v>12</v>
      </c>
      <c r="I73" s="958" t="str">
        <f t="shared" si="1"/>
        <v>30</v>
      </c>
      <c r="J73" s="959" t="str">
        <f>Mủ!AK75</f>
        <v>B</v>
      </c>
      <c r="K73" s="960"/>
      <c r="L73" s="961">
        <f t="shared" si="15"/>
        <v>30</v>
      </c>
      <c r="M73" s="962" t="str">
        <f t="shared" si="17"/>
        <v>B</v>
      </c>
      <c r="N73" s="963"/>
      <c r="O73" s="632"/>
      <c r="P73" s="746"/>
      <c r="Q73" s="747"/>
      <c r="R73" s="634"/>
      <c r="S73" s="740"/>
      <c r="T73" s="740"/>
      <c r="U73" s="745"/>
      <c r="V73" s="740"/>
      <c r="W73" s="740"/>
      <c r="X73" s="740"/>
      <c r="Y73" s="740"/>
      <c r="Z73" s="740"/>
      <c r="AA73" s="740"/>
      <c r="AB73" s="740"/>
      <c r="AC73" s="740"/>
    </row>
    <row r="74" spans="1:29" s="748" customFormat="1" ht="21.75" customHeight="1">
      <c r="A74" s="955">
        <v>6</v>
      </c>
      <c r="B74" s="964"/>
      <c r="C74" s="2052" t="str">
        <f>'Chấm công công nhân'!L76</f>
        <v>Nàng Nọi</v>
      </c>
      <c r="D74" s="956" t="s">
        <v>40</v>
      </c>
      <c r="E74" s="3827">
        <f>'Chấm công công nhân'!AV76</f>
        <v>11</v>
      </c>
      <c r="F74" s="724"/>
      <c r="G74" s="957"/>
      <c r="H74" s="957">
        <f t="shared" si="9"/>
        <v>11</v>
      </c>
      <c r="I74" s="958" t="str">
        <f t="shared" si="1"/>
        <v>30</v>
      </c>
      <c r="J74" s="959" t="str">
        <f>Mủ!AK76</f>
        <v>B</v>
      </c>
      <c r="K74" s="960"/>
      <c r="L74" s="961">
        <f t="shared" si="15"/>
        <v>30</v>
      </c>
      <c r="M74" s="962" t="str">
        <f t="shared" si="17"/>
        <v>B</v>
      </c>
      <c r="N74" s="963"/>
      <c r="O74" s="632"/>
      <c r="P74" s="746"/>
      <c r="Q74" s="747"/>
      <c r="R74" s="634"/>
      <c r="S74" s="740"/>
      <c r="T74" s="740"/>
      <c r="U74" s="745"/>
      <c r="V74" s="740"/>
      <c r="W74" s="740"/>
      <c r="X74" s="740"/>
      <c r="Y74" s="740"/>
      <c r="Z74" s="740"/>
      <c r="AA74" s="740"/>
      <c r="AB74" s="740"/>
      <c r="AC74" s="740"/>
    </row>
    <row r="75" spans="1:29" s="748" customFormat="1" ht="21.75" customHeight="1">
      <c r="A75" s="2454">
        <v>7</v>
      </c>
      <c r="B75" s="964"/>
      <c r="C75" s="2052" t="str">
        <f>'Chấm công công nhân'!L77</f>
        <v>Thảo Khon</v>
      </c>
      <c r="D75" s="956" t="s">
        <v>40</v>
      </c>
      <c r="E75" s="3827">
        <f>'Chấm công công nhân'!AV77</f>
        <v>18</v>
      </c>
      <c r="F75" s="724"/>
      <c r="G75" s="957"/>
      <c r="H75" s="957">
        <f t="shared" si="9"/>
        <v>18</v>
      </c>
      <c r="I75" s="958" t="str">
        <f t="shared" si="1"/>
        <v>40</v>
      </c>
      <c r="J75" s="959" t="str">
        <f>Mủ!AK77</f>
        <v>A</v>
      </c>
      <c r="K75" s="960"/>
      <c r="L75" s="961">
        <f t="shared" si="15"/>
        <v>40</v>
      </c>
      <c r="M75" s="962" t="str">
        <f t="shared" si="17"/>
        <v>A</v>
      </c>
      <c r="N75" s="963"/>
      <c r="O75" s="2478"/>
      <c r="P75" s="746"/>
      <c r="Q75" s="747"/>
      <c r="R75" s="634"/>
      <c r="S75" s="740"/>
      <c r="T75" s="740"/>
      <c r="U75" s="745"/>
      <c r="V75" s="740"/>
      <c r="W75" s="740"/>
      <c r="X75" s="740"/>
      <c r="Y75" s="740"/>
      <c r="Z75" s="740"/>
      <c r="AA75" s="740"/>
      <c r="AB75" s="740"/>
      <c r="AC75" s="740"/>
    </row>
    <row r="76" spans="1:29" s="1653" customFormat="1" ht="21.75" customHeight="1">
      <c r="A76" s="2454">
        <v>8</v>
      </c>
      <c r="B76" s="964"/>
      <c r="C76" s="2052" t="str">
        <f>'Chấm công công nhân'!L78</f>
        <v>Thảo Tưng</v>
      </c>
      <c r="D76" s="956" t="s">
        <v>40</v>
      </c>
      <c r="E76" s="3827">
        <f>'Chấm công công nhân'!AV78</f>
        <v>15</v>
      </c>
      <c r="F76" s="724"/>
      <c r="G76" s="957"/>
      <c r="H76" s="957">
        <f t="shared" si="9"/>
        <v>15</v>
      </c>
      <c r="I76" s="958" t="str">
        <f t="shared" ref="I76:I84" si="18">IF(H76&gt;=16,"40",IF(H76&gt;=13,"35",IF(H76&gt;=10,"30","25")))</f>
        <v>35</v>
      </c>
      <c r="J76" s="959" t="str">
        <f>Mủ!AK78</f>
        <v>B</v>
      </c>
      <c r="K76" s="960"/>
      <c r="L76" s="961">
        <f t="shared" si="15"/>
        <v>35</v>
      </c>
      <c r="M76" s="962" t="str">
        <f t="shared" si="17"/>
        <v>B</v>
      </c>
      <c r="N76" s="963"/>
      <c r="O76" s="2476"/>
      <c r="P76" s="2477"/>
      <c r="Q76" s="747"/>
      <c r="R76" s="1651"/>
      <c r="S76" s="740"/>
      <c r="T76" s="740"/>
      <c r="U76" s="1652"/>
      <c r="V76" s="740"/>
      <c r="W76" s="740"/>
      <c r="X76" s="740"/>
      <c r="Y76" s="740"/>
      <c r="Z76" s="740"/>
      <c r="AA76" s="740"/>
      <c r="AB76" s="740"/>
      <c r="AC76" s="740"/>
    </row>
    <row r="77" spans="1:29" s="1653" customFormat="1" ht="21.75" customHeight="1">
      <c r="A77" s="2454">
        <v>9</v>
      </c>
      <c r="B77" s="964"/>
      <c r="C77" s="2052" t="str">
        <f>'Chấm công công nhân'!L79</f>
        <v>Thảo Bắt</v>
      </c>
      <c r="D77" s="956" t="s">
        <v>40</v>
      </c>
      <c r="E77" s="3827">
        <f>'Chấm công công nhân'!AV79</f>
        <v>21</v>
      </c>
      <c r="F77" s="724"/>
      <c r="G77" s="957"/>
      <c r="H77" s="957">
        <f t="shared" si="9"/>
        <v>21</v>
      </c>
      <c r="I77" s="958" t="str">
        <f t="shared" si="18"/>
        <v>40</v>
      </c>
      <c r="J77" s="959" t="str">
        <f>Mủ!AK79</f>
        <v>A</v>
      </c>
      <c r="K77" s="960"/>
      <c r="L77" s="961">
        <f t="shared" si="15"/>
        <v>40</v>
      </c>
      <c r="M77" s="962" t="str">
        <f t="shared" si="17"/>
        <v>A</v>
      </c>
      <c r="N77" s="963"/>
      <c r="O77" s="2476"/>
      <c r="P77" s="2477"/>
      <c r="Q77" s="747"/>
      <c r="R77" s="1651"/>
      <c r="S77" s="740"/>
      <c r="T77" s="740"/>
      <c r="U77" s="1652"/>
      <c r="V77" s="740"/>
      <c r="W77" s="740"/>
      <c r="X77" s="740"/>
      <c r="Y77" s="740"/>
      <c r="Z77" s="740"/>
      <c r="AA77" s="740"/>
      <c r="AB77" s="740"/>
      <c r="AC77" s="740"/>
    </row>
    <row r="78" spans="1:29" s="1653" customFormat="1" ht="21.75" customHeight="1">
      <c r="A78" s="2454">
        <v>10</v>
      </c>
      <c r="B78" s="964"/>
      <c r="C78" s="2052" t="str">
        <f>'Chấm công công nhân'!L80</f>
        <v>Thảo Lay</v>
      </c>
      <c r="D78" s="956" t="s">
        <v>40</v>
      </c>
      <c r="E78" s="3827">
        <f>'Chấm công công nhân'!AV80</f>
        <v>0</v>
      </c>
      <c r="F78" s="724"/>
      <c r="G78" s="957"/>
      <c r="H78" s="957">
        <f t="shared" si="9"/>
        <v>0</v>
      </c>
      <c r="I78" s="958" t="str">
        <f t="shared" si="18"/>
        <v>25</v>
      </c>
      <c r="J78" s="959" t="str">
        <f>Mủ!AK80</f>
        <v>B</v>
      </c>
      <c r="K78" s="960"/>
      <c r="L78" s="961">
        <f t="shared" si="15"/>
        <v>25</v>
      </c>
      <c r="M78" s="962" t="str">
        <f t="shared" si="17"/>
        <v>B</v>
      </c>
      <c r="N78" s="963"/>
      <c r="O78" s="2476"/>
      <c r="P78" s="2477"/>
      <c r="Q78" s="747"/>
      <c r="R78" s="1651"/>
      <c r="S78" s="740"/>
      <c r="T78" s="740"/>
      <c r="U78" s="1652"/>
      <c r="V78" s="740"/>
      <c r="W78" s="740"/>
      <c r="X78" s="740"/>
      <c r="Y78" s="740"/>
      <c r="Z78" s="740"/>
      <c r="AA78" s="740"/>
      <c r="AB78" s="740"/>
      <c r="AC78" s="740"/>
    </row>
    <row r="79" spans="1:29" s="1653" customFormat="1" ht="21.75" customHeight="1">
      <c r="A79" s="2454">
        <v>11</v>
      </c>
      <c r="B79" s="964"/>
      <c r="C79" s="2052" t="str">
        <f>'Chấm công công nhân'!L81</f>
        <v>Thảo Chăn</v>
      </c>
      <c r="D79" s="956" t="s">
        <v>40</v>
      </c>
      <c r="E79" s="3827">
        <f>'Chấm công công nhân'!AV81</f>
        <v>15</v>
      </c>
      <c r="F79" s="724"/>
      <c r="G79" s="957"/>
      <c r="H79" s="957">
        <f t="shared" si="9"/>
        <v>15</v>
      </c>
      <c r="I79" s="958" t="str">
        <f t="shared" si="18"/>
        <v>35</v>
      </c>
      <c r="J79" s="959" t="str">
        <f>Mủ!AK81</f>
        <v>A</v>
      </c>
      <c r="K79" s="960"/>
      <c r="L79" s="961">
        <f t="shared" si="15"/>
        <v>35</v>
      </c>
      <c r="M79" s="962" t="str">
        <f t="shared" si="17"/>
        <v>A</v>
      </c>
      <c r="N79" s="963"/>
      <c r="O79" s="2476"/>
      <c r="P79" s="2477"/>
      <c r="Q79" s="747"/>
      <c r="R79" s="1651"/>
      <c r="S79" s="740"/>
      <c r="T79" s="740"/>
      <c r="U79" s="1652"/>
      <c r="V79" s="740"/>
      <c r="W79" s="740"/>
      <c r="X79" s="740"/>
      <c r="Y79" s="740"/>
      <c r="Z79" s="740"/>
      <c r="AA79" s="740"/>
      <c r="AB79" s="740"/>
      <c r="AC79" s="740"/>
    </row>
    <row r="80" spans="1:29" s="1653" customFormat="1" ht="21.75" customHeight="1">
      <c r="A80" s="2454">
        <v>12</v>
      </c>
      <c r="B80" s="964"/>
      <c r="C80" s="2052" t="str">
        <f>'Chấm công công nhân'!L82</f>
        <v>Thảo Lăm Ma</v>
      </c>
      <c r="D80" s="956" t="s">
        <v>40</v>
      </c>
      <c r="E80" s="3827">
        <f>'Chấm công công nhân'!AV82</f>
        <v>1</v>
      </c>
      <c r="F80" s="724"/>
      <c r="G80" s="957"/>
      <c r="H80" s="957">
        <f t="shared" si="9"/>
        <v>1</v>
      </c>
      <c r="I80" s="958" t="str">
        <f t="shared" si="18"/>
        <v>25</v>
      </c>
      <c r="J80" s="959" t="str">
        <f>Mủ!AK82</f>
        <v>B</v>
      </c>
      <c r="K80" s="960"/>
      <c r="L80" s="961">
        <f>I80+K80</f>
        <v>25</v>
      </c>
      <c r="M80" s="962" t="str">
        <f t="shared" si="17"/>
        <v>B</v>
      </c>
      <c r="N80" s="963"/>
      <c r="O80" s="2476"/>
      <c r="P80" s="2477"/>
      <c r="Q80" s="747"/>
      <c r="R80" s="1651"/>
      <c r="S80" s="740"/>
      <c r="T80" s="740"/>
      <c r="U80" s="1652"/>
      <c r="V80" s="740"/>
      <c r="W80" s="740"/>
      <c r="X80" s="740"/>
      <c r="Y80" s="740"/>
      <c r="Z80" s="740"/>
      <c r="AA80" s="740"/>
      <c r="AB80" s="740"/>
      <c r="AC80" s="740"/>
    </row>
    <row r="81" spans="1:29" s="1653" customFormat="1" ht="21.75" customHeight="1">
      <c r="A81" s="2454">
        <v>13</v>
      </c>
      <c r="B81" s="964"/>
      <c r="C81" s="2052" t="str">
        <f>'Chấm công công nhân'!L83</f>
        <v>Phò Đăm</v>
      </c>
      <c r="D81" s="956" t="s">
        <v>40</v>
      </c>
      <c r="E81" s="3827">
        <f>'Chấm công công nhân'!AV83</f>
        <v>17</v>
      </c>
      <c r="F81" s="724"/>
      <c r="G81" s="957"/>
      <c r="H81" s="957">
        <f t="shared" si="9"/>
        <v>17</v>
      </c>
      <c r="I81" s="958" t="str">
        <f t="shared" si="18"/>
        <v>40</v>
      </c>
      <c r="J81" s="959" t="str">
        <f>Mủ!AK83</f>
        <v>B</v>
      </c>
      <c r="K81" s="960"/>
      <c r="L81" s="961">
        <f t="shared" ref="L81:L84" si="19">I81+K81</f>
        <v>40</v>
      </c>
      <c r="M81" s="962" t="str">
        <f t="shared" si="17"/>
        <v>B</v>
      </c>
      <c r="N81" s="963"/>
      <c r="O81" s="2476"/>
      <c r="P81" s="2477"/>
      <c r="Q81" s="747"/>
      <c r="R81" s="1651"/>
      <c r="S81" s="740"/>
      <c r="T81" s="740"/>
      <c r="U81" s="1652"/>
      <c r="V81" s="740"/>
      <c r="W81" s="740"/>
      <c r="X81" s="740"/>
      <c r="Y81" s="740"/>
      <c r="Z81" s="740"/>
      <c r="AA81" s="740"/>
      <c r="AB81" s="740"/>
      <c r="AC81" s="740"/>
    </row>
    <row r="82" spans="1:29" s="1653" customFormat="1" ht="21.75" customHeight="1">
      <c r="A82" s="2454">
        <v>14</v>
      </c>
      <c r="B82" s="964"/>
      <c r="C82" s="2052" t="str">
        <f>'Chấm công công nhân'!L84</f>
        <v>Thảo Đăm Đi</v>
      </c>
      <c r="D82" s="956" t="s">
        <v>40</v>
      </c>
      <c r="E82" s="3827">
        <f>'Chấm công công nhân'!AV84</f>
        <v>1</v>
      </c>
      <c r="F82" s="724"/>
      <c r="G82" s="957"/>
      <c r="H82" s="957">
        <f t="shared" si="9"/>
        <v>1</v>
      </c>
      <c r="I82" s="958" t="str">
        <f t="shared" si="18"/>
        <v>25</v>
      </c>
      <c r="J82" s="959" t="str">
        <f>Mủ!AK84</f>
        <v>B</v>
      </c>
      <c r="K82" s="960"/>
      <c r="L82" s="961">
        <f t="shared" si="19"/>
        <v>25</v>
      </c>
      <c r="M82" s="962" t="str">
        <f t="shared" si="17"/>
        <v>B</v>
      </c>
      <c r="N82" s="963"/>
      <c r="O82" s="2476"/>
      <c r="P82" s="2477"/>
      <c r="Q82" s="747"/>
      <c r="R82" s="1651"/>
      <c r="S82" s="740"/>
      <c r="T82" s="740"/>
      <c r="U82" s="1652"/>
      <c r="V82" s="740"/>
      <c r="W82" s="740"/>
      <c r="X82" s="740"/>
      <c r="Y82" s="740"/>
      <c r="Z82" s="740"/>
      <c r="AA82" s="740"/>
      <c r="AB82" s="740"/>
      <c r="AC82" s="740"/>
    </row>
    <row r="83" spans="1:29" s="1653" customFormat="1" ht="21.75" customHeight="1">
      <c r="A83" s="2454">
        <v>15</v>
      </c>
      <c r="B83" s="964"/>
      <c r="C83" s="2052" t="str">
        <f>'Chấm công công nhân'!L85</f>
        <v xml:space="preserve"> Thảo Khên </v>
      </c>
      <c r="D83" s="956" t="s">
        <v>40</v>
      </c>
      <c r="E83" s="3827">
        <f>'Chấm công công nhân'!AV85</f>
        <v>15</v>
      </c>
      <c r="F83" s="724"/>
      <c r="G83" s="957"/>
      <c r="H83" s="957">
        <f t="shared" si="9"/>
        <v>15</v>
      </c>
      <c r="I83" s="958" t="str">
        <f t="shared" si="18"/>
        <v>35</v>
      </c>
      <c r="J83" s="959" t="str">
        <f>Mủ!AK85</f>
        <v>A</v>
      </c>
      <c r="K83" s="960"/>
      <c r="L83" s="961">
        <f t="shared" si="19"/>
        <v>35</v>
      </c>
      <c r="M83" s="962" t="str">
        <f t="shared" si="17"/>
        <v>A</v>
      </c>
      <c r="N83" s="963"/>
      <c r="O83" s="2476"/>
      <c r="P83" s="2477"/>
      <c r="Q83" s="747"/>
      <c r="R83" s="1651"/>
      <c r="S83" s="740"/>
      <c r="T83" s="740"/>
      <c r="U83" s="1652"/>
      <c r="V83" s="740"/>
      <c r="W83" s="740"/>
      <c r="X83" s="740"/>
      <c r="Y83" s="740"/>
      <c r="Z83" s="740"/>
      <c r="AA83" s="740"/>
      <c r="AB83" s="740"/>
      <c r="AC83" s="740"/>
    </row>
    <row r="84" spans="1:29" s="1653" customFormat="1" ht="21.75" customHeight="1">
      <c r="A84" s="2454">
        <v>16</v>
      </c>
      <c r="B84" s="964"/>
      <c r="C84" s="2052" t="str">
        <f>'Chấm công công nhân'!L86</f>
        <v xml:space="preserve"> Thảo Đăm </v>
      </c>
      <c r="D84" s="956" t="s">
        <v>40</v>
      </c>
      <c r="E84" s="3827">
        <f>'Chấm công công nhân'!AV86</f>
        <v>20</v>
      </c>
      <c r="F84" s="724"/>
      <c r="G84" s="957"/>
      <c r="H84" s="957">
        <f t="shared" si="9"/>
        <v>20</v>
      </c>
      <c r="I84" s="958" t="str">
        <f t="shared" si="18"/>
        <v>40</v>
      </c>
      <c r="J84" s="959" t="str">
        <f>Mủ!AK86</f>
        <v>A</v>
      </c>
      <c r="K84" s="960"/>
      <c r="L84" s="961">
        <f t="shared" si="19"/>
        <v>40</v>
      </c>
      <c r="M84" s="962" t="str">
        <f t="shared" si="17"/>
        <v>A</v>
      </c>
      <c r="N84" s="963"/>
      <c r="O84" s="2476"/>
      <c r="P84" s="2477"/>
      <c r="Q84" s="747"/>
      <c r="R84" s="1651"/>
      <c r="S84" s="740"/>
      <c r="T84" s="740"/>
      <c r="U84" s="1652"/>
      <c r="V84" s="740"/>
      <c r="W84" s="740"/>
      <c r="X84" s="740"/>
      <c r="Y84" s="740"/>
      <c r="Z84" s="740"/>
      <c r="AA84" s="740"/>
      <c r="AB84" s="740"/>
      <c r="AC84" s="740"/>
    </row>
    <row r="85" spans="1:29" s="1653" customFormat="1" ht="18" customHeight="1">
      <c r="A85" s="740"/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1929" t="s">
        <v>1865</v>
      </c>
      <c r="M85" s="1929"/>
      <c r="N85" s="1929"/>
      <c r="O85" s="1929"/>
      <c r="P85" s="1929"/>
      <c r="Q85" s="747"/>
      <c r="R85" s="1651"/>
      <c r="S85" s="740"/>
      <c r="T85" s="740"/>
      <c r="U85" s="1652"/>
      <c r="V85" s="740"/>
      <c r="W85" s="740"/>
      <c r="X85" s="740"/>
      <c r="Y85" s="740"/>
      <c r="Z85" s="740"/>
      <c r="AA85" s="740"/>
      <c r="AB85" s="740"/>
      <c r="AC85" s="740"/>
    </row>
    <row r="86" spans="1:29" ht="21" customHeight="1">
      <c r="A86" s="1654"/>
      <c r="B86" s="752"/>
      <c r="C86" s="4595" t="s">
        <v>310</v>
      </c>
      <c r="D86" s="4595"/>
      <c r="E86" s="1665"/>
      <c r="F86" s="4591" t="s">
        <v>1117</v>
      </c>
      <c r="G86" s="4591"/>
      <c r="H86" s="4591"/>
      <c r="I86" s="4591"/>
      <c r="J86" s="1661"/>
      <c r="K86" s="1655"/>
      <c r="L86" s="4596" t="s">
        <v>1104</v>
      </c>
      <c r="M86" s="4596"/>
      <c r="N86" s="4596"/>
      <c r="O86" s="4596"/>
      <c r="P86" s="4596"/>
      <c r="Q86" s="4596"/>
      <c r="R86" s="4596"/>
      <c r="S86" s="4596"/>
    </row>
    <row r="87" spans="1:29" ht="21" customHeight="1">
      <c r="A87" s="753"/>
      <c r="B87" s="753"/>
      <c r="C87" s="4590" t="s">
        <v>313</v>
      </c>
      <c r="D87" s="4590"/>
      <c r="E87" s="957">
        <f>SUM(COUNTIF(M11:M84,"A"))</f>
        <v>36</v>
      </c>
      <c r="F87" s="1656"/>
      <c r="G87" s="1656"/>
      <c r="H87" s="1656"/>
      <c r="I87" s="1662"/>
      <c r="J87" s="1662"/>
      <c r="K87" s="1649"/>
      <c r="L87" s="1657"/>
      <c r="M87" s="1654"/>
      <c r="N87" s="1658"/>
    </row>
    <row r="88" spans="1:29" ht="21" customHeight="1">
      <c r="A88" s="753"/>
      <c r="B88" s="753"/>
      <c r="C88" s="4588" t="s">
        <v>315</v>
      </c>
      <c r="D88" s="4589"/>
      <c r="E88" s="957">
        <f>SUM(COUNTIF(M11:M84,"B"))</f>
        <v>32</v>
      </c>
      <c r="F88" s="1656"/>
      <c r="G88" s="1656"/>
      <c r="H88" s="1656"/>
      <c r="I88" s="1662"/>
      <c r="J88" s="1662"/>
      <c r="K88" s="1649"/>
      <c r="L88" s="1657"/>
      <c r="M88" s="1659"/>
      <c r="N88" s="1658"/>
    </row>
    <row r="89" spans="1:29" ht="21" customHeight="1">
      <c r="A89" s="753"/>
      <c r="B89" s="753"/>
      <c r="C89" s="4588" t="s">
        <v>317</v>
      </c>
      <c r="D89" s="4589"/>
      <c r="E89" s="2726">
        <f>SUM(COUNTIF(M11:M84,"C"))</f>
        <v>4</v>
      </c>
      <c r="F89" s="1656"/>
      <c r="G89" s="1656"/>
      <c r="H89" s="1656"/>
      <c r="I89" s="1662"/>
      <c r="J89" s="1662"/>
      <c r="K89" s="1649"/>
      <c r="L89" s="1657"/>
      <c r="M89" s="1660"/>
      <c r="N89" s="1658"/>
    </row>
    <row r="90" spans="1:29" ht="21" customHeight="1">
      <c r="A90" s="753"/>
      <c r="B90" s="753"/>
      <c r="C90" s="4588" t="s">
        <v>1007</v>
      </c>
      <c r="D90" s="4589"/>
      <c r="E90" s="1666">
        <f>SUM(COUNTIF(M11:M84,"D"))</f>
        <v>0</v>
      </c>
      <c r="F90" s="1663"/>
      <c r="G90" s="1663"/>
      <c r="H90" s="1663"/>
      <c r="I90" s="1663"/>
      <c r="J90" s="1660"/>
      <c r="K90" s="1660"/>
      <c r="L90" s="1664"/>
      <c r="M90" s="1664"/>
      <c r="N90" s="1664"/>
    </row>
    <row r="91" spans="1:29" ht="21" customHeight="1">
      <c r="A91" s="753"/>
      <c r="B91" s="753"/>
      <c r="C91" s="4588" t="s">
        <v>187</v>
      </c>
      <c r="D91" s="4589"/>
      <c r="E91" s="1666">
        <f>SUM(E87:E90)</f>
        <v>72</v>
      </c>
      <c r="F91" s="1663"/>
      <c r="G91" s="1663"/>
      <c r="H91" s="1663"/>
      <c r="I91" s="1663"/>
      <c r="J91" s="1660"/>
      <c r="K91" s="1660"/>
      <c r="L91" s="1664"/>
      <c r="M91" s="1664"/>
      <c r="N91" s="1664"/>
    </row>
    <row r="92" spans="1:29" ht="9" customHeight="1">
      <c r="C92" s="749"/>
      <c r="D92" s="749"/>
    </row>
    <row r="93" spans="1:29" ht="13.5" customHeight="1">
      <c r="D93" s="750"/>
      <c r="E93" s="750"/>
      <c r="F93" s="750"/>
      <c r="G93" s="750"/>
      <c r="H93" s="750"/>
      <c r="I93" s="750"/>
    </row>
    <row r="94" spans="1:29" ht="8.25" customHeight="1">
      <c r="C94" s="750"/>
      <c r="D94" s="751"/>
      <c r="E94" s="751"/>
      <c r="F94" s="751"/>
      <c r="G94" s="751"/>
      <c r="H94" s="751"/>
      <c r="I94" s="750"/>
      <c r="J94" s="750"/>
    </row>
    <row r="95" spans="1:29" s="1876" customFormat="1" ht="13.5" customHeight="1">
      <c r="E95" s="1875"/>
      <c r="F95" s="4591"/>
      <c r="G95" s="4591"/>
      <c r="H95" s="4591"/>
      <c r="I95" s="4591"/>
      <c r="J95" s="4591"/>
    </row>
    <row r="96" spans="1:29" ht="13.5" customHeight="1"/>
    <row r="97" spans="9:14" ht="13.5" customHeight="1"/>
    <row r="98" spans="9:14" ht="13.5" customHeight="1"/>
    <row r="99" spans="9:14" ht="13.5" customHeight="1"/>
    <row r="100" spans="9:14" ht="13.5" customHeight="1"/>
    <row r="101" spans="9:14" ht="13.5" customHeight="1"/>
    <row r="102" spans="9:14" ht="13.5" customHeight="1"/>
    <row r="103" spans="9:14" ht="13.5" customHeight="1"/>
    <row r="104" spans="9:14" ht="13.5" customHeight="1">
      <c r="I104" s="4587"/>
      <c r="J104" s="4587"/>
      <c r="K104" s="4587"/>
      <c r="L104" s="4587"/>
      <c r="M104" s="4587"/>
      <c r="N104" s="4587"/>
    </row>
    <row r="105" spans="9:14" ht="13.5" customHeight="1"/>
    <row r="106" spans="9:14" ht="13.5" customHeight="1"/>
    <row r="107" spans="9:14" ht="13.5" customHeight="1"/>
    <row r="108" spans="9:14" ht="13.5" customHeight="1"/>
    <row r="109" spans="9:14" ht="13.5" customHeight="1"/>
    <row r="110" spans="9:14" ht="13.5" customHeight="1"/>
    <row r="111" spans="9:14" ht="13.5" customHeight="1"/>
    <row r="112" spans="9:14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7" ht="8.25" customHeight="1"/>
  </sheetData>
  <mergeCells count="18">
    <mergeCell ref="A2:N2"/>
    <mergeCell ref="A1:N1"/>
    <mergeCell ref="A7:N7"/>
    <mergeCell ref="C86:D86"/>
    <mergeCell ref="A5:F5"/>
    <mergeCell ref="F86:I86"/>
    <mergeCell ref="L86:S86"/>
    <mergeCell ref="A10:C10"/>
    <mergeCell ref="A48:C48"/>
    <mergeCell ref="A68:C68"/>
    <mergeCell ref="I104:K104"/>
    <mergeCell ref="L104:N104"/>
    <mergeCell ref="C90:D90"/>
    <mergeCell ref="C87:D87"/>
    <mergeCell ref="C88:D88"/>
    <mergeCell ref="C89:D89"/>
    <mergeCell ref="C91:D91"/>
    <mergeCell ref="F95:J95"/>
  </mergeCells>
  <printOptions horizontalCentered="1"/>
  <pageMargins left="0.61" right="0.35" top="0.31496062992126" bottom="0.27559055118110198" header="0.31496062992126" footer="0.31496062992126"/>
  <pageSetup paperSize="9" scale="85" orientation="portrait" r:id="rId1"/>
  <colBreaks count="1" manualBreakCount="1">
    <brk id="14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W30"/>
  <sheetViews>
    <sheetView zoomScaleNormal="100" workbookViewId="0">
      <selection activeCell="M12" sqref="M12"/>
    </sheetView>
  </sheetViews>
  <sheetFormatPr defaultColWidth="9.375" defaultRowHeight="15"/>
  <cols>
    <col min="1" max="1" width="3.375" style="1" bestFit="1" customWidth="1"/>
    <col min="2" max="2" width="15.375" style="1" customWidth="1"/>
    <col min="3" max="3" width="17.875" style="1" customWidth="1"/>
    <col min="4" max="4" width="7.25" style="1" bestFit="1" customWidth="1"/>
    <col min="5" max="5" width="17.125" style="1" customWidth="1"/>
    <col min="6" max="6" width="6.625" style="1" customWidth="1"/>
    <col min="7" max="7" width="7" style="1" customWidth="1"/>
    <col min="8" max="8" width="6.625" style="1" customWidth="1"/>
    <col min="9" max="9" width="8" style="2" customWidth="1"/>
    <col min="10" max="10" width="13.125" style="1" customWidth="1"/>
    <col min="11" max="11" width="10.375" style="1" customWidth="1"/>
    <col min="12" max="12" width="11.125" style="1" customWidth="1"/>
    <col min="13" max="13" width="10.375" style="1" bestFit="1" customWidth="1"/>
    <col min="14" max="14" width="12.625" style="1" customWidth="1"/>
    <col min="15" max="15" width="12.375" style="1" customWidth="1"/>
    <col min="16" max="16" width="13.875" style="1" customWidth="1"/>
    <col min="17" max="18" width="0" style="1" hidden="1" customWidth="1"/>
    <col min="19" max="19" width="13.125" style="1" hidden="1" customWidth="1"/>
    <col min="20" max="20" width="13.875" style="1" bestFit="1" customWidth="1"/>
    <col min="21" max="21" width="14.375" style="1" customWidth="1"/>
    <col min="22" max="22" width="14.625" style="1" customWidth="1"/>
    <col min="23" max="16384" width="9.375" style="1"/>
  </cols>
  <sheetData>
    <row r="1" spans="1:23" ht="15.75">
      <c r="A1" s="4155" t="s">
        <v>574</v>
      </c>
      <c r="B1" s="4155"/>
      <c r="C1" s="4155"/>
      <c r="D1" s="4155"/>
      <c r="E1" s="4155"/>
      <c r="F1" s="4155"/>
      <c r="G1" s="4155"/>
      <c r="H1" s="4155"/>
      <c r="I1" s="4155" t="s">
        <v>165</v>
      </c>
      <c r="J1" s="4155"/>
      <c r="K1" s="4155"/>
      <c r="L1" s="4155"/>
      <c r="M1" s="4155"/>
      <c r="N1" s="4155"/>
      <c r="O1" s="4155"/>
      <c r="P1" s="4155"/>
    </row>
    <row r="2" spans="1:23" ht="15.75">
      <c r="A2" s="4480" t="s">
        <v>251</v>
      </c>
      <c r="B2" s="4480"/>
      <c r="C2" s="4480"/>
      <c r="D2" s="4480"/>
      <c r="E2" s="4480"/>
      <c r="F2" s="4480"/>
      <c r="G2" s="4480"/>
      <c r="H2" s="4480"/>
      <c r="I2" s="4480" t="s">
        <v>250</v>
      </c>
      <c r="J2" s="4480"/>
      <c r="K2" s="4480"/>
      <c r="L2" s="4480"/>
      <c r="M2" s="4480"/>
      <c r="N2" s="4480"/>
      <c r="O2" s="4480"/>
      <c r="P2" s="4480"/>
    </row>
    <row r="3" spans="1:23" ht="18.75">
      <c r="A3" s="4165" t="s">
        <v>588</v>
      </c>
      <c r="B3" s="4165"/>
      <c r="C3" s="4165"/>
      <c r="D3" s="4165"/>
      <c r="E3" s="4165"/>
      <c r="F3" s="4165"/>
      <c r="G3" s="4165"/>
      <c r="H3" s="4165"/>
      <c r="I3" s="4165"/>
      <c r="J3" s="4165"/>
      <c r="K3" s="4165"/>
      <c r="L3" s="4165"/>
      <c r="M3" s="4165"/>
      <c r="N3" s="4165"/>
      <c r="O3" s="4165"/>
      <c r="P3" s="4165"/>
    </row>
    <row r="4" spans="1:23" ht="18.75">
      <c r="A4" s="4165" t="s">
        <v>232</v>
      </c>
      <c r="B4" s="4165"/>
      <c r="C4" s="4165"/>
      <c r="D4" s="4165"/>
      <c r="E4" s="4165"/>
      <c r="F4" s="4165"/>
      <c r="G4" s="4165"/>
      <c r="H4" s="4165"/>
      <c r="I4" s="4165"/>
      <c r="J4" s="4165"/>
      <c r="K4" s="4165"/>
      <c r="L4" s="4165"/>
      <c r="M4" s="4165"/>
      <c r="N4" s="4165"/>
      <c r="O4" s="4165"/>
      <c r="P4" s="4165"/>
    </row>
    <row r="6" spans="1:23">
      <c r="A6" s="4604" t="s">
        <v>63</v>
      </c>
      <c r="B6" s="4604"/>
      <c r="C6" s="4604"/>
      <c r="D6" s="4604"/>
      <c r="E6" s="4604"/>
      <c r="F6" s="246">
        <v>9069</v>
      </c>
    </row>
    <row r="7" spans="1:23">
      <c r="A7" s="4604" t="s">
        <v>64</v>
      </c>
      <c r="B7" s="4604"/>
      <c r="C7" s="4604"/>
      <c r="D7" s="4604"/>
      <c r="E7" s="4604"/>
      <c r="F7" s="471">
        <v>0.42609999999999998</v>
      </c>
      <c r="T7" s="461">
        <v>27</v>
      </c>
    </row>
    <row r="9" spans="1:23" s="246" customFormat="1" ht="15" customHeight="1">
      <c r="A9" s="4611" t="s">
        <v>1</v>
      </c>
      <c r="B9" s="4601" t="s">
        <v>2</v>
      </c>
      <c r="C9" s="4601"/>
      <c r="D9" s="406"/>
      <c r="E9" s="4601" t="s">
        <v>5</v>
      </c>
      <c r="F9" s="4601" t="s">
        <v>6</v>
      </c>
      <c r="G9" s="4601"/>
      <c r="H9" s="4601"/>
      <c r="I9" s="4601"/>
      <c r="J9" s="4601"/>
      <c r="K9" s="4601" t="s">
        <v>8</v>
      </c>
      <c r="L9" s="4598" t="s">
        <v>10</v>
      </c>
      <c r="M9" s="4598" t="s">
        <v>11</v>
      </c>
      <c r="N9" s="4598" t="s">
        <v>12</v>
      </c>
      <c r="O9" s="4598" t="s">
        <v>16</v>
      </c>
      <c r="P9" s="4602" t="s">
        <v>17</v>
      </c>
    </row>
    <row r="10" spans="1:23" s="246" customFormat="1" ht="38.25">
      <c r="A10" s="4612"/>
      <c r="B10" s="407" t="s">
        <v>3</v>
      </c>
      <c r="C10" s="407" t="s">
        <v>4</v>
      </c>
      <c r="D10" s="407" t="s">
        <v>239</v>
      </c>
      <c r="E10" s="4600"/>
      <c r="F10" s="408" t="s">
        <v>13</v>
      </c>
      <c r="G10" s="408" t="s">
        <v>14</v>
      </c>
      <c r="H10" s="407" t="s">
        <v>7</v>
      </c>
      <c r="I10" s="409" t="s">
        <v>15</v>
      </c>
      <c r="J10" s="408" t="s">
        <v>25</v>
      </c>
      <c r="K10" s="4600"/>
      <c r="L10" s="4599"/>
      <c r="M10" s="4600"/>
      <c r="N10" s="4600"/>
      <c r="O10" s="4600"/>
      <c r="P10" s="4603"/>
    </row>
    <row r="11" spans="1:23" s="263" customFormat="1" ht="35.25" customHeight="1">
      <c r="A11" s="410" t="s">
        <v>66</v>
      </c>
      <c r="B11" s="411" t="s">
        <v>67</v>
      </c>
      <c r="C11" s="411" t="s">
        <v>68</v>
      </c>
      <c r="D11" s="412"/>
      <c r="E11" s="411" t="s">
        <v>69</v>
      </c>
      <c r="F11" s="411" t="s">
        <v>70</v>
      </c>
      <c r="G11" s="411" t="s">
        <v>71</v>
      </c>
      <c r="H11" s="411" t="s">
        <v>72</v>
      </c>
      <c r="I11" s="413" t="s">
        <v>73</v>
      </c>
      <c r="J11" s="411" t="s">
        <v>74</v>
      </c>
      <c r="K11" s="411" t="s">
        <v>75</v>
      </c>
      <c r="L11" s="411" t="s">
        <v>76</v>
      </c>
      <c r="M11" s="617" t="s">
        <v>77</v>
      </c>
      <c r="N11" s="411" t="s">
        <v>78</v>
      </c>
      <c r="O11" s="411" t="s">
        <v>79</v>
      </c>
      <c r="P11" s="414" t="s">
        <v>80</v>
      </c>
      <c r="U11" s="263">
        <f>+P12*8562</f>
        <v>0</v>
      </c>
    </row>
    <row r="12" spans="1:23" s="253" customFormat="1" ht="21" customHeight="1">
      <c r="A12" s="415">
        <v>1</v>
      </c>
      <c r="B12" s="473" t="s">
        <v>335</v>
      </c>
      <c r="C12" s="27" t="s">
        <v>336</v>
      </c>
      <c r="D12" s="416" t="s">
        <v>334</v>
      </c>
      <c r="E12" s="417" t="s">
        <v>238</v>
      </c>
      <c r="F12" s="418">
        <v>27</v>
      </c>
      <c r="G12" s="419">
        <v>750</v>
      </c>
      <c r="H12" s="420" t="s">
        <v>18</v>
      </c>
      <c r="I12" s="421">
        <f>ROUND(G12/$T$7*F12,0)</f>
        <v>750</v>
      </c>
      <c r="J12" s="420">
        <f>I12*$F$6</f>
        <v>6801750</v>
      </c>
      <c r="K12" s="422" t="e">
        <f>ROUND(VLOOKUP(C12,BHXH!$B$2:$E$8,2,0)*2760000*0.105*$F$7,0)</f>
        <v>#N/A</v>
      </c>
      <c r="L12" s="423" t="e">
        <f>J12-K12</f>
        <v>#N/A</v>
      </c>
      <c r="M12" s="621" t="e">
        <f>ROUND(IF(L12&gt;65000000,((L12-65000000)*25%+10685000),IF(L12&gt;25000000,((L12-25000000)*20%+2685000),IF(L12&gt;15000000,((L12-15000000)*15%+1185000),IF(L12&gt;5000000,(L12-5000000)*10%+185000,IF(L12&gt;1300000,(L12-1300000)*5%,0))))),0)</f>
        <v>#N/A</v>
      </c>
      <c r="N12" s="619" t="e">
        <f>ROUND((L12-M12)*1%,0)</f>
        <v>#N/A</v>
      </c>
      <c r="O12" s="423" t="e">
        <f>L12-M12-N12</f>
        <v>#N/A</v>
      </c>
      <c r="P12" s="463"/>
      <c r="U12" s="253" t="e">
        <f>O12/2*8562</f>
        <v>#N/A</v>
      </c>
    </row>
    <row r="13" spans="1:23" s="253" customFormat="1" ht="21" customHeight="1">
      <c r="A13" s="593">
        <v>2</v>
      </c>
      <c r="B13" s="474" t="s">
        <v>338</v>
      </c>
      <c r="C13" s="465" t="s">
        <v>337</v>
      </c>
      <c r="D13" s="470" t="s">
        <v>339</v>
      </c>
      <c r="E13" s="465" t="s">
        <v>340</v>
      </c>
      <c r="F13" s="418">
        <v>27</v>
      </c>
      <c r="G13" s="419">
        <v>500</v>
      </c>
      <c r="H13" s="420" t="s">
        <v>18</v>
      </c>
      <c r="I13" s="421">
        <f>ROUND(G13/$T$7*F13,0)</f>
        <v>500</v>
      </c>
      <c r="J13" s="420">
        <f>I13*$F$6</f>
        <v>4534500</v>
      </c>
      <c r="K13" s="464">
        <f>ROUND(VLOOKUP(C13,BHXH!$B$2:$E$8,2,0)*2760000*0.105*$F$7,0)</f>
        <v>308709</v>
      </c>
      <c r="L13" s="423">
        <f>J13-K13</f>
        <v>4225791</v>
      </c>
      <c r="M13" s="621">
        <f>ROUND(IF(L13&gt;65000000,((L13-65000000)*25%+10685000),IF(L13&gt;25000000,((L13-25000000)*20%+2685000),IF(L13&gt;15000000,((L13-15000000)*15%+1185000),IF(L13&gt;5000000,(L13-5000000)*10%+185000,IF(L13&gt;1300000,(L13-1300000)*5%,0))))),0)</f>
        <v>146290</v>
      </c>
      <c r="N13" s="620">
        <f>ROUND((L13-M13)*1%,0)</f>
        <v>40795</v>
      </c>
      <c r="O13" s="423">
        <f>L13-M13-N13</f>
        <v>4038706</v>
      </c>
      <c r="P13" s="463"/>
      <c r="U13" s="253">
        <f>O13/2*8562</f>
        <v>17289700386</v>
      </c>
    </row>
    <row r="14" spans="1:23" s="246" customFormat="1" ht="21" customHeight="1">
      <c r="A14" s="415">
        <v>3</v>
      </c>
      <c r="B14" s="475" t="s">
        <v>194</v>
      </c>
      <c r="C14" s="27" t="s">
        <v>97</v>
      </c>
      <c r="D14" s="424" t="e">
        <f>'Lương Tổng NT'!#REF!</f>
        <v>#REF!</v>
      </c>
      <c r="E14" s="27" t="s">
        <v>99</v>
      </c>
      <c r="F14" s="418">
        <v>27</v>
      </c>
      <c r="G14" s="425">
        <v>320</v>
      </c>
      <c r="H14" s="420" t="s">
        <v>18</v>
      </c>
      <c r="I14" s="421">
        <f>ROUND(G14/$T$7*F14,0)</f>
        <v>320</v>
      </c>
      <c r="J14" s="420">
        <f>I14*$F$6</f>
        <v>2902080</v>
      </c>
      <c r="K14" s="422">
        <f>ROUND(VLOOKUP(C14,BHXH!$B$2:$E$8,2,0)*2760000*0.105*$F$7,0)</f>
        <v>150650</v>
      </c>
      <c r="L14" s="423">
        <f>J14-K14</f>
        <v>2751430</v>
      </c>
      <c r="M14" s="621">
        <f>ROUND(IF(L14&gt;65000000,((L14-65000000)*25%+10685000),IF(L14&gt;25000000,((L14-25000000)*20%+2685000),IF(L14&gt;15000000,((L14-15000000)*15%+1185000),IF(L14&gt;5000000,(L14-5000000)*10%+185000,IF(L14&gt;1300000,(L14-1300000)*5%,0))))),0)</f>
        <v>72572</v>
      </c>
      <c r="N14" s="619">
        <f>ROUND((L14-M14)*1%,0)</f>
        <v>26789</v>
      </c>
      <c r="O14" s="423">
        <f>L14-M14-N14</f>
        <v>2652069</v>
      </c>
      <c r="P14" s="463"/>
      <c r="U14" s="253">
        <f>O14/2*8562</f>
        <v>11353507389</v>
      </c>
    </row>
    <row r="15" spans="1:23" s="246" customFormat="1" ht="21" customHeight="1">
      <c r="A15" s="4609" t="s">
        <v>58</v>
      </c>
      <c r="B15" s="4610"/>
      <c r="C15" s="4610"/>
      <c r="D15" s="4610"/>
      <c r="E15" s="4610"/>
      <c r="F15" s="472">
        <f>SUM(F12:F14)</f>
        <v>81</v>
      </c>
      <c r="G15" s="426">
        <f>SUM(G12:G14)</f>
        <v>1570</v>
      </c>
      <c r="H15" s="462" t="s">
        <v>18</v>
      </c>
      <c r="I15" s="426">
        <f t="shared" ref="I15:O15" si="0">SUM(I12:I14)</f>
        <v>1570</v>
      </c>
      <c r="J15" s="426">
        <f t="shared" si="0"/>
        <v>14238330</v>
      </c>
      <c r="K15" s="426" t="e">
        <f t="shared" si="0"/>
        <v>#N/A</v>
      </c>
      <c r="L15" s="426" t="e">
        <f t="shared" si="0"/>
        <v>#N/A</v>
      </c>
      <c r="M15" s="618" t="e">
        <f>SUM(M12:M14)</f>
        <v>#N/A</v>
      </c>
      <c r="N15" s="426" t="e">
        <f t="shared" si="0"/>
        <v>#N/A</v>
      </c>
      <c r="O15" s="426" t="e">
        <f t="shared" si="0"/>
        <v>#N/A</v>
      </c>
      <c r="P15" s="622"/>
      <c r="R15" s="361" t="e">
        <f>+J15-K15-M15-N15</f>
        <v>#N/A</v>
      </c>
      <c r="S15" s="427">
        <f>+G15*F6</f>
        <v>14238330</v>
      </c>
      <c r="T15" s="361" t="e">
        <f>+J15-K15-M15-N15</f>
        <v>#N/A</v>
      </c>
      <c r="U15" s="543" t="e">
        <f>+J15-K15-M15-N15</f>
        <v>#N/A</v>
      </c>
      <c r="V15" s="361" t="e">
        <f>J15-K15</f>
        <v>#N/A</v>
      </c>
      <c r="W15" s="361" t="e">
        <f>L15-M15-N15</f>
        <v>#N/A</v>
      </c>
    </row>
    <row r="16" spans="1:23" ht="18" customHeight="1">
      <c r="A16" s="228"/>
      <c r="B16" s="228"/>
      <c r="C16" s="228"/>
      <c r="D16" s="228"/>
      <c r="E16" s="228"/>
      <c r="F16" s="229"/>
      <c r="G16" s="229"/>
      <c r="H16" s="228"/>
      <c r="I16" s="229"/>
      <c r="J16" s="229"/>
      <c r="K16" s="229"/>
      <c r="L16" s="229"/>
      <c r="M16" s="229"/>
      <c r="N16" s="229"/>
      <c r="O16" s="229"/>
      <c r="P16" s="228"/>
    </row>
    <row r="17" spans="1:21">
      <c r="A17" s="4608" t="s">
        <v>595</v>
      </c>
      <c r="B17" s="4608"/>
      <c r="C17" s="4608"/>
      <c r="D17" s="4608"/>
      <c r="E17" s="4608"/>
      <c r="F17" s="4608"/>
      <c r="G17" s="4608"/>
      <c r="H17" s="4608"/>
      <c r="I17" s="4608"/>
      <c r="J17" s="4608"/>
      <c r="K17" s="4608"/>
      <c r="L17" s="4608"/>
      <c r="M17" s="4608"/>
      <c r="N17" s="4608"/>
      <c r="O17" s="4608"/>
      <c r="P17" s="4608"/>
    </row>
    <row r="18" spans="1:21">
      <c r="U18" s="1">
        <f>I15*F6</f>
        <v>14238330</v>
      </c>
    </row>
    <row r="19" spans="1:21" ht="15.75">
      <c r="A19" s="41"/>
      <c r="B19" s="42"/>
      <c r="C19" s="54"/>
      <c r="D19" s="54"/>
      <c r="E19" s="42"/>
      <c r="F19" s="55"/>
      <c r="G19" s="42"/>
      <c r="H19" s="42"/>
      <c r="I19" s="55"/>
      <c r="J19" s="56"/>
      <c r="K19" s="56"/>
      <c r="L19" s="42"/>
      <c r="M19" s="4607" t="s">
        <v>587</v>
      </c>
      <c r="N19" s="4607"/>
      <c r="O19" s="4607"/>
      <c r="P19" s="4607"/>
      <c r="R19" s="1">
        <f>+G15*F6</f>
        <v>14238330</v>
      </c>
    </row>
    <row r="20" spans="1:21" ht="15.75">
      <c r="A20" s="4155" t="s">
        <v>45</v>
      </c>
      <c r="B20" s="4155"/>
      <c r="C20" s="4155"/>
      <c r="D20" s="39"/>
      <c r="E20" s="39"/>
      <c r="F20" s="4155" t="s">
        <v>44</v>
      </c>
      <c r="G20" s="4155"/>
      <c r="H20" s="4155"/>
      <c r="I20" s="4155"/>
      <c r="J20" s="40"/>
      <c r="K20" s="4155" t="s">
        <v>167</v>
      </c>
      <c r="L20" s="4155"/>
      <c r="M20" s="4155"/>
      <c r="N20" s="4155" t="s">
        <v>42</v>
      </c>
      <c r="O20" s="4155"/>
      <c r="P20" s="4155"/>
      <c r="U20" s="1">
        <f>2470*8661</f>
        <v>21392670</v>
      </c>
    </row>
    <row r="21" spans="1:21" ht="21" customHeight="1"/>
    <row r="22" spans="1:21" ht="21" customHeight="1">
      <c r="P22" s="380"/>
    </row>
    <row r="23" spans="1:21" ht="21" customHeight="1">
      <c r="J23" s="2"/>
      <c r="T23" s="594">
        <f>+G15*F6</f>
        <v>14238330</v>
      </c>
    </row>
    <row r="24" spans="1:21" ht="21" customHeight="1">
      <c r="L24" s="380"/>
    </row>
    <row r="25" spans="1:21" s="138" customFormat="1" ht="15.75">
      <c r="I25" s="139"/>
      <c r="K25" s="4606" t="s">
        <v>336</v>
      </c>
      <c r="L25" s="4606"/>
      <c r="M25" s="4606"/>
      <c r="N25" s="4605" t="s">
        <v>337</v>
      </c>
      <c r="O25" s="4605"/>
      <c r="P25" s="4605"/>
    </row>
    <row r="30" spans="1:21">
      <c r="O30" s="380"/>
    </row>
  </sheetData>
  <mergeCells count="27">
    <mergeCell ref="A15:E15"/>
    <mergeCell ref="A20:C20"/>
    <mergeCell ref="F20:I20"/>
    <mergeCell ref="K20:M20"/>
    <mergeCell ref="N9:N10"/>
    <mergeCell ref="A9:A10"/>
    <mergeCell ref="B9:C9"/>
    <mergeCell ref="K9:K10"/>
    <mergeCell ref="F9:J9"/>
    <mergeCell ref="N25:P25"/>
    <mergeCell ref="K25:M25"/>
    <mergeCell ref="N20:P20"/>
    <mergeCell ref="M19:P19"/>
    <mergeCell ref="A17:P17"/>
    <mergeCell ref="A1:H1"/>
    <mergeCell ref="A2:H2"/>
    <mergeCell ref="I1:P1"/>
    <mergeCell ref="I2:P2"/>
    <mergeCell ref="L9:L10"/>
    <mergeCell ref="M9:M10"/>
    <mergeCell ref="O9:O10"/>
    <mergeCell ref="E9:E10"/>
    <mergeCell ref="P9:P10"/>
    <mergeCell ref="A3:P3"/>
    <mergeCell ref="A4:P4"/>
    <mergeCell ref="A6:E6"/>
    <mergeCell ref="A7:E7"/>
  </mergeCells>
  <phoneticPr fontId="57" type="noConversion"/>
  <pageMargins left="0.37" right="0.2" top="0.46" bottom="0.75" header="0.3" footer="0.3"/>
  <pageSetup paperSize="9" scale="81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U22"/>
  <sheetViews>
    <sheetView workbookViewId="0">
      <selection activeCell="E15" sqref="E15"/>
    </sheetView>
  </sheetViews>
  <sheetFormatPr defaultRowHeight="14.25"/>
  <cols>
    <col min="1" max="1" width="5.125" customWidth="1"/>
    <col min="2" max="2" width="10.25" customWidth="1"/>
    <col min="3" max="3" width="13.25" bestFit="1" customWidth="1"/>
    <col min="4" max="4" width="7.875" customWidth="1"/>
    <col min="7" max="7" width="10.375" customWidth="1"/>
    <col min="14" max="14" width="10.875" customWidth="1"/>
    <col min="16" max="16" width="11.375" customWidth="1"/>
    <col min="17" max="17" width="13.75" customWidth="1"/>
    <col min="19" max="19" width="15.375" bestFit="1" customWidth="1"/>
  </cols>
  <sheetData>
    <row r="1" spans="1:21" ht="15.75">
      <c r="A1" s="4155" t="s">
        <v>574</v>
      </c>
      <c r="B1" s="4155"/>
      <c r="C1" s="4155"/>
      <c r="D1" s="4155"/>
      <c r="E1" s="4155"/>
      <c r="F1" s="4155"/>
      <c r="G1" s="4155"/>
      <c r="H1" s="4155"/>
      <c r="I1" s="4155" t="s">
        <v>165</v>
      </c>
      <c r="J1" s="4155"/>
      <c r="K1" s="4155"/>
      <c r="L1" s="4155"/>
      <c r="M1" s="4155"/>
      <c r="N1" s="4155"/>
      <c r="O1" s="4155"/>
      <c r="P1" s="4155"/>
      <c r="Q1" s="4155"/>
    </row>
    <row r="2" spans="1:21" ht="15.75">
      <c r="A2" s="4480" t="s">
        <v>251</v>
      </c>
      <c r="B2" s="4480"/>
      <c r="C2" s="4480"/>
      <c r="D2" s="4480"/>
      <c r="E2" s="4480"/>
      <c r="F2" s="4480"/>
      <c r="G2" s="4480"/>
      <c r="H2" s="4480"/>
      <c r="I2" s="4480" t="s">
        <v>250</v>
      </c>
      <c r="J2" s="4480"/>
      <c r="K2" s="4480"/>
      <c r="L2" s="4480"/>
      <c r="M2" s="4480"/>
      <c r="N2" s="4480"/>
      <c r="O2" s="4480"/>
      <c r="P2" s="4480"/>
      <c r="Q2" s="4480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629" t="s">
        <v>631</v>
      </c>
      <c r="B4" s="4629"/>
      <c r="C4" s="4629"/>
      <c r="D4" s="4629"/>
      <c r="E4" s="4629"/>
      <c r="F4" s="4629"/>
      <c r="G4" s="4629"/>
      <c r="H4" s="4629"/>
      <c r="I4" s="4629"/>
      <c r="J4" s="4629"/>
      <c r="K4" s="4629"/>
      <c r="L4" s="4629"/>
      <c r="M4" s="4629"/>
      <c r="N4" s="4629"/>
      <c r="O4" s="4629"/>
      <c r="P4" s="4629"/>
      <c r="Q4" s="4629"/>
      <c r="S4">
        <f>+F11/25000</f>
        <v>1</v>
      </c>
    </row>
    <row r="5" spans="1:21" ht="15.75">
      <c r="A5" s="4155" t="s">
        <v>234</v>
      </c>
      <c r="B5" s="4155"/>
      <c r="C5" s="4155"/>
      <c r="D5" s="4155"/>
      <c r="E5" s="4155"/>
      <c r="F5" s="4155"/>
      <c r="G5" s="4155"/>
      <c r="H5" s="4155"/>
      <c r="I5" s="4155"/>
      <c r="J5" s="4155"/>
      <c r="K5" s="4155"/>
      <c r="L5" s="4155"/>
      <c r="M5" s="4155"/>
      <c r="N5" s="4155"/>
      <c r="O5" s="4155"/>
      <c r="P5" s="4155"/>
      <c r="Q5" s="4155"/>
      <c r="S5" s="597">
        <f>1/48</f>
        <v>2.0833333333333332E-2</v>
      </c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618" t="s">
        <v>1</v>
      </c>
      <c r="B7" s="4621" t="s">
        <v>20</v>
      </c>
      <c r="C7" s="4621"/>
      <c r="D7" s="4623" t="s">
        <v>26</v>
      </c>
      <c r="E7" s="4626" t="s">
        <v>27</v>
      </c>
      <c r="F7" s="4626"/>
      <c r="G7" s="4626"/>
      <c r="H7" s="4626"/>
      <c r="I7" s="4626"/>
      <c r="J7" s="4626"/>
      <c r="K7" s="4626"/>
      <c r="L7" s="4626"/>
      <c r="M7" s="4626"/>
      <c r="N7" s="4627" t="s">
        <v>60</v>
      </c>
      <c r="O7" s="4627" t="s">
        <v>28</v>
      </c>
      <c r="P7" s="4627" t="s">
        <v>29</v>
      </c>
      <c r="Q7" s="4630" t="s">
        <v>9</v>
      </c>
    </row>
    <row r="8" spans="1:21">
      <c r="A8" s="4619"/>
      <c r="B8" s="4622"/>
      <c r="C8" s="4622"/>
      <c r="D8" s="4624"/>
      <c r="E8" s="4633" t="s">
        <v>30</v>
      </c>
      <c r="F8" s="4633"/>
      <c r="G8" s="4633"/>
      <c r="H8" s="4628" t="s">
        <v>31</v>
      </c>
      <c r="I8" s="4628"/>
      <c r="J8" s="4628"/>
      <c r="K8" s="4634" t="s">
        <v>32</v>
      </c>
      <c r="L8" s="4634"/>
      <c r="M8" s="4634"/>
      <c r="N8" s="4628"/>
      <c r="O8" s="4628"/>
      <c r="P8" s="4628"/>
      <c r="Q8" s="4631"/>
    </row>
    <row r="9" spans="1:21" ht="51">
      <c r="A9" s="4620"/>
      <c r="B9" s="393" t="s">
        <v>33</v>
      </c>
      <c r="C9" s="393" t="s">
        <v>4</v>
      </c>
      <c r="D9" s="4625"/>
      <c r="E9" s="394" t="s">
        <v>43</v>
      </c>
      <c r="F9" s="391" t="s">
        <v>34</v>
      </c>
      <c r="G9" s="390" t="s">
        <v>35</v>
      </c>
      <c r="H9" s="395" t="s">
        <v>36</v>
      </c>
      <c r="I9" s="396" t="s">
        <v>37</v>
      </c>
      <c r="J9" s="396" t="s">
        <v>38</v>
      </c>
      <c r="K9" s="392" t="s">
        <v>39</v>
      </c>
      <c r="L9" s="392" t="s">
        <v>186</v>
      </c>
      <c r="M9" s="396" t="s">
        <v>24</v>
      </c>
      <c r="N9" s="4628"/>
      <c r="O9" s="4628"/>
      <c r="P9" s="4628"/>
      <c r="Q9" s="4632"/>
    </row>
    <row r="10" spans="1:21" ht="49.5">
      <c r="A10" s="397" t="s">
        <v>66</v>
      </c>
      <c r="B10" s="398" t="s">
        <v>67</v>
      </c>
      <c r="C10" s="398" t="s">
        <v>81</v>
      </c>
      <c r="D10" s="398" t="s">
        <v>69</v>
      </c>
      <c r="E10" s="398" t="s">
        <v>70</v>
      </c>
      <c r="F10" s="398" t="s">
        <v>85</v>
      </c>
      <c r="G10" s="398" t="s">
        <v>73</v>
      </c>
      <c r="H10" s="399" t="s">
        <v>86</v>
      </c>
      <c r="I10" s="398" t="s">
        <v>87</v>
      </c>
      <c r="J10" s="398" t="s">
        <v>73</v>
      </c>
      <c r="K10" s="398" t="s">
        <v>88</v>
      </c>
      <c r="L10" s="398" t="s">
        <v>89</v>
      </c>
      <c r="M10" s="398" t="s">
        <v>73</v>
      </c>
      <c r="N10" s="398" t="s">
        <v>90</v>
      </c>
      <c r="O10" s="398" t="s">
        <v>91</v>
      </c>
      <c r="P10" s="398" t="s">
        <v>84</v>
      </c>
      <c r="Q10" s="400" t="s">
        <v>80</v>
      </c>
    </row>
    <row r="11" spans="1:21" ht="20.25" customHeight="1">
      <c r="A11" s="582">
        <v>1</v>
      </c>
      <c r="B11" s="401"/>
      <c r="C11" s="403" t="s">
        <v>536</v>
      </c>
      <c r="D11" s="677" t="s">
        <v>259</v>
      </c>
      <c r="E11" s="672" t="e">
        <f>'Tong hop cong'!#REF!</f>
        <v>#REF!</v>
      </c>
      <c r="F11" s="405">
        <v>25000</v>
      </c>
      <c r="G11" s="405" t="e">
        <f>ROUND(E11*F11,0)</f>
        <v>#REF!</v>
      </c>
      <c r="H11" s="579"/>
      <c r="I11" s="580"/>
      <c r="J11" s="581"/>
      <c r="K11" s="580"/>
      <c r="L11" s="580"/>
      <c r="M11" s="581"/>
      <c r="N11" s="580" t="e">
        <f>G11</f>
        <v>#REF!</v>
      </c>
      <c r="O11" s="580"/>
      <c r="P11" s="580" t="e">
        <f>N11</f>
        <v>#REF!</v>
      </c>
      <c r="Q11" s="402"/>
      <c r="T11">
        <f>421.47*25000</f>
        <v>10536750</v>
      </c>
    </row>
    <row r="12" spans="1:21" ht="20.25" customHeight="1">
      <c r="A12" s="582">
        <v>2</v>
      </c>
      <c r="B12" s="401"/>
      <c r="C12" s="403" t="s">
        <v>332</v>
      </c>
      <c r="D12" s="677" t="s">
        <v>259</v>
      </c>
      <c r="E12" s="404"/>
      <c r="F12" s="405">
        <v>25000</v>
      </c>
      <c r="G12" s="405">
        <f>ROUND(E12*F12,0)</f>
        <v>0</v>
      </c>
      <c r="H12" s="579"/>
      <c r="I12" s="580"/>
      <c r="J12" s="581"/>
      <c r="K12" s="580"/>
      <c r="L12" s="580"/>
      <c r="M12" s="581"/>
      <c r="N12" s="580">
        <f>G12</f>
        <v>0</v>
      </c>
      <c r="O12" s="580"/>
      <c r="P12" s="580">
        <f>N12</f>
        <v>0</v>
      </c>
      <c r="Q12" s="402"/>
    </row>
    <row r="13" spans="1:21" ht="18" customHeight="1">
      <c r="A13" s="4616" t="s">
        <v>190</v>
      </c>
      <c r="B13" s="4617"/>
      <c r="C13" s="4617"/>
      <c r="D13" s="4617"/>
      <c r="E13" s="673" t="e">
        <f>SUBTOTAL(9,E11:E12)</f>
        <v>#REF!</v>
      </c>
      <c r="F13" s="674"/>
      <c r="G13" s="674" t="e">
        <f>SUBTOTAL(9,G11:G12)</f>
        <v>#REF!</v>
      </c>
      <c r="H13" s="675"/>
      <c r="I13" s="674"/>
      <c r="J13" s="674"/>
      <c r="K13" s="674"/>
      <c r="L13" s="674"/>
      <c r="M13" s="674"/>
      <c r="N13" s="674" t="e">
        <f>SUBTOTAL(9,N11:N12)</f>
        <v>#REF!</v>
      </c>
      <c r="O13" s="674">
        <f>SUBTOTAL(9,O11:O11)</f>
        <v>0</v>
      </c>
      <c r="P13" s="674" t="e">
        <f>SUBTOTAL(9,P11:P12)</f>
        <v>#REF!</v>
      </c>
      <c r="Q13" s="676"/>
      <c r="S13" s="595">
        <f>507.37*25000</f>
        <v>12684250</v>
      </c>
    </row>
    <row r="14" spans="1:21" ht="21.75" customHeight="1">
      <c r="A14" s="4614" t="s">
        <v>633</v>
      </c>
      <c r="B14" s="4614"/>
      <c r="C14" s="4614"/>
      <c r="D14" s="4614"/>
      <c r="E14" s="4614"/>
      <c r="F14" s="4614"/>
      <c r="G14" s="4614"/>
      <c r="H14" s="4614"/>
      <c r="I14" s="4614"/>
      <c r="J14" s="4614"/>
      <c r="K14" s="4614"/>
      <c r="L14" s="4614"/>
      <c r="M14" s="4614"/>
      <c r="N14" s="4614"/>
      <c r="O14" s="4614"/>
      <c r="P14" s="4614"/>
      <c r="Q14" s="4614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57"/>
      <c r="O15" s="4615" t="s">
        <v>632</v>
      </c>
      <c r="P15" s="4615"/>
      <c r="Q15" s="4615"/>
      <c r="T15">
        <f>391.74*25000</f>
        <v>9793500</v>
      </c>
    </row>
    <row r="16" spans="1:21" ht="15.75">
      <c r="A16" s="4155" t="s">
        <v>45</v>
      </c>
      <c r="B16" s="4155"/>
      <c r="C16" s="4155"/>
      <c r="D16" s="39"/>
      <c r="E16" s="40"/>
      <c r="F16" s="4155" t="s">
        <v>44</v>
      </c>
      <c r="G16" s="4155"/>
      <c r="H16" s="4155"/>
      <c r="I16" s="39"/>
      <c r="J16" s="40"/>
      <c r="K16" s="4155" t="s">
        <v>167</v>
      </c>
      <c r="L16" s="4155"/>
      <c r="M16" s="4155"/>
      <c r="N16" s="40"/>
      <c r="O16" s="4155" t="s">
        <v>42</v>
      </c>
      <c r="P16" s="4155"/>
      <c r="Q16" s="4155"/>
      <c r="S16" s="244"/>
      <c r="U16" t="e">
        <f>+E13*25000</f>
        <v>#REF!</v>
      </c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  <c r="T19">
        <f>223.86*25000</f>
        <v>5596500</v>
      </c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613" t="s">
        <v>336</v>
      </c>
      <c r="L22" s="4613"/>
      <c r="M22" s="4613"/>
      <c r="N22" s="140"/>
      <c r="O22" s="4155" t="s">
        <v>337</v>
      </c>
      <c r="P22" s="4155"/>
      <c r="Q22" s="4155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O15:Q15"/>
    <mergeCell ref="A16:C16"/>
    <mergeCell ref="F16:H16"/>
    <mergeCell ref="K16:M16"/>
    <mergeCell ref="O16:Q16"/>
  </mergeCells>
  <phoneticPr fontId="57" type="noConversion"/>
  <pageMargins left="0.41" right="0.31" top="0.45" bottom="0.75" header="0.3" footer="0.3"/>
  <pageSetup scale="79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U22"/>
  <sheetViews>
    <sheetView workbookViewId="0">
      <selection activeCell="E12" sqref="E12"/>
    </sheetView>
  </sheetViews>
  <sheetFormatPr defaultRowHeight="14.25"/>
  <cols>
    <col min="1" max="1" width="5.375" customWidth="1"/>
    <col min="2" max="2" width="7.125" customWidth="1"/>
    <col min="3" max="3" width="12.75" customWidth="1"/>
    <col min="4" max="4" width="7.875" customWidth="1"/>
    <col min="14" max="14" width="13.125" bestFit="1" customWidth="1"/>
    <col min="16" max="16" width="11.75" bestFit="1" customWidth="1"/>
    <col min="20" max="20" width="14.875" bestFit="1" customWidth="1"/>
  </cols>
  <sheetData>
    <row r="1" spans="1:21" ht="15.75">
      <c r="A1" s="4155" t="s">
        <v>0</v>
      </c>
      <c r="B1" s="4155"/>
      <c r="C1" s="4155"/>
      <c r="D1" s="4155"/>
      <c r="E1" s="4155"/>
      <c r="F1" s="4155"/>
      <c r="G1" s="4155"/>
      <c r="H1" s="4155"/>
      <c r="I1" s="4155" t="s">
        <v>165</v>
      </c>
      <c r="J1" s="4155"/>
      <c r="K1" s="4155"/>
      <c r="L1" s="4155"/>
      <c r="M1" s="4155"/>
      <c r="N1" s="4155"/>
      <c r="O1" s="4155"/>
      <c r="P1" s="4155"/>
      <c r="Q1" s="4155"/>
    </row>
    <row r="2" spans="1:21" ht="15.75">
      <c r="A2" s="4480" t="s">
        <v>251</v>
      </c>
      <c r="B2" s="4480"/>
      <c r="C2" s="4480"/>
      <c r="D2" s="4480"/>
      <c r="E2" s="4480"/>
      <c r="F2" s="4480"/>
      <c r="G2" s="4480"/>
      <c r="H2" s="4480"/>
      <c r="I2" s="4480" t="s">
        <v>250</v>
      </c>
      <c r="J2" s="4480"/>
      <c r="K2" s="4480"/>
      <c r="L2" s="4480"/>
      <c r="M2" s="4480"/>
      <c r="N2" s="4480"/>
      <c r="O2" s="4480"/>
      <c r="P2" s="4480"/>
      <c r="Q2" s="4480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629" t="s">
        <v>395</v>
      </c>
      <c r="B4" s="4629"/>
      <c r="C4" s="4629"/>
      <c r="D4" s="4629"/>
      <c r="E4" s="4629"/>
      <c r="F4" s="4629"/>
      <c r="G4" s="4629"/>
      <c r="H4" s="4629"/>
      <c r="I4" s="4629"/>
      <c r="J4" s="4629"/>
      <c r="K4" s="4629"/>
      <c r="L4" s="4629"/>
      <c r="M4" s="4629"/>
      <c r="N4" s="4629"/>
      <c r="O4" s="4629"/>
      <c r="P4" s="4629"/>
      <c r="Q4" s="4629"/>
    </row>
    <row r="5" spans="1:21" ht="15.75">
      <c r="A5" s="4155" t="s">
        <v>234</v>
      </c>
      <c r="B5" s="4155"/>
      <c r="C5" s="4155"/>
      <c r="D5" s="4155"/>
      <c r="E5" s="4155"/>
      <c r="F5" s="4155"/>
      <c r="G5" s="4155"/>
      <c r="H5" s="4155"/>
      <c r="I5" s="4155"/>
      <c r="J5" s="4155"/>
      <c r="K5" s="4155"/>
      <c r="L5" s="4155"/>
      <c r="M5" s="4155"/>
      <c r="N5" s="4155"/>
      <c r="O5" s="4155"/>
      <c r="P5" s="4155"/>
      <c r="Q5" s="4155"/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638" t="s">
        <v>1</v>
      </c>
      <c r="B7" s="4640" t="s">
        <v>20</v>
      </c>
      <c r="C7" s="4641"/>
      <c r="D7" s="4638" t="s">
        <v>26</v>
      </c>
      <c r="E7" s="4644" t="s">
        <v>27</v>
      </c>
      <c r="F7" s="4645"/>
      <c r="G7" s="4645"/>
      <c r="H7" s="4645"/>
      <c r="I7" s="4645"/>
      <c r="J7" s="4645"/>
      <c r="K7" s="4645"/>
      <c r="L7" s="4645"/>
      <c r="M7" s="4646"/>
      <c r="N7" s="4647" t="s">
        <v>60</v>
      </c>
      <c r="O7" s="4648" t="s">
        <v>28</v>
      </c>
      <c r="P7" s="4648" t="s">
        <v>29</v>
      </c>
      <c r="Q7" s="4651" t="s">
        <v>9</v>
      </c>
    </row>
    <row r="8" spans="1:21">
      <c r="A8" s="4638"/>
      <c r="B8" s="4642"/>
      <c r="C8" s="4643"/>
      <c r="D8" s="4638"/>
      <c r="E8" s="4652" t="s">
        <v>30</v>
      </c>
      <c r="F8" s="4653"/>
      <c r="G8" s="4654"/>
      <c r="H8" s="4655" t="s">
        <v>31</v>
      </c>
      <c r="I8" s="4655"/>
      <c r="J8" s="4656"/>
      <c r="K8" s="4657" t="s">
        <v>32</v>
      </c>
      <c r="L8" s="4658"/>
      <c r="M8" s="4659"/>
      <c r="N8" s="4647"/>
      <c r="O8" s="4649"/>
      <c r="P8" s="4649"/>
      <c r="Q8" s="4638"/>
    </row>
    <row r="9" spans="1:21" ht="51">
      <c r="A9" s="4639"/>
      <c r="B9" s="68" t="s">
        <v>33</v>
      </c>
      <c r="C9" s="68" t="s">
        <v>4</v>
      </c>
      <c r="D9" s="4639"/>
      <c r="E9" s="69" t="s">
        <v>43</v>
      </c>
      <c r="F9" s="50" t="s">
        <v>34</v>
      </c>
      <c r="G9" s="67" t="s">
        <v>35</v>
      </c>
      <c r="H9" s="52" t="s">
        <v>36</v>
      </c>
      <c r="I9" s="51" t="s">
        <v>37</v>
      </c>
      <c r="J9" s="51" t="s">
        <v>38</v>
      </c>
      <c r="K9" s="66" t="s">
        <v>39</v>
      </c>
      <c r="L9" s="66" t="s">
        <v>186</v>
      </c>
      <c r="M9" s="65" t="s">
        <v>24</v>
      </c>
      <c r="N9" s="4647"/>
      <c r="O9" s="4650"/>
      <c r="P9" s="4650"/>
      <c r="Q9" s="4639"/>
    </row>
    <row r="10" spans="1:21" ht="49.5">
      <c r="A10" s="73" t="s">
        <v>66</v>
      </c>
      <c r="B10" s="73" t="s">
        <v>67</v>
      </c>
      <c r="C10" s="73" t="s">
        <v>81</v>
      </c>
      <c r="D10" s="73" t="s">
        <v>69</v>
      </c>
      <c r="E10" s="73" t="s">
        <v>70</v>
      </c>
      <c r="F10" s="73" t="s">
        <v>85</v>
      </c>
      <c r="G10" s="73" t="s">
        <v>73</v>
      </c>
      <c r="H10" s="74" t="s">
        <v>86</v>
      </c>
      <c r="I10" s="73" t="s">
        <v>87</v>
      </c>
      <c r="J10" s="73" t="s">
        <v>73</v>
      </c>
      <c r="K10" s="73" t="s">
        <v>88</v>
      </c>
      <c r="L10" s="73" t="s">
        <v>89</v>
      </c>
      <c r="M10" s="73" t="s">
        <v>73</v>
      </c>
      <c r="N10" s="73" t="s">
        <v>90</v>
      </c>
      <c r="O10" s="73" t="s">
        <v>91</v>
      </c>
      <c r="P10" s="73" t="s">
        <v>84</v>
      </c>
      <c r="Q10" s="73" t="s">
        <v>80</v>
      </c>
      <c r="U10">
        <f>17.65*25000</f>
        <v>441249.99999999994</v>
      </c>
    </row>
    <row r="11" spans="1:21" ht="18" customHeight="1">
      <c r="A11" s="70">
        <v>1</v>
      </c>
      <c r="B11" s="70">
        <v>2</v>
      </c>
      <c r="C11" s="70">
        <v>3</v>
      </c>
      <c r="D11" s="70">
        <v>4</v>
      </c>
      <c r="E11" s="70">
        <v>5</v>
      </c>
      <c r="F11" s="70">
        <v>6</v>
      </c>
      <c r="G11" s="70">
        <v>8</v>
      </c>
      <c r="H11" s="70">
        <v>9</v>
      </c>
      <c r="I11" s="70">
        <v>10</v>
      </c>
      <c r="J11" s="70">
        <v>11</v>
      </c>
      <c r="K11" s="70">
        <v>12</v>
      </c>
      <c r="L11" s="70">
        <v>13</v>
      </c>
      <c r="M11" s="70">
        <v>14</v>
      </c>
      <c r="N11" s="70">
        <v>15</v>
      </c>
      <c r="O11" s="70">
        <v>19</v>
      </c>
      <c r="P11" s="70">
        <v>21</v>
      </c>
      <c r="Q11" s="70">
        <v>22</v>
      </c>
    </row>
    <row r="12" spans="1:21" ht="18" customHeight="1">
      <c r="A12" s="457">
        <v>1</v>
      </c>
      <c r="B12" s="238"/>
      <c r="C12" s="362" t="s">
        <v>332</v>
      </c>
      <c r="D12" s="239"/>
      <c r="E12" s="265"/>
      <c r="F12" s="242">
        <v>25000</v>
      </c>
      <c r="G12" s="264">
        <f>ROUND(E12*F12,0)</f>
        <v>0</v>
      </c>
      <c r="H12" s="238"/>
      <c r="I12" s="238"/>
      <c r="J12" s="238"/>
      <c r="K12" s="238"/>
      <c r="L12" s="238"/>
      <c r="M12" s="238"/>
      <c r="N12" s="278">
        <f>G12+J12+M12</f>
        <v>0</v>
      </c>
      <c r="O12" s="238"/>
      <c r="P12" s="456">
        <f>N12</f>
        <v>0</v>
      </c>
      <c r="Q12" s="238"/>
      <c r="T12" s="458">
        <f>279.88*25000</f>
        <v>6997000</v>
      </c>
    </row>
    <row r="13" spans="1:21" ht="18" customHeight="1">
      <c r="A13" s="4635" t="s">
        <v>190</v>
      </c>
      <c r="B13" s="4636"/>
      <c r="C13" s="4636"/>
      <c r="D13" s="4637"/>
      <c r="E13" s="266">
        <f>SUM(E12:E12)</f>
        <v>0</v>
      </c>
      <c r="F13" s="232">
        <v>25000</v>
      </c>
      <c r="G13" s="267">
        <f>SUM(G12:G12)</f>
        <v>0</v>
      </c>
      <c r="H13" s="232"/>
      <c r="I13" s="232"/>
      <c r="J13" s="232"/>
      <c r="K13" s="232"/>
      <c r="L13" s="232"/>
      <c r="M13" s="232"/>
      <c r="N13" s="267">
        <f>SUM(N12:N12)</f>
        <v>0</v>
      </c>
      <c r="O13" s="267">
        <f>SUM(O12:O12)</f>
        <v>0</v>
      </c>
      <c r="P13" s="267">
        <f>SUM(P12:P12)</f>
        <v>0</v>
      </c>
      <c r="Q13" s="232"/>
      <c r="U13">
        <f>222.54*25000</f>
        <v>5563500</v>
      </c>
    </row>
    <row r="14" spans="1:21" ht="24" customHeight="1">
      <c r="A14" s="4614" t="s">
        <v>396</v>
      </c>
      <c r="B14" s="4614"/>
      <c r="C14" s="4614"/>
      <c r="D14" s="4614"/>
      <c r="E14" s="4614"/>
      <c r="F14" s="4614"/>
      <c r="G14" s="4614"/>
      <c r="H14" s="4614"/>
      <c r="I14" s="4614"/>
      <c r="J14" s="4614"/>
      <c r="K14" s="4614"/>
      <c r="L14" s="4614"/>
      <c r="M14" s="4614"/>
      <c r="N14" s="4614"/>
      <c r="O14" s="4614"/>
      <c r="P14" s="4614"/>
      <c r="Q14" s="4614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4607" t="s">
        <v>394</v>
      </c>
      <c r="O15" s="4607"/>
      <c r="P15" s="4607"/>
      <c r="Q15" s="4607"/>
    </row>
    <row r="16" spans="1:21" ht="15.75">
      <c r="A16" s="4155" t="s">
        <v>45</v>
      </c>
      <c r="B16" s="4155"/>
      <c r="C16" s="4155"/>
      <c r="D16" s="39"/>
      <c r="E16" s="40"/>
      <c r="F16" s="4155" t="s">
        <v>44</v>
      </c>
      <c r="G16" s="4155"/>
      <c r="H16" s="4155"/>
      <c r="I16" s="39"/>
      <c r="J16" s="40"/>
      <c r="K16" s="4155" t="s">
        <v>167</v>
      </c>
      <c r="L16" s="4155"/>
      <c r="M16" s="4155"/>
      <c r="N16" s="40"/>
      <c r="O16" s="4155" t="s">
        <v>42</v>
      </c>
      <c r="P16" s="4155"/>
      <c r="Q16" s="4155"/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  <c r="T18">
        <f>89.43*25000</f>
        <v>2235750</v>
      </c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605"/>
      <c r="L22" s="4605"/>
      <c r="M22" s="4605"/>
      <c r="N22" s="140"/>
      <c r="O22" s="4155" t="s">
        <v>337</v>
      </c>
      <c r="P22" s="4155"/>
      <c r="Q22" s="4155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A16:C16"/>
    <mergeCell ref="F16:H16"/>
    <mergeCell ref="K16:M16"/>
    <mergeCell ref="O16:Q16"/>
    <mergeCell ref="N15:Q15"/>
  </mergeCells>
  <phoneticPr fontId="57" type="noConversion"/>
  <pageMargins left="0.39" right="0.17" top="0.41" bottom="0.75" header="0.3" footer="0.3"/>
  <pageSetup scale="83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Q25"/>
  <sheetViews>
    <sheetView workbookViewId="0">
      <selection activeCell="F14" sqref="F14"/>
    </sheetView>
  </sheetViews>
  <sheetFormatPr defaultColWidth="9.375" defaultRowHeight="15"/>
  <cols>
    <col min="1" max="1" width="3.375" style="1" bestFit="1" customWidth="1"/>
    <col min="2" max="2" width="12.25" style="1" customWidth="1"/>
    <col min="3" max="3" width="15.875" style="1" customWidth="1"/>
    <col min="4" max="4" width="16.125" style="1" customWidth="1"/>
    <col min="5" max="5" width="8.75" style="1" customWidth="1"/>
    <col min="6" max="6" width="8.375" style="1" bestFit="1" customWidth="1"/>
    <col min="7" max="7" width="7.125" style="1" customWidth="1"/>
    <col min="8" max="8" width="10.375" style="2" customWidth="1"/>
    <col min="9" max="9" width="14.125" style="1" customWidth="1"/>
    <col min="10" max="10" width="10.875" style="1" customWidth="1"/>
    <col min="11" max="11" width="11.125" style="1" customWidth="1"/>
    <col min="12" max="12" width="10.375" style="1" bestFit="1" customWidth="1"/>
    <col min="13" max="13" width="10.25" style="1" customWidth="1"/>
    <col min="14" max="14" width="11" style="1" customWidth="1"/>
    <col min="15" max="15" width="13.25" style="1" customWidth="1"/>
    <col min="16" max="16" width="27.375" style="1" customWidth="1"/>
    <col min="17" max="16384" width="9.375" style="1"/>
  </cols>
  <sheetData>
    <row r="1" spans="1:17" ht="15.75">
      <c r="A1" s="4608" t="s">
        <v>574</v>
      </c>
      <c r="B1" s="4608"/>
      <c r="C1" s="4608"/>
      <c r="D1" s="4608"/>
      <c r="E1" s="4608"/>
      <c r="F1" s="4608"/>
      <c r="H1" s="4155" t="s">
        <v>165</v>
      </c>
      <c r="I1" s="4155"/>
      <c r="J1" s="4155"/>
      <c r="K1" s="4155"/>
      <c r="L1" s="4155"/>
      <c r="M1" s="4155"/>
      <c r="N1" s="4155"/>
      <c r="O1" s="4155"/>
      <c r="P1" s="40"/>
      <c r="Q1" s="40"/>
    </row>
    <row r="2" spans="1:17" ht="15.75">
      <c r="A2" s="4665" t="s">
        <v>262</v>
      </c>
      <c r="B2" s="4665"/>
      <c r="C2" s="4665"/>
      <c r="D2" s="4665"/>
      <c r="E2" s="4665"/>
      <c r="F2" s="4665"/>
      <c r="H2" s="4666" t="s">
        <v>250</v>
      </c>
      <c r="I2" s="4666"/>
      <c r="J2" s="4666"/>
      <c r="K2" s="4666"/>
      <c r="L2" s="4666"/>
      <c r="M2" s="4666"/>
      <c r="N2" s="4666"/>
      <c r="O2" s="4666"/>
      <c r="P2" s="40"/>
      <c r="Q2" s="40"/>
    </row>
    <row r="3" spans="1:17" ht="29.25" customHeight="1">
      <c r="A3" s="4165" t="s">
        <v>589</v>
      </c>
      <c r="B3" s="4165"/>
      <c r="C3" s="4165"/>
      <c r="D3" s="4165"/>
      <c r="E3" s="4165"/>
      <c r="F3" s="4165"/>
      <c r="G3" s="4165"/>
      <c r="H3" s="4165"/>
      <c r="I3" s="4165"/>
      <c r="J3" s="4165"/>
      <c r="K3" s="4165"/>
      <c r="L3" s="4165"/>
      <c r="M3" s="4165"/>
      <c r="N3" s="4165"/>
      <c r="O3" s="4165"/>
    </row>
    <row r="4" spans="1:17" ht="18.75">
      <c r="A4" s="4165" t="s">
        <v>235</v>
      </c>
      <c r="B4" s="4165"/>
      <c r="C4" s="4165"/>
      <c r="D4" s="4165"/>
      <c r="E4" s="4165"/>
      <c r="F4" s="4165"/>
      <c r="G4" s="4165"/>
      <c r="H4" s="4165"/>
      <c r="I4" s="4165"/>
      <c r="J4" s="4165"/>
      <c r="K4" s="4165"/>
      <c r="L4" s="4165"/>
      <c r="M4" s="4165"/>
      <c r="N4" s="4165"/>
      <c r="O4" s="4165"/>
    </row>
    <row r="5" spans="1:17" ht="6.75" customHeight="1"/>
    <row r="6" spans="1:17">
      <c r="A6" s="4664" t="s">
        <v>65</v>
      </c>
      <c r="B6" s="4664"/>
      <c r="C6" s="4664"/>
      <c r="D6" s="4664"/>
      <c r="E6" s="1">
        <f>'C.B NV'!F6</f>
        <v>9069</v>
      </c>
    </row>
    <row r="7" spans="1:17">
      <c r="A7" s="4664" t="s">
        <v>64</v>
      </c>
      <c r="B7" s="4664"/>
      <c r="C7" s="4664"/>
      <c r="D7" s="4664"/>
      <c r="E7" s="227">
        <f>'C.B NV'!F7</f>
        <v>0.42609999999999998</v>
      </c>
    </row>
    <row r="8" spans="1:17" ht="8.25" customHeight="1"/>
    <row r="9" spans="1:17" ht="20.25" customHeight="1">
      <c r="A9" s="4157" t="s">
        <v>1</v>
      </c>
      <c r="B9" s="4661" t="s">
        <v>2</v>
      </c>
      <c r="C9" s="4661"/>
      <c r="D9" s="4660" t="s">
        <v>5</v>
      </c>
      <c r="E9" s="4661" t="s">
        <v>6</v>
      </c>
      <c r="F9" s="4661"/>
      <c r="G9" s="4661"/>
      <c r="H9" s="4661"/>
      <c r="I9" s="4661"/>
      <c r="J9" s="4661" t="s">
        <v>8</v>
      </c>
      <c r="K9" s="4660" t="s">
        <v>10</v>
      </c>
      <c r="L9" s="4660" t="s">
        <v>11</v>
      </c>
      <c r="M9" s="4660" t="s">
        <v>12</v>
      </c>
      <c r="N9" s="4660" t="s">
        <v>16</v>
      </c>
      <c r="O9" s="4660" t="s">
        <v>17</v>
      </c>
    </row>
    <row r="10" spans="1:17" ht="42.75">
      <c r="A10" s="4157"/>
      <c r="B10" s="3" t="s">
        <v>3</v>
      </c>
      <c r="C10" s="3" t="s">
        <v>4</v>
      </c>
      <c r="D10" s="4660"/>
      <c r="E10" s="4" t="s">
        <v>13</v>
      </c>
      <c r="F10" s="4" t="s">
        <v>14</v>
      </c>
      <c r="G10" s="3" t="s">
        <v>7</v>
      </c>
      <c r="H10" s="5" t="s">
        <v>15</v>
      </c>
      <c r="I10" s="4" t="s">
        <v>25</v>
      </c>
      <c r="J10" s="4661"/>
      <c r="K10" s="4660"/>
      <c r="L10" s="4661"/>
      <c r="M10" s="4661"/>
      <c r="N10" s="4661"/>
      <c r="O10" s="4661"/>
    </row>
    <row r="11" spans="1:17" ht="16.5">
      <c r="A11" s="71" t="s">
        <v>66</v>
      </c>
      <c r="B11" s="71" t="s">
        <v>67</v>
      </c>
      <c r="C11" s="71" t="s">
        <v>81</v>
      </c>
      <c r="D11" s="71" t="s">
        <v>69</v>
      </c>
      <c r="E11" s="71" t="s">
        <v>70</v>
      </c>
      <c r="F11" s="71" t="s">
        <v>72</v>
      </c>
      <c r="G11" s="71" t="s">
        <v>72</v>
      </c>
      <c r="H11" s="72" t="s">
        <v>73</v>
      </c>
      <c r="I11" s="71" t="s">
        <v>74</v>
      </c>
      <c r="J11" s="71" t="s">
        <v>75</v>
      </c>
      <c r="K11" s="71" t="s">
        <v>82</v>
      </c>
      <c r="L11" s="71" t="s">
        <v>77</v>
      </c>
      <c r="M11" s="71" t="s">
        <v>83</v>
      </c>
      <c r="N11" s="71" t="s">
        <v>79</v>
      </c>
      <c r="O11" s="71" t="s">
        <v>80</v>
      </c>
    </row>
    <row r="12" spans="1:17" s="144" customFormat="1" ht="20.100000000000001" customHeight="1">
      <c r="A12" s="583">
        <v>1</v>
      </c>
      <c r="B12" s="319"/>
      <c r="C12" s="319" t="s">
        <v>274</v>
      </c>
      <c r="D12" s="584" t="s">
        <v>258</v>
      </c>
      <c r="E12" s="21" t="e">
        <f>VLOOKUP(C12,#REF!,33,0)</f>
        <v>#REF!</v>
      </c>
      <c r="F12" s="585" t="e">
        <f>900000/E12</f>
        <v>#REF!</v>
      </c>
      <c r="G12" s="586" t="s">
        <v>247</v>
      </c>
      <c r="H12" s="585" t="e">
        <f>E12*F12</f>
        <v>#REF!</v>
      </c>
      <c r="I12" s="587" t="e">
        <f>H12</f>
        <v>#REF!</v>
      </c>
      <c r="J12" s="585"/>
      <c r="K12" s="587" t="e">
        <f>I12-J12</f>
        <v>#REF!</v>
      </c>
      <c r="L12" s="585"/>
      <c r="M12" s="585"/>
      <c r="N12" s="587" t="e">
        <f>ROUND(K12-L12-M12,0)</f>
        <v>#REF!</v>
      </c>
      <c r="O12" s="583"/>
    </row>
    <row r="13" spans="1:17" s="144" customFormat="1" ht="20.100000000000001" customHeight="1">
      <c r="A13" s="38">
        <v>2</v>
      </c>
      <c r="B13" s="588"/>
      <c r="C13" s="588" t="s">
        <v>275</v>
      </c>
      <c r="D13" s="589" t="s">
        <v>258</v>
      </c>
      <c r="E13" s="21" t="e">
        <f>VLOOKUP(C13,#REF!,33,0)</f>
        <v>#REF!</v>
      </c>
      <c r="F13" s="590" t="e">
        <f>900000/E13</f>
        <v>#REF!</v>
      </c>
      <c r="G13" s="591" t="s">
        <v>247</v>
      </c>
      <c r="H13" s="590" t="e">
        <f>E13*F13</f>
        <v>#REF!</v>
      </c>
      <c r="I13" s="592" t="e">
        <f>H13</f>
        <v>#REF!</v>
      </c>
      <c r="J13" s="590"/>
      <c r="K13" s="592" t="e">
        <f>I13-J13</f>
        <v>#REF!</v>
      </c>
      <c r="L13" s="590"/>
      <c r="M13" s="590"/>
      <c r="N13" s="592" t="e">
        <f>ROUND(K13-L13-M13,0)</f>
        <v>#REF!</v>
      </c>
      <c r="O13" s="38"/>
    </row>
    <row r="14" spans="1:17" s="144" customFormat="1" ht="20.100000000000001" customHeight="1">
      <c r="A14" s="38">
        <v>3</v>
      </c>
      <c r="B14" s="588"/>
      <c r="C14" s="588" t="s">
        <v>276</v>
      </c>
      <c r="D14" s="589" t="s">
        <v>258</v>
      </c>
      <c r="E14" s="21" t="e">
        <f>VLOOKUP(C14,#REF!,33,0)</f>
        <v>#REF!</v>
      </c>
      <c r="F14" s="590" t="e">
        <f>900000/E14</f>
        <v>#REF!</v>
      </c>
      <c r="G14" s="591" t="s">
        <v>247</v>
      </c>
      <c r="H14" s="590" t="e">
        <f>E14*F14</f>
        <v>#REF!</v>
      </c>
      <c r="I14" s="592" t="e">
        <f>H14</f>
        <v>#REF!</v>
      </c>
      <c r="J14" s="590"/>
      <c r="K14" s="592" t="e">
        <f>I14-J14</f>
        <v>#REF!</v>
      </c>
      <c r="L14" s="590"/>
      <c r="M14" s="590"/>
      <c r="N14" s="592" t="e">
        <f>ROUND(K14-L14-M14,0)</f>
        <v>#REF!</v>
      </c>
      <c r="O14" s="38"/>
    </row>
    <row r="15" spans="1:17" s="144" customFormat="1" ht="20.100000000000001" customHeight="1">
      <c r="A15" s="4661" t="s">
        <v>62</v>
      </c>
      <c r="B15" s="4661"/>
      <c r="C15" s="4661"/>
      <c r="D15" s="4661"/>
      <c r="E15" s="145" t="e">
        <f>SUM(E12:E14)</f>
        <v>#REF!</v>
      </c>
      <c r="F15" s="237" t="e">
        <f>F14</f>
        <v>#REF!</v>
      </c>
      <c r="G15" s="145" t="str">
        <f>G14</f>
        <v>Kíp</v>
      </c>
      <c r="H15" s="237" t="e">
        <f t="shared" ref="H15:N15" si="0">SUM(H12:H14)</f>
        <v>#REF!</v>
      </c>
      <c r="I15" s="237" t="e">
        <f t="shared" si="0"/>
        <v>#REF!</v>
      </c>
      <c r="J15" s="237">
        <f t="shared" si="0"/>
        <v>0</v>
      </c>
      <c r="K15" s="237" t="e">
        <f t="shared" si="0"/>
        <v>#REF!</v>
      </c>
      <c r="L15" s="237">
        <f t="shared" si="0"/>
        <v>0</v>
      </c>
      <c r="M15" s="237">
        <f t="shared" si="0"/>
        <v>0</v>
      </c>
      <c r="N15" s="237" t="e">
        <f t="shared" si="0"/>
        <v>#REF!</v>
      </c>
      <c r="O15" s="3"/>
      <c r="P15" s="387"/>
      <c r="Q15" s="236"/>
    </row>
    <row r="16" spans="1:17" ht="20.100000000000001" customHeight="1">
      <c r="A16" s="4663" t="s">
        <v>571</v>
      </c>
      <c r="B16" s="4663"/>
      <c r="C16" s="4663"/>
      <c r="D16" s="4663"/>
      <c r="E16" s="4663"/>
      <c r="F16" s="4663"/>
      <c r="G16" s="4663"/>
      <c r="H16" s="4663"/>
      <c r="I16" s="4663"/>
      <c r="J16" s="4663"/>
      <c r="K16" s="4663"/>
      <c r="L16" s="4663"/>
      <c r="M16" s="4663"/>
      <c r="N16" s="4663"/>
      <c r="O16" s="4663"/>
    </row>
    <row r="17" spans="1:16" ht="20.100000000000001" customHeight="1">
      <c r="A17" s="41"/>
      <c r="B17" s="42"/>
      <c r="C17" s="54"/>
      <c r="D17" s="42"/>
      <c r="E17" s="55"/>
      <c r="F17" s="42"/>
      <c r="G17" s="42"/>
      <c r="H17" s="56"/>
      <c r="I17" s="56"/>
      <c r="J17" s="42"/>
      <c r="K17" s="42"/>
      <c r="L17" s="4607" t="s">
        <v>587</v>
      </c>
      <c r="M17" s="4607"/>
      <c r="N17" s="4607"/>
      <c r="O17" s="4607"/>
      <c r="P17" s="58"/>
    </row>
    <row r="18" spans="1:16" ht="15.75">
      <c r="A18" s="4155" t="s">
        <v>45</v>
      </c>
      <c r="B18" s="4155"/>
      <c r="C18" s="4155"/>
      <c r="D18" s="4155"/>
      <c r="E18" s="40"/>
      <c r="F18" s="4155" t="s">
        <v>44</v>
      </c>
      <c r="G18" s="4155"/>
      <c r="H18" s="4155"/>
      <c r="J18" s="4155" t="s">
        <v>167</v>
      </c>
      <c r="K18" s="4155"/>
      <c r="L18" s="40"/>
      <c r="M18" s="4155" t="s">
        <v>42</v>
      </c>
      <c r="N18" s="4155"/>
      <c r="O18" s="4155"/>
      <c r="P18" s="40"/>
    </row>
    <row r="24" spans="1:16" s="142" customFormat="1" ht="15.75">
      <c r="H24" s="143"/>
      <c r="I24" s="112"/>
      <c r="J24" s="4605" t="s">
        <v>336</v>
      </c>
      <c r="K24" s="4605"/>
      <c r="L24" s="112"/>
      <c r="M24" s="4662" t="s">
        <v>337</v>
      </c>
      <c r="N24" s="4662"/>
      <c r="O24" s="4662"/>
    </row>
    <row r="25" spans="1:16" s="142" customFormat="1">
      <c r="H25" s="143"/>
    </row>
  </sheetData>
  <mergeCells count="27">
    <mergeCell ref="A7:D7"/>
    <mergeCell ref="A15:D15"/>
    <mergeCell ref="K9:K10"/>
    <mergeCell ref="B9:C9"/>
    <mergeCell ref="D9:D10"/>
    <mergeCell ref="E9:I9"/>
    <mergeCell ref="J9:J10"/>
    <mergeCell ref="A1:F1"/>
    <mergeCell ref="A3:O3"/>
    <mergeCell ref="A4:O4"/>
    <mergeCell ref="A6:D6"/>
    <mergeCell ref="A2:F2"/>
    <mergeCell ref="H1:O1"/>
    <mergeCell ref="H2:O2"/>
    <mergeCell ref="J24:K24"/>
    <mergeCell ref="J18:K18"/>
    <mergeCell ref="N9:N10"/>
    <mergeCell ref="O9:O10"/>
    <mergeCell ref="L9:L10"/>
    <mergeCell ref="M24:O24"/>
    <mergeCell ref="M18:O18"/>
    <mergeCell ref="A16:O16"/>
    <mergeCell ref="A9:A10"/>
    <mergeCell ref="M9:M10"/>
    <mergeCell ref="L17:O17"/>
    <mergeCell ref="F18:H18"/>
    <mergeCell ref="A18:D18"/>
  </mergeCells>
  <phoneticPr fontId="57" type="noConversion"/>
  <pageMargins left="0.54" right="0.22" top="0.44" bottom="0.49" header="0.3" footer="0.3"/>
  <pageSetup paperSize="9" scale="84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W23"/>
  <sheetViews>
    <sheetView zoomScale="90" zoomScaleNormal="90" workbookViewId="0">
      <selection activeCell="E15" sqref="E15"/>
    </sheetView>
  </sheetViews>
  <sheetFormatPr defaultColWidth="11.375" defaultRowHeight="15.75"/>
  <cols>
    <col min="1" max="1" width="5.375" style="41" customWidth="1"/>
    <col min="2" max="2" width="7.875" style="42" customWidth="1"/>
    <col min="3" max="3" width="12.375" style="54" customWidth="1"/>
    <col min="4" max="4" width="9.375" style="42" customWidth="1"/>
    <col min="5" max="5" width="9" style="55" customWidth="1"/>
    <col min="6" max="6" width="7.625" style="42" bestFit="1" customWidth="1"/>
    <col min="7" max="7" width="13.125" style="42" customWidth="1"/>
    <col min="8" max="8" width="7.75" style="55" customWidth="1"/>
    <col min="9" max="9" width="8" style="147" customWidth="1"/>
    <col min="10" max="10" width="7.25" style="56" customWidth="1"/>
    <col min="11" max="11" width="9.375" style="42" customWidth="1"/>
    <col min="12" max="12" width="10.25" style="42" customWidth="1"/>
    <col min="13" max="13" width="7.25" style="42" customWidth="1"/>
    <col min="14" max="14" width="13" style="42" customWidth="1"/>
    <col min="15" max="15" width="7.875" style="42" customWidth="1"/>
    <col min="16" max="16" width="10.875" style="42" customWidth="1"/>
    <col min="17" max="17" width="12.75" style="42" customWidth="1"/>
    <col min="18" max="238" width="9.375" style="42" customWidth="1"/>
    <col min="239" max="239" width="5.375" style="42" customWidth="1"/>
    <col min="240" max="240" width="16.125" style="42" customWidth="1"/>
    <col min="241" max="241" width="18.875" style="42" customWidth="1"/>
    <col min="242" max="242" width="9.375" style="42" customWidth="1"/>
    <col min="243" max="243" width="6.75" style="42" customWidth="1"/>
    <col min="244" max="244" width="6.25" style="42" customWidth="1"/>
    <col min="245" max="245" width="8.625" style="42" customWidth="1"/>
    <col min="246" max="246" width="8.375" style="42" customWidth="1"/>
    <col min="247" max="247" width="5.75" style="42" customWidth="1"/>
    <col min="248" max="248" width="6.25" style="42" customWidth="1"/>
    <col min="249" max="16384" width="11.375" style="42"/>
  </cols>
  <sheetData>
    <row r="1" spans="1:23">
      <c r="A1" s="4155" t="s">
        <v>0</v>
      </c>
      <c r="B1" s="4155"/>
      <c r="C1" s="4155"/>
      <c r="D1" s="4155"/>
      <c r="E1" s="4155"/>
      <c r="F1" s="4155"/>
      <c r="G1" s="4155"/>
      <c r="H1" s="4155"/>
      <c r="I1" s="4155" t="s">
        <v>165</v>
      </c>
      <c r="J1" s="4155"/>
      <c r="K1" s="4155"/>
      <c r="L1" s="4155"/>
      <c r="M1" s="4155"/>
      <c r="N1" s="4155"/>
      <c r="O1" s="4155"/>
      <c r="P1" s="4155"/>
      <c r="Q1" s="4155"/>
      <c r="R1" s="40"/>
      <c r="S1" s="40"/>
    </row>
    <row r="2" spans="1:23">
      <c r="A2" s="4155" t="s">
        <v>251</v>
      </c>
      <c r="B2" s="4155"/>
      <c r="C2" s="4155"/>
      <c r="D2" s="4155"/>
      <c r="E2" s="4155"/>
      <c r="F2" s="4155"/>
      <c r="G2" s="4155"/>
      <c r="H2" s="4155"/>
      <c r="I2" s="4155" t="s">
        <v>250</v>
      </c>
      <c r="J2" s="4155"/>
      <c r="K2" s="4155"/>
      <c r="L2" s="4155"/>
      <c r="M2" s="4155"/>
      <c r="N2" s="4155"/>
      <c r="O2" s="4155"/>
      <c r="P2" s="4155"/>
      <c r="Q2" s="4155"/>
      <c r="R2" s="40"/>
      <c r="S2" s="40"/>
    </row>
    <row r="3" spans="1:23" s="40" customFormat="1" ht="20.25" customHeight="1">
      <c r="A3" s="4629" t="s">
        <v>388</v>
      </c>
      <c r="B3" s="4629"/>
      <c r="C3" s="4629"/>
      <c r="D3" s="4629"/>
      <c r="E3" s="4629"/>
      <c r="F3" s="4629"/>
      <c r="G3" s="4629"/>
      <c r="H3" s="4629"/>
      <c r="I3" s="4629"/>
      <c r="J3" s="4629"/>
      <c r="K3" s="4629"/>
      <c r="L3" s="4629"/>
      <c r="M3" s="4629"/>
      <c r="N3" s="4629"/>
      <c r="O3" s="4629"/>
      <c r="P3" s="4629"/>
      <c r="Q3" s="4629"/>
    </row>
    <row r="4" spans="1:23" s="40" customFormat="1" ht="18" customHeight="1">
      <c r="A4" s="4155" t="s">
        <v>234</v>
      </c>
      <c r="B4" s="4155"/>
      <c r="C4" s="4155"/>
      <c r="D4" s="4155"/>
      <c r="E4" s="4155"/>
      <c r="F4" s="4155"/>
      <c r="G4" s="4155"/>
      <c r="H4" s="4155"/>
      <c r="I4" s="4155"/>
      <c r="J4" s="4155"/>
      <c r="K4" s="4155"/>
      <c r="L4" s="4155"/>
      <c r="M4" s="4155"/>
      <c r="N4" s="4155"/>
      <c r="O4" s="4155"/>
      <c r="P4" s="4155"/>
      <c r="Q4" s="4155"/>
    </row>
    <row r="5" spans="1:23">
      <c r="A5" s="43"/>
      <c r="B5" s="44"/>
      <c r="C5" s="45"/>
      <c r="D5" s="44"/>
      <c r="E5" s="46"/>
      <c r="F5" s="47"/>
      <c r="G5" s="47"/>
      <c r="H5" s="46"/>
      <c r="I5" s="146"/>
      <c r="J5" s="48"/>
      <c r="K5" s="49"/>
      <c r="L5" s="49"/>
      <c r="M5" s="49"/>
      <c r="N5" s="49"/>
      <c r="O5" s="44"/>
      <c r="P5" s="234" t="s">
        <v>59</v>
      </c>
      <c r="Q5" s="44"/>
    </row>
    <row r="6" spans="1:23" s="39" customFormat="1" ht="17.25" customHeight="1">
      <c r="A6" s="4638" t="s">
        <v>1</v>
      </c>
      <c r="B6" s="4640" t="s">
        <v>20</v>
      </c>
      <c r="C6" s="4641"/>
      <c r="D6" s="4638" t="s">
        <v>26</v>
      </c>
      <c r="E6" s="4644" t="s">
        <v>27</v>
      </c>
      <c r="F6" s="4645"/>
      <c r="G6" s="4645"/>
      <c r="H6" s="4645"/>
      <c r="I6" s="4645"/>
      <c r="J6" s="4645"/>
      <c r="K6" s="4645"/>
      <c r="L6" s="4645"/>
      <c r="M6" s="4646"/>
      <c r="N6" s="4647" t="s">
        <v>60</v>
      </c>
      <c r="O6" s="4648" t="s">
        <v>28</v>
      </c>
      <c r="P6" s="4648" t="s">
        <v>29</v>
      </c>
      <c r="Q6" s="4651" t="s">
        <v>9</v>
      </c>
    </row>
    <row r="7" spans="1:23" s="39" customFormat="1" ht="20.25" customHeight="1">
      <c r="A7" s="4638"/>
      <c r="B7" s="4642"/>
      <c r="C7" s="4643"/>
      <c r="D7" s="4638"/>
      <c r="E7" s="4652" t="s">
        <v>30</v>
      </c>
      <c r="F7" s="4653"/>
      <c r="G7" s="4654"/>
      <c r="H7" s="4655" t="s">
        <v>31</v>
      </c>
      <c r="I7" s="4655"/>
      <c r="J7" s="4656"/>
      <c r="K7" s="4657" t="s">
        <v>32</v>
      </c>
      <c r="L7" s="4658"/>
      <c r="M7" s="4659"/>
      <c r="N7" s="4647"/>
      <c r="O7" s="4649"/>
      <c r="P7" s="4649"/>
      <c r="Q7" s="4638"/>
    </row>
    <row r="8" spans="1:23" s="53" customFormat="1" ht="51">
      <c r="A8" s="4639"/>
      <c r="B8" s="68" t="s">
        <v>33</v>
      </c>
      <c r="C8" s="68" t="s">
        <v>4</v>
      </c>
      <c r="D8" s="4639"/>
      <c r="E8" s="69" t="s">
        <v>43</v>
      </c>
      <c r="F8" s="50" t="s">
        <v>34</v>
      </c>
      <c r="G8" s="67" t="s">
        <v>35</v>
      </c>
      <c r="H8" s="52" t="s">
        <v>36</v>
      </c>
      <c r="I8" s="51" t="s">
        <v>37</v>
      </c>
      <c r="J8" s="51" t="s">
        <v>38</v>
      </c>
      <c r="K8" s="66" t="s">
        <v>39</v>
      </c>
      <c r="L8" s="66" t="s">
        <v>186</v>
      </c>
      <c r="M8" s="65" t="s">
        <v>24</v>
      </c>
      <c r="N8" s="4647"/>
      <c r="O8" s="4650"/>
      <c r="P8" s="4650"/>
      <c r="Q8" s="4639"/>
      <c r="T8" s="53">
        <f>33.95*25000</f>
        <v>848750.00000000012</v>
      </c>
    </row>
    <row r="9" spans="1:23" s="53" customFormat="1" ht="56.25" hidden="1" customHeight="1">
      <c r="A9" s="73" t="s">
        <v>66</v>
      </c>
      <c r="B9" s="73" t="s">
        <v>67</v>
      </c>
      <c r="C9" s="73" t="s">
        <v>81</v>
      </c>
      <c r="D9" s="73" t="s">
        <v>69</v>
      </c>
      <c r="E9" s="73" t="s">
        <v>70</v>
      </c>
      <c r="F9" s="73" t="s">
        <v>85</v>
      </c>
      <c r="G9" s="73" t="s">
        <v>73</v>
      </c>
      <c r="H9" s="74" t="s">
        <v>86</v>
      </c>
      <c r="I9" s="73" t="s">
        <v>87</v>
      </c>
      <c r="J9" s="73" t="s">
        <v>73</v>
      </c>
      <c r="K9" s="73" t="s">
        <v>88</v>
      </c>
      <c r="L9" s="73" t="s">
        <v>89</v>
      </c>
      <c r="M9" s="73" t="s">
        <v>73</v>
      </c>
      <c r="N9" s="73" t="s">
        <v>90</v>
      </c>
      <c r="O9" s="73" t="s">
        <v>91</v>
      </c>
      <c r="P9" s="73" t="s">
        <v>84</v>
      </c>
      <c r="Q9" s="73" t="s">
        <v>80</v>
      </c>
    </row>
    <row r="10" spans="1:23" s="279" customFormat="1" ht="22.5" customHeight="1">
      <c r="A10" s="452">
        <v>1</v>
      </c>
      <c r="B10" s="452">
        <v>2</v>
      </c>
      <c r="C10" s="452">
        <v>3</v>
      </c>
      <c r="D10" s="452">
        <v>4</v>
      </c>
      <c r="E10" s="452">
        <v>5</v>
      </c>
      <c r="F10" s="452">
        <v>6</v>
      </c>
      <c r="G10" s="452">
        <v>8</v>
      </c>
      <c r="H10" s="452">
        <v>9</v>
      </c>
      <c r="I10" s="452">
        <v>10</v>
      </c>
      <c r="J10" s="452">
        <v>11</v>
      </c>
      <c r="K10" s="452">
        <v>12</v>
      </c>
      <c r="L10" s="452">
        <v>13</v>
      </c>
      <c r="M10" s="452">
        <v>14</v>
      </c>
      <c r="N10" s="452">
        <v>15</v>
      </c>
      <c r="O10" s="452">
        <v>19</v>
      </c>
      <c r="P10" s="452">
        <v>21</v>
      </c>
      <c r="Q10" s="452">
        <v>22</v>
      </c>
    </row>
    <row r="11" spans="1:23" s="279" customFormat="1" ht="27" customHeight="1">
      <c r="A11" s="353">
        <v>1</v>
      </c>
      <c r="B11" s="354"/>
      <c r="C11" s="403" t="s">
        <v>399</v>
      </c>
      <c r="D11" s="355" t="s">
        <v>231</v>
      </c>
      <c r="E11" s="356">
        <f>VLOOKUP(C11,'Biểu t.h'!$B$57:$X$59,22,0)</f>
        <v>0</v>
      </c>
      <c r="F11" s="388">
        <v>25000</v>
      </c>
      <c r="G11" s="357">
        <f>E11*F11</f>
        <v>0</v>
      </c>
      <c r="H11" s="354"/>
      <c r="I11" s="354"/>
      <c r="J11" s="354"/>
      <c r="K11" s="354"/>
      <c r="L11" s="354"/>
      <c r="M11" s="354"/>
      <c r="N11" s="358">
        <f>G11+J11+M11</f>
        <v>0</v>
      </c>
      <c r="O11" s="354"/>
      <c r="P11" s="358">
        <f>ROUND(N11-O11,0)</f>
        <v>0</v>
      </c>
      <c r="Q11" s="354"/>
    </row>
    <row r="12" spans="1:23" s="111" customFormat="1" ht="27" customHeight="1">
      <c r="A12" s="4635" t="s">
        <v>190</v>
      </c>
      <c r="B12" s="4636"/>
      <c r="C12" s="4636"/>
      <c r="D12" s="4637"/>
      <c r="E12" s="266">
        <f>SUM(E11:E11)</f>
        <v>0</v>
      </c>
      <c r="F12" s="389">
        <v>25000</v>
      </c>
      <c r="G12" s="267">
        <f>SUM(G11:G11)</f>
        <v>0</v>
      </c>
      <c r="H12" s="231"/>
      <c r="I12" s="233"/>
      <c r="J12" s="232"/>
      <c r="K12" s="232"/>
      <c r="L12" s="232"/>
      <c r="M12" s="232"/>
      <c r="N12" s="267">
        <f>SUM(N11:N11)</f>
        <v>0</v>
      </c>
      <c r="O12" s="232"/>
      <c r="P12" s="267">
        <f>SUM(P11:P11)</f>
        <v>0</v>
      </c>
      <c r="Q12" s="232"/>
      <c r="W12" s="111">
        <f>311.18*25000</f>
        <v>7779500</v>
      </c>
    </row>
    <row r="13" spans="1:23" s="40" customFormat="1" ht="27" customHeight="1">
      <c r="A13" s="4668" t="s">
        <v>389</v>
      </c>
      <c r="B13" s="4668"/>
      <c r="C13" s="4668"/>
      <c r="D13" s="4668"/>
      <c r="E13" s="4668"/>
      <c r="F13" s="4668"/>
      <c r="G13" s="4668"/>
      <c r="H13" s="4668"/>
      <c r="I13" s="4668"/>
      <c r="J13" s="4668"/>
      <c r="K13" s="4668"/>
      <c r="L13" s="4668"/>
      <c r="M13" s="4668"/>
      <c r="N13" s="4668"/>
      <c r="O13" s="4668"/>
      <c r="P13" s="4668"/>
      <c r="Q13" s="4668"/>
    </row>
    <row r="14" spans="1:23" ht="18" customHeight="1">
      <c r="N14" s="4667" t="s">
        <v>387</v>
      </c>
      <c r="O14" s="4667"/>
      <c r="P14" s="4667"/>
      <c r="Q14" s="4667"/>
      <c r="U14" s="42">
        <f>94.68*25000</f>
        <v>2367000</v>
      </c>
    </row>
    <row r="15" spans="1:23" s="40" customFormat="1">
      <c r="A15" s="4155" t="s">
        <v>45</v>
      </c>
      <c r="B15" s="4155"/>
      <c r="C15" s="4155"/>
      <c r="D15" s="39"/>
      <c r="F15" s="4155" t="s">
        <v>44</v>
      </c>
      <c r="G15" s="4155"/>
      <c r="H15" s="4155"/>
      <c r="I15" s="39"/>
      <c r="K15" s="4155" t="s">
        <v>167</v>
      </c>
      <c r="L15" s="4155"/>
      <c r="M15" s="4155"/>
      <c r="O15" s="4155" t="s">
        <v>42</v>
      </c>
      <c r="P15" s="4155"/>
      <c r="Q15" s="4155"/>
    </row>
    <row r="16" spans="1:23">
      <c r="A16" s="42"/>
      <c r="C16" s="58"/>
      <c r="E16" s="42"/>
      <c r="G16" s="59"/>
      <c r="H16" s="59"/>
      <c r="I16" s="41"/>
      <c r="J16" s="60"/>
      <c r="K16" s="58"/>
      <c r="L16" s="58"/>
      <c r="M16" s="61"/>
    </row>
    <row r="17" spans="1:17">
      <c r="A17" s="42"/>
      <c r="C17" s="42"/>
      <c r="E17" s="42"/>
      <c r="H17" s="62"/>
      <c r="I17" s="41"/>
      <c r="J17" s="58"/>
      <c r="M17" s="58"/>
    </row>
    <row r="18" spans="1:17">
      <c r="A18" s="42"/>
      <c r="C18" s="42"/>
      <c r="E18" s="42"/>
      <c r="H18" s="62"/>
      <c r="I18" s="41"/>
      <c r="J18" s="42"/>
    </row>
    <row r="19" spans="1:17" ht="20.25" customHeight="1">
      <c r="A19" s="42"/>
      <c r="C19" s="42"/>
      <c r="E19" s="42"/>
      <c r="I19" s="41"/>
      <c r="J19" s="42"/>
    </row>
    <row r="20" spans="1:17">
      <c r="A20" s="42"/>
      <c r="C20" s="42"/>
      <c r="E20" s="42"/>
      <c r="I20" s="41"/>
      <c r="J20" s="42"/>
      <c r="O20" s="4155" t="s">
        <v>337</v>
      </c>
      <c r="P20" s="4155"/>
      <c r="Q20" s="4155"/>
    </row>
    <row r="21" spans="1:17">
      <c r="A21" s="63"/>
    </row>
    <row r="22" spans="1:17">
      <c r="A22" s="64"/>
    </row>
    <row r="23" spans="1:17">
      <c r="A23" s="64"/>
    </row>
  </sheetData>
  <mergeCells count="25">
    <mergeCell ref="O20:Q20"/>
    <mergeCell ref="E7:G7"/>
    <mergeCell ref="H7:J7"/>
    <mergeCell ref="K7:M7"/>
    <mergeCell ref="O6:O8"/>
    <mergeCell ref="N14:Q14"/>
    <mergeCell ref="A13:Q13"/>
    <mergeCell ref="N6:N8"/>
    <mergeCell ref="A6:A8"/>
    <mergeCell ref="B6:C7"/>
    <mergeCell ref="D6:D8"/>
    <mergeCell ref="E6:M6"/>
    <mergeCell ref="A12:D12"/>
    <mergeCell ref="A1:H1"/>
    <mergeCell ref="A2:H2"/>
    <mergeCell ref="I1:Q1"/>
    <mergeCell ref="I2:Q2"/>
    <mergeCell ref="A15:C15"/>
    <mergeCell ref="Q6:Q8"/>
    <mergeCell ref="K15:M15"/>
    <mergeCell ref="O15:Q15"/>
    <mergeCell ref="F15:H15"/>
    <mergeCell ref="P6:P8"/>
    <mergeCell ref="A3:Q3"/>
    <mergeCell ref="A4:Q4"/>
  </mergeCells>
  <phoneticPr fontId="57" type="noConversion"/>
  <pageMargins left="0.35" right="0.2" top="0.44" bottom="0.49" header="0.3" footer="0.3"/>
  <pageSetup paperSize="9" scale="88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T88"/>
  <sheetViews>
    <sheetView topLeftCell="A40" zoomScaleNormal="100" workbookViewId="0">
      <selection activeCell="E57" sqref="E57"/>
    </sheetView>
  </sheetViews>
  <sheetFormatPr defaultColWidth="9.375" defaultRowHeight="12.75"/>
  <cols>
    <col min="1" max="1" width="3" style="246" bestFit="1" customWidth="1"/>
    <col min="2" max="2" width="20" style="246" customWidth="1"/>
    <col min="3" max="3" width="10" style="246" customWidth="1"/>
    <col min="4" max="4" width="7.625" style="246" customWidth="1"/>
    <col min="5" max="5" width="7" style="246" bestFit="1" customWidth="1"/>
    <col min="6" max="6" width="7" style="246" customWidth="1"/>
    <col min="7" max="7" width="7" style="246" hidden="1" customWidth="1"/>
    <col min="8" max="10" width="7" style="246" customWidth="1"/>
    <col min="11" max="11" width="7.75" style="246" customWidth="1"/>
    <col min="12" max="12" width="6.125" style="246" hidden="1" customWidth="1"/>
    <col min="13" max="13" width="6.375" style="246" customWidth="1"/>
    <col min="14" max="14" width="6.25" style="246" hidden="1" customWidth="1"/>
    <col min="15" max="15" width="7.25" style="246" customWidth="1"/>
    <col min="16" max="17" width="6.25" style="246" hidden="1" customWidth="1"/>
    <col min="18" max="18" width="6.25" style="246" customWidth="1"/>
    <col min="19" max="19" width="6.875" style="246" customWidth="1"/>
    <col min="20" max="20" width="7.25" style="246" bestFit="1" customWidth="1"/>
    <col min="21" max="21" width="7.125" style="246" customWidth="1"/>
    <col min="22" max="22" width="7" style="246" bestFit="1" customWidth="1"/>
    <col min="23" max="23" width="6.75" style="246" customWidth="1"/>
    <col min="24" max="24" width="7" style="246" bestFit="1" customWidth="1"/>
    <col min="25" max="25" width="6.875" style="268" hidden="1" customWidth="1"/>
    <col min="26" max="26" width="6.875" style="273" customWidth="1"/>
    <col min="27" max="27" width="7" style="117" customWidth="1"/>
    <col min="28" max="28" width="6.75" style="246" customWidth="1"/>
    <col min="29" max="29" width="7.625" style="651" customWidth="1"/>
    <col min="30" max="30" width="7" style="651" customWidth="1"/>
    <col min="31" max="31" width="6.875" style="651" bestFit="1" customWidth="1"/>
    <col min="32" max="32" width="8.625" style="247" customWidth="1"/>
    <col min="33" max="33" width="11" style="246" customWidth="1"/>
    <col min="34" max="34" width="7.25" style="246" customWidth="1"/>
    <col min="35" max="35" width="12" style="437" customWidth="1"/>
    <col min="36" max="36" width="6.375" style="246" bestFit="1" customWidth="1"/>
    <col min="37" max="39" width="6.625" style="246" customWidth="1"/>
    <col min="40" max="40" width="17" style="246" customWidth="1"/>
    <col min="41" max="44" width="0" style="246" hidden="1" customWidth="1"/>
    <col min="45" max="45" width="9.375" style="246" customWidth="1"/>
    <col min="46" max="16384" width="9.375" style="246"/>
  </cols>
  <sheetData>
    <row r="1" spans="1:46" ht="9.75" customHeight="1"/>
    <row r="2" spans="1:46" s="248" customFormat="1">
      <c r="A2" s="4683" t="s">
        <v>0</v>
      </c>
      <c r="B2" s="4683"/>
      <c r="C2" s="4683"/>
      <c r="D2" s="4683"/>
      <c r="E2" s="4683"/>
      <c r="F2" s="4683"/>
      <c r="G2" s="4683"/>
      <c r="H2" s="4683"/>
      <c r="I2" s="4683"/>
      <c r="J2" s="4683"/>
      <c r="K2" s="4683"/>
      <c r="L2" s="4683"/>
      <c r="M2" s="4683"/>
      <c r="N2" s="4683"/>
      <c r="O2" s="4683"/>
      <c r="P2" s="4683"/>
      <c r="Q2" s="4683"/>
      <c r="R2" s="4683"/>
      <c r="S2" s="4683"/>
      <c r="T2" s="4683"/>
      <c r="U2" s="4683"/>
      <c r="V2" s="241"/>
      <c r="W2" s="241"/>
      <c r="X2" s="241"/>
      <c r="Y2" s="269"/>
      <c r="Z2" s="274"/>
      <c r="AA2" s="241"/>
      <c r="AB2" s="4683"/>
      <c r="AC2" s="4683"/>
      <c r="AD2" s="4683"/>
      <c r="AE2" s="4683"/>
      <c r="AF2" s="4683"/>
      <c r="AG2" s="4683"/>
      <c r="AH2" s="4683"/>
      <c r="AI2" s="4683"/>
      <c r="AJ2" s="4683"/>
      <c r="AK2" s="4683"/>
      <c r="AL2" s="4683"/>
      <c r="AM2" s="4683"/>
      <c r="AN2" s="4683"/>
    </row>
    <row r="3" spans="1:46">
      <c r="A3" s="4683" t="s">
        <v>251</v>
      </c>
      <c r="B3" s="4683"/>
      <c r="C3" s="4683"/>
      <c r="D3" s="4683"/>
      <c r="E3" s="4683"/>
      <c r="F3" s="4683"/>
      <c r="G3" s="4683"/>
      <c r="H3" s="4683"/>
      <c r="I3" s="4683"/>
      <c r="J3" s="4683"/>
      <c r="K3" s="4683"/>
      <c r="L3" s="4683"/>
      <c r="M3" s="4683"/>
      <c r="N3" s="4683"/>
      <c r="O3" s="4683"/>
      <c r="P3" s="4683"/>
      <c r="Q3" s="4683"/>
      <c r="R3" s="4683"/>
      <c r="S3" s="4683"/>
      <c r="T3" s="4683"/>
      <c r="U3" s="4683"/>
      <c r="V3" s="241"/>
      <c r="W3" s="241"/>
      <c r="X3" s="241"/>
      <c r="Y3" s="269"/>
      <c r="Z3" s="274"/>
      <c r="AA3" s="241"/>
      <c r="AB3" s="4683"/>
      <c r="AC3" s="4683"/>
      <c r="AD3" s="4683"/>
      <c r="AE3" s="4683"/>
      <c r="AF3" s="4683"/>
      <c r="AG3" s="4683"/>
      <c r="AH3" s="4683"/>
      <c r="AI3" s="4683"/>
      <c r="AJ3" s="4683"/>
      <c r="AK3" s="4683"/>
      <c r="AL3" s="4683"/>
      <c r="AM3" s="4683"/>
      <c r="AN3" s="4683"/>
    </row>
    <row r="4" spans="1:46" ht="6.75" customHeight="1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69"/>
      <c r="Z4" s="274"/>
      <c r="AA4" s="241"/>
      <c r="AB4" s="241"/>
      <c r="AC4" s="652"/>
      <c r="AD4" s="652"/>
      <c r="AE4" s="652"/>
      <c r="AF4" s="241"/>
      <c r="AG4" s="241"/>
      <c r="AH4" s="241"/>
      <c r="AI4" s="445"/>
      <c r="AJ4" s="241"/>
      <c r="AK4" s="241"/>
      <c r="AL4" s="241"/>
      <c r="AM4" s="241"/>
      <c r="AN4" s="241"/>
    </row>
    <row r="5" spans="1:46">
      <c r="A5" s="4683" t="s">
        <v>584</v>
      </c>
      <c r="B5" s="4683"/>
      <c r="C5" s="4683"/>
      <c r="D5" s="4683"/>
      <c r="E5" s="4683"/>
      <c r="F5" s="4683"/>
      <c r="G5" s="4683"/>
      <c r="H5" s="4683"/>
      <c r="I5" s="4683"/>
      <c r="J5" s="4683"/>
      <c r="K5" s="4683"/>
      <c r="L5" s="4683"/>
      <c r="M5" s="4683"/>
      <c r="N5" s="4683"/>
      <c r="O5" s="4683"/>
      <c r="P5" s="4683"/>
      <c r="Q5" s="4683"/>
      <c r="R5" s="4683"/>
      <c r="S5" s="4683"/>
      <c r="T5" s="4683"/>
      <c r="U5" s="4683"/>
      <c r="V5" s="4683"/>
      <c r="W5" s="4683"/>
      <c r="X5" s="4683"/>
      <c r="Y5" s="4683"/>
      <c r="Z5" s="4683"/>
      <c r="AA5" s="4683"/>
      <c r="AB5" s="4683"/>
      <c r="AC5" s="4683"/>
      <c r="AD5" s="4683"/>
      <c r="AE5" s="4683"/>
      <c r="AF5" s="4683"/>
      <c r="AG5" s="4683"/>
      <c r="AH5" s="4683"/>
      <c r="AI5" s="4683"/>
      <c r="AJ5" s="4683"/>
      <c r="AK5" s="4683"/>
      <c r="AL5" s="4683"/>
      <c r="AM5" s="4683"/>
      <c r="AN5" s="4683"/>
    </row>
    <row r="6" spans="1:46" ht="2.25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70"/>
      <c r="Z6" s="275"/>
      <c r="AA6" s="249"/>
      <c r="AB6" s="249"/>
      <c r="AC6" s="653"/>
      <c r="AD6" s="653"/>
      <c r="AE6" s="653"/>
      <c r="AF6" s="249"/>
      <c r="AG6" s="249"/>
      <c r="AH6" s="249"/>
      <c r="AI6" s="446"/>
      <c r="AJ6" s="249"/>
      <c r="AK6" s="249"/>
      <c r="AL6" s="249"/>
      <c r="AM6" s="249"/>
      <c r="AN6" s="249"/>
    </row>
    <row r="7" spans="1:46" ht="24.75" customHeight="1">
      <c r="A7" s="4677" t="s">
        <v>19</v>
      </c>
      <c r="B7" s="4677" t="s">
        <v>318</v>
      </c>
      <c r="C7" s="4677" t="s">
        <v>506</v>
      </c>
      <c r="D7" s="4682" t="s">
        <v>239</v>
      </c>
      <c r="E7" s="4671" t="s">
        <v>256</v>
      </c>
      <c r="F7" s="4672"/>
      <c r="G7" s="4672"/>
      <c r="H7" s="4672"/>
      <c r="I7" s="4672"/>
      <c r="J7" s="4672"/>
      <c r="K7" s="4673"/>
      <c r="L7" s="4671" t="s">
        <v>265</v>
      </c>
      <c r="M7" s="4672"/>
      <c r="N7" s="4672"/>
      <c r="O7" s="4672"/>
      <c r="P7" s="4672"/>
      <c r="Q7" s="4672"/>
      <c r="R7" s="4672"/>
      <c r="S7" s="4673"/>
      <c r="T7" s="4671" t="s">
        <v>374</v>
      </c>
      <c r="U7" s="4672"/>
      <c r="V7" s="4672"/>
      <c r="W7" s="4672"/>
      <c r="X7" s="4673"/>
      <c r="Y7" s="4671" t="s">
        <v>333</v>
      </c>
      <c r="Z7" s="4672"/>
      <c r="AA7" s="4672"/>
      <c r="AB7" s="4672"/>
      <c r="AC7" s="4672"/>
      <c r="AD7" s="4672"/>
      <c r="AE7" s="4672"/>
      <c r="AF7" s="4672"/>
      <c r="AG7" s="4672"/>
      <c r="AH7" s="4672"/>
      <c r="AI7" s="4672"/>
      <c r="AJ7" s="4672"/>
      <c r="AK7" s="4672"/>
      <c r="AL7" s="4672"/>
      <c r="AM7" s="4673"/>
      <c r="AN7" s="67"/>
    </row>
    <row r="8" spans="1:46" s="253" customFormat="1" ht="93.75" customHeight="1">
      <c r="A8" s="4678"/>
      <c r="B8" s="4678"/>
      <c r="C8" s="4678"/>
      <c r="D8" s="4678"/>
      <c r="E8" s="251" t="s">
        <v>585</v>
      </c>
      <c r="F8" s="251" t="s">
        <v>538</v>
      </c>
      <c r="G8" s="251" t="s">
        <v>384</v>
      </c>
      <c r="H8" s="250" t="s">
        <v>537</v>
      </c>
      <c r="I8" s="251" t="s">
        <v>391</v>
      </c>
      <c r="J8" s="251" t="s">
        <v>390</v>
      </c>
      <c r="K8" s="250" t="s">
        <v>47</v>
      </c>
      <c r="L8" s="251" t="s">
        <v>384</v>
      </c>
      <c r="M8" s="251" t="s">
        <v>585</v>
      </c>
      <c r="N8" s="250" t="s">
        <v>385</v>
      </c>
      <c r="O8" s="251" t="s">
        <v>391</v>
      </c>
      <c r="P8" s="250" t="s">
        <v>356</v>
      </c>
      <c r="Q8" s="250" t="s">
        <v>357</v>
      </c>
      <c r="R8" s="250" t="s">
        <v>355</v>
      </c>
      <c r="S8" s="250" t="s">
        <v>47</v>
      </c>
      <c r="T8" s="250" t="s">
        <v>376</v>
      </c>
      <c r="U8" s="251" t="s">
        <v>386</v>
      </c>
      <c r="V8" s="250" t="s">
        <v>375</v>
      </c>
      <c r="W8" s="251"/>
      <c r="X8" s="250" t="s">
        <v>47</v>
      </c>
      <c r="Y8" s="271"/>
      <c r="Z8" s="381"/>
      <c r="AA8" s="251" t="s">
        <v>569</v>
      </c>
      <c r="AB8" s="250" t="s">
        <v>586</v>
      </c>
      <c r="AC8" s="654" t="s">
        <v>596</v>
      </c>
      <c r="AD8" s="654" t="s">
        <v>597</v>
      </c>
      <c r="AE8" s="654" t="s">
        <v>383</v>
      </c>
      <c r="AF8" s="251" t="s">
        <v>47</v>
      </c>
      <c r="AG8" s="251" t="s">
        <v>49</v>
      </c>
      <c r="AH8" s="251" t="s">
        <v>418</v>
      </c>
      <c r="AI8" s="447" t="s">
        <v>48</v>
      </c>
      <c r="AJ8" s="252" t="s">
        <v>50</v>
      </c>
      <c r="AK8" s="252" t="s">
        <v>253</v>
      </c>
      <c r="AL8" s="252" t="s">
        <v>398</v>
      </c>
      <c r="AM8" s="252" t="s">
        <v>54</v>
      </c>
      <c r="AN8" s="67" t="s">
        <v>51</v>
      </c>
      <c r="AS8" s="545" t="s">
        <v>507</v>
      </c>
    </row>
    <row r="9" spans="1:46" s="437" customFormat="1" ht="22.5" customHeight="1">
      <c r="A9" s="429">
        <v>1</v>
      </c>
      <c r="B9" s="454" t="s">
        <v>100</v>
      </c>
      <c r="C9" s="527" t="s">
        <v>195</v>
      </c>
      <c r="D9" s="528" t="s">
        <v>419</v>
      </c>
      <c r="E9" s="430"/>
      <c r="F9" s="430"/>
      <c r="G9" s="430"/>
      <c r="H9" s="430"/>
      <c r="I9" s="430"/>
      <c r="J9" s="430"/>
      <c r="K9" s="430">
        <f>SUM(E9:J9)</f>
        <v>0</v>
      </c>
      <c r="L9" s="430"/>
      <c r="M9" s="430"/>
      <c r="N9" s="430"/>
      <c r="O9" s="430"/>
      <c r="P9" s="430"/>
      <c r="Q9" s="430"/>
      <c r="R9" s="430"/>
      <c r="S9" s="430">
        <f t="shared" ref="S9:S57" si="0">SUM(L9:O9)</f>
        <v>0</v>
      </c>
      <c r="T9" s="430"/>
      <c r="U9" s="430"/>
      <c r="V9" s="430"/>
      <c r="W9" s="430"/>
      <c r="X9" s="430">
        <f>SUM(T9:W9)</f>
        <v>0</v>
      </c>
      <c r="Y9" s="431">
        <v>4</v>
      </c>
      <c r="Z9" s="430"/>
      <c r="AA9" s="430"/>
      <c r="AB9" s="430">
        <v>1.33</v>
      </c>
      <c r="AC9" s="655"/>
      <c r="AD9" s="655"/>
      <c r="AE9" s="667"/>
      <c r="AF9" s="187">
        <f t="shared" ref="AF9:AF39" si="1">SUM(Z9:AE9)</f>
        <v>1.33</v>
      </c>
      <c r="AG9" s="432" t="e">
        <f>VLOOKUP(B9,#REF!,6,0)</f>
        <v>#REF!</v>
      </c>
      <c r="AH9" s="432" t="e">
        <f>VLOOKUP(B9,#REF!,12,0)</f>
        <v>#REF!</v>
      </c>
      <c r="AI9" s="433" t="e">
        <f>+AG9*0.4+AH9*0.5</f>
        <v>#REF!</v>
      </c>
      <c r="AJ9" s="434" t="e">
        <f>VLOOKUP(B9,#REF!,34,0)</f>
        <v>#REF!</v>
      </c>
      <c r="AK9" s="434" t="e">
        <f>VLOOKUP(B9,#REF!,35,0)</f>
        <v>#REF!</v>
      </c>
      <c r="AL9" s="434"/>
      <c r="AM9" s="435" t="e">
        <f>VLOOKUP(B9,'ky thuật'!$C$9:$M$56,11,0)</f>
        <v>#REF!</v>
      </c>
      <c r="AN9" s="436"/>
      <c r="AO9" s="437">
        <v>4.4000000000000004</v>
      </c>
      <c r="AS9" s="544" t="str">
        <f>VLOOKUP(B9,'Mã số NV'!$B$6:$I$53,3,0)</f>
        <v>01871</v>
      </c>
      <c r="AT9" s="546">
        <f>AS9-D9</f>
        <v>0</v>
      </c>
    </row>
    <row r="10" spans="1:46" s="437" customFormat="1" ht="22.5" customHeight="1">
      <c r="A10" s="438">
        <v>2</v>
      </c>
      <c r="B10" s="454" t="s">
        <v>101</v>
      </c>
      <c r="C10" s="531" t="s">
        <v>420</v>
      </c>
      <c r="D10" s="528" t="s">
        <v>421</v>
      </c>
      <c r="E10" s="440"/>
      <c r="F10" s="440"/>
      <c r="G10" s="440"/>
      <c r="H10" s="440"/>
      <c r="I10" s="440"/>
      <c r="J10" s="440"/>
      <c r="K10" s="440">
        <f t="shared" ref="K10:K58" si="2">SUM(E10:J10)</f>
        <v>0</v>
      </c>
      <c r="L10" s="440"/>
      <c r="M10" s="440"/>
      <c r="N10" s="440"/>
      <c r="O10" s="440"/>
      <c r="P10" s="440"/>
      <c r="Q10" s="440"/>
      <c r="R10" s="440"/>
      <c r="S10" s="440">
        <f t="shared" si="0"/>
        <v>0</v>
      </c>
      <c r="T10" s="440"/>
      <c r="U10" s="440"/>
      <c r="V10" s="440"/>
      <c r="W10" s="440"/>
      <c r="X10" s="430">
        <f t="shared" ref="X10:X59" si="3">SUM(T10:W10)</f>
        <v>0</v>
      </c>
      <c r="Y10" s="441">
        <v>4</v>
      </c>
      <c r="Z10" s="430"/>
      <c r="AA10" s="430"/>
      <c r="AB10" s="430">
        <v>1.33</v>
      </c>
      <c r="AC10" s="655"/>
      <c r="AD10" s="655"/>
      <c r="AE10" s="667"/>
      <c r="AF10" s="187">
        <f t="shared" si="1"/>
        <v>1.33</v>
      </c>
      <c r="AG10" s="432" t="e">
        <f>VLOOKUP(B10,#REF!,6,0)</f>
        <v>#REF!</v>
      </c>
      <c r="AH10" s="432" t="e">
        <f>VLOOKUP(B10,#REF!,12,0)</f>
        <v>#REF!</v>
      </c>
      <c r="AI10" s="433" t="e">
        <f t="shared" ref="AI10:AI56" si="4">+AG10*0.4+AH10*0.5</f>
        <v>#REF!</v>
      </c>
      <c r="AJ10" s="434" t="e">
        <f>VLOOKUP(B10,#REF!,34,0)</f>
        <v>#REF!</v>
      </c>
      <c r="AK10" s="434" t="e">
        <f>VLOOKUP(B10,#REF!,35,0)</f>
        <v>#REF!</v>
      </c>
      <c r="AL10" s="434"/>
      <c r="AM10" s="435" t="e">
        <f>VLOOKUP(B10,'ky thuật'!$C$9:$M$56,11,0)</f>
        <v>#REF!</v>
      </c>
      <c r="AN10" s="442"/>
      <c r="AO10" s="437">
        <v>4.4000000000000004</v>
      </c>
      <c r="AS10" s="544" t="str">
        <f>VLOOKUP(B10,'Mã số NV'!$B$6:$I$53,3,0)</f>
        <v>01872</v>
      </c>
      <c r="AT10" s="546">
        <f t="shared" ref="AT10:AT59" si="5">AS10-D10</f>
        <v>0</v>
      </c>
    </row>
    <row r="11" spans="1:46" s="437" customFormat="1" ht="22.5" customHeight="1">
      <c r="A11" s="438">
        <v>3</v>
      </c>
      <c r="B11" s="476" t="s">
        <v>402</v>
      </c>
      <c r="C11" s="532" t="s">
        <v>422</v>
      </c>
      <c r="D11" s="538" t="s">
        <v>423</v>
      </c>
      <c r="E11" s="440"/>
      <c r="F11" s="440"/>
      <c r="G11" s="440"/>
      <c r="H11" s="440"/>
      <c r="I11" s="440"/>
      <c r="J11" s="440"/>
      <c r="K11" s="440">
        <f t="shared" si="2"/>
        <v>0</v>
      </c>
      <c r="L11" s="440"/>
      <c r="M11" s="440"/>
      <c r="N11" s="440"/>
      <c r="O11" s="440"/>
      <c r="P11" s="440"/>
      <c r="Q11" s="440"/>
      <c r="R11" s="440"/>
      <c r="S11" s="440">
        <f t="shared" si="0"/>
        <v>0</v>
      </c>
      <c r="T11" s="440"/>
      <c r="U11" s="440"/>
      <c r="V11" s="440"/>
      <c r="W11" s="440"/>
      <c r="X11" s="430">
        <f t="shared" si="3"/>
        <v>0</v>
      </c>
      <c r="Y11" s="441">
        <v>4</v>
      </c>
      <c r="Z11" s="430"/>
      <c r="AA11" s="430"/>
      <c r="AB11" s="430">
        <v>1.33</v>
      </c>
      <c r="AC11" s="655"/>
      <c r="AD11" s="655"/>
      <c r="AE11" s="667"/>
      <c r="AF11" s="187">
        <f t="shared" si="1"/>
        <v>1.33</v>
      </c>
      <c r="AG11" s="432" t="e">
        <f>VLOOKUP(B11,#REF!,6,0)</f>
        <v>#REF!</v>
      </c>
      <c r="AH11" s="432" t="e">
        <f>VLOOKUP(B11,#REF!,12,0)</f>
        <v>#REF!</v>
      </c>
      <c r="AI11" s="433" t="e">
        <f t="shared" si="4"/>
        <v>#REF!</v>
      </c>
      <c r="AJ11" s="434" t="e">
        <f>VLOOKUP(B11,#REF!,34,0)</f>
        <v>#REF!</v>
      </c>
      <c r="AK11" s="434" t="e">
        <f>VLOOKUP(B11,#REF!,35,0)</f>
        <v>#REF!</v>
      </c>
      <c r="AL11" s="434"/>
      <c r="AM11" s="435" t="e">
        <f>VLOOKUP(B11,'ky thuật'!$C$9:$M$56,11,0)</f>
        <v>#REF!</v>
      </c>
      <c r="AN11" s="442"/>
      <c r="AO11" s="437">
        <v>4.4000000000000004</v>
      </c>
      <c r="AS11" s="544" t="str">
        <f>VLOOKUP(B11,'Mã số NV'!$B$6:$I$53,3,0)</f>
        <v>01892</v>
      </c>
      <c r="AT11" s="546">
        <f t="shared" si="5"/>
        <v>0</v>
      </c>
    </row>
    <row r="12" spans="1:46" s="437" customFormat="1" ht="22.5" customHeight="1">
      <c r="A12" s="438">
        <v>4</v>
      </c>
      <c r="B12" s="455" t="s">
        <v>278</v>
      </c>
      <c r="C12" s="531" t="s">
        <v>196</v>
      </c>
      <c r="D12" s="528" t="s">
        <v>424</v>
      </c>
      <c r="E12" s="440"/>
      <c r="F12" s="440"/>
      <c r="G12" s="440"/>
      <c r="H12" s="440"/>
      <c r="I12" s="440"/>
      <c r="J12" s="440"/>
      <c r="K12" s="440">
        <f t="shared" si="2"/>
        <v>0</v>
      </c>
      <c r="L12" s="440"/>
      <c r="M12" s="440"/>
      <c r="N12" s="440"/>
      <c r="O12" s="440"/>
      <c r="P12" s="440"/>
      <c r="Q12" s="440"/>
      <c r="R12" s="440"/>
      <c r="S12" s="440">
        <f t="shared" si="0"/>
        <v>0</v>
      </c>
      <c r="T12" s="440"/>
      <c r="U12" s="440"/>
      <c r="V12" s="440"/>
      <c r="W12" s="440"/>
      <c r="X12" s="430">
        <f t="shared" si="3"/>
        <v>0</v>
      </c>
      <c r="Y12" s="441">
        <v>4</v>
      </c>
      <c r="Z12" s="430"/>
      <c r="AA12" s="430"/>
      <c r="AB12" s="430">
        <v>1.33</v>
      </c>
      <c r="AC12" s="655"/>
      <c r="AD12" s="655"/>
      <c r="AE12" s="667"/>
      <c r="AF12" s="187">
        <f t="shared" si="1"/>
        <v>1.33</v>
      </c>
      <c r="AG12" s="432" t="e">
        <f>VLOOKUP(B12,#REF!,6,0)</f>
        <v>#REF!</v>
      </c>
      <c r="AH12" s="432" t="e">
        <f>VLOOKUP(B12,#REF!,12,0)</f>
        <v>#REF!</v>
      </c>
      <c r="AI12" s="433" t="e">
        <f t="shared" si="4"/>
        <v>#REF!</v>
      </c>
      <c r="AJ12" s="434" t="e">
        <f>VLOOKUP(B12,#REF!,34,0)</f>
        <v>#REF!</v>
      </c>
      <c r="AK12" s="434" t="e">
        <f>VLOOKUP(B12,#REF!,35,0)</f>
        <v>#REF!</v>
      </c>
      <c r="AL12" s="434"/>
      <c r="AM12" s="435" t="e">
        <f>VLOOKUP(B12,'ky thuật'!$C$9:$M$56,11,0)</f>
        <v>#REF!</v>
      </c>
      <c r="AN12" s="442"/>
      <c r="AO12" s="437">
        <v>4.4000000000000004</v>
      </c>
      <c r="AS12" s="544" t="str">
        <f>VLOOKUP(B12,'Mã số NV'!$B$6:$I$53,3,0)</f>
        <v>01875</v>
      </c>
      <c r="AT12" s="546">
        <f t="shared" si="5"/>
        <v>0</v>
      </c>
    </row>
    <row r="13" spans="1:46" s="437" customFormat="1" ht="22.5" customHeight="1">
      <c r="A13" s="438">
        <v>5</v>
      </c>
      <c r="B13" s="476" t="s">
        <v>382</v>
      </c>
      <c r="C13" s="540" t="s">
        <v>420</v>
      </c>
      <c r="D13" s="538" t="s">
        <v>472</v>
      </c>
      <c r="E13" s="440"/>
      <c r="F13" s="440"/>
      <c r="G13" s="440"/>
      <c r="H13" s="440"/>
      <c r="I13" s="440"/>
      <c r="J13" s="440"/>
      <c r="K13" s="440">
        <f t="shared" si="2"/>
        <v>0</v>
      </c>
      <c r="L13" s="440"/>
      <c r="M13" s="440"/>
      <c r="N13" s="440"/>
      <c r="O13" s="440"/>
      <c r="P13" s="440"/>
      <c r="Q13" s="440"/>
      <c r="R13" s="440"/>
      <c r="S13" s="440">
        <f t="shared" si="0"/>
        <v>0</v>
      </c>
      <c r="T13" s="440"/>
      <c r="U13" s="440"/>
      <c r="V13" s="440"/>
      <c r="W13" s="440"/>
      <c r="X13" s="430">
        <f t="shared" si="3"/>
        <v>0</v>
      </c>
      <c r="Y13" s="441">
        <v>4</v>
      </c>
      <c r="Z13" s="430"/>
      <c r="AA13" s="430"/>
      <c r="AB13" s="430">
        <v>1.33</v>
      </c>
      <c r="AC13" s="655"/>
      <c r="AD13" s="655"/>
      <c r="AE13" s="667"/>
      <c r="AF13" s="187">
        <f t="shared" si="1"/>
        <v>1.33</v>
      </c>
      <c r="AG13" s="432" t="e">
        <f>VLOOKUP(B13,#REF!,6,0)</f>
        <v>#REF!</v>
      </c>
      <c r="AH13" s="432" t="e">
        <f>VLOOKUP(B13,#REF!,12,0)</f>
        <v>#REF!</v>
      </c>
      <c r="AI13" s="433" t="e">
        <f t="shared" si="4"/>
        <v>#REF!</v>
      </c>
      <c r="AJ13" s="434" t="e">
        <f>VLOOKUP(B13,#REF!,34,0)</f>
        <v>#REF!</v>
      </c>
      <c r="AK13" s="434" t="e">
        <f>VLOOKUP(B13,#REF!,35,0)</f>
        <v>#REF!</v>
      </c>
      <c r="AL13" s="434"/>
      <c r="AM13" s="435" t="e">
        <f>VLOOKUP(B13,'ky thuật'!$C$9:$M$56,11,0)</f>
        <v>#REF!</v>
      </c>
      <c r="AN13" s="442"/>
      <c r="AO13" s="437">
        <v>4.4000000000000004</v>
      </c>
      <c r="AQ13" s="437">
        <f>48+192+136</f>
        <v>376</v>
      </c>
      <c r="AS13" s="544" t="str">
        <f>VLOOKUP(B13,'Mã số NV'!$B$6:$I$53,3,0)</f>
        <v>01891</v>
      </c>
      <c r="AT13" s="546">
        <f t="shared" si="5"/>
        <v>0</v>
      </c>
    </row>
    <row r="14" spans="1:46" s="437" customFormat="1" ht="22.5" customHeight="1">
      <c r="A14" s="438">
        <v>6</v>
      </c>
      <c r="B14" s="455" t="s">
        <v>266</v>
      </c>
      <c r="C14" s="531" t="s">
        <v>429</v>
      </c>
      <c r="D14" s="528" t="s">
        <v>430</v>
      </c>
      <c r="E14" s="440"/>
      <c r="F14" s="440"/>
      <c r="G14" s="440"/>
      <c r="H14" s="440"/>
      <c r="I14" s="440"/>
      <c r="J14" s="440"/>
      <c r="K14" s="440">
        <f t="shared" si="2"/>
        <v>0</v>
      </c>
      <c r="L14" s="440"/>
      <c r="M14" s="440"/>
      <c r="N14" s="440"/>
      <c r="O14" s="440"/>
      <c r="P14" s="440"/>
      <c r="Q14" s="440"/>
      <c r="R14" s="440"/>
      <c r="S14" s="440">
        <f t="shared" si="0"/>
        <v>0</v>
      </c>
      <c r="T14" s="440"/>
      <c r="U14" s="440"/>
      <c r="V14" s="440"/>
      <c r="W14" s="440"/>
      <c r="X14" s="430">
        <f t="shared" si="3"/>
        <v>0</v>
      </c>
      <c r="Y14" s="441">
        <v>4</v>
      </c>
      <c r="Z14" s="430"/>
      <c r="AA14" s="430"/>
      <c r="AB14" s="430">
        <v>1.33</v>
      </c>
      <c r="AC14" s="655"/>
      <c r="AD14" s="655"/>
      <c r="AE14" s="667"/>
      <c r="AF14" s="187">
        <f t="shared" si="1"/>
        <v>1.33</v>
      </c>
      <c r="AG14" s="432" t="e">
        <f>VLOOKUP(B14,#REF!,6,0)</f>
        <v>#REF!</v>
      </c>
      <c r="AH14" s="432" t="e">
        <f>VLOOKUP(B14,#REF!,12,0)</f>
        <v>#REF!</v>
      </c>
      <c r="AI14" s="433" t="e">
        <f t="shared" si="4"/>
        <v>#REF!</v>
      </c>
      <c r="AJ14" s="434" t="e">
        <f>VLOOKUP(B14,#REF!,34,0)</f>
        <v>#REF!</v>
      </c>
      <c r="AK14" s="434" t="e">
        <f>VLOOKUP(B14,#REF!,35,0)</f>
        <v>#REF!</v>
      </c>
      <c r="AL14" s="434"/>
      <c r="AM14" s="435" t="e">
        <f>VLOOKUP(B14,'ky thuật'!$C$9:$M$56,11,0)</f>
        <v>#REF!</v>
      </c>
      <c r="AN14" s="442"/>
      <c r="AO14" s="437">
        <v>4.4000000000000004</v>
      </c>
      <c r="AQ14" s="437">
        <f>35.82+140+136</f>
        <v>311.82</v>
      </c>
      <c r="AS14" s="544" t="str">
        <f>VLOOKUP(B14,'Mã số NV'!$B$6:$I$53,3,0)</f>
        <v>01876</v>
      </c>
      <c r="AT14" s="546">
        <f t="shared" si="5"/>
        <v>0</v>
      </c>
    </row>
    <row r="15" spans="1:46" s="437" customFormat="1" ht="22.5" customHeight="1">
      <c r="A15" s="438">
        <v>7</v>
      </c>
      <c r="B15" s="627" t="s">
        <v>580</v>
      </c>
      <c r="C15" s="531"/>
      <c r="D15" s="528"/>
      <c r="E15" s="440"/>
      <c r="F15" s="440"/>
      <c r="G15" s="440"/>
      <c r="H15" s="440"/>
      <c r="I15" s="440"/>
      <c r="J15" s="440"/>
      <c r="K15" s="440">
        <f t="shared" si="2"/>
        <v>0</v>
      </c>
      <c r="L15" s="440"/>
      <c r="M15" s="440"/>
      <c r="N15" s="440"/>
      <c r="O15" s="440"/>
      <c r="P15" s="440"/>
      <c r="Q15" s="440"/>
      <c r="R15" s="440"/>
      <c r="S15" s="440">
        <f t="shared" si="0"/>
        <v>0</v>
      </c>
      <c r="T15" s="440"/>
      <c r="U15" s="440"/>
      <c r="V15" s="440"/>
      <c r="W15" s="440"/>
      <c r="X15" s="430">
        <f t="shared" si="3"/>
        <v>0</v>
      </c>
      <c r="Y15" s="441">
        <v>4</v>
      </c>
      <c r="Z15" s="430"/>
      <c r="AA15" s="430"/>
      <c r="AB15" s="430">
        <v>1.33</v>
      </c>
      <c r="AC15" s="655"/>
      <c r="AD15" s="655"/>
      <c r="AE15" s="667"/>
      <c r="AF15" s="187">
        <f t="shared" si="1"/>
        <v>1.33</v>
      </c>
      <c r="AG15" s="432" t="e">
        <f>VLOOKUP(B15,#REF!,6,0)</f>
        <v>#REF!</v>
      </c>
      <c r="AH15" s="432" t="e">
        <f>VLOOKUP(B15,#REF!,12,0)</f>
        <v>#REF!</v>
      </c>
      <c r="AI15" s="433" t="e">
        <f t="shared" si="4"/>
        <v>#REF!</v>
      </c>
      <c r="AJ15" s="434" t="e">
        <f>VLOOKUP(B15,#REF!,34,0)</f>
        <v>#REF!</v>
      </c>
      <c r="AK15" s="434" t="e">
        <f>VLOOKUP(B15,#REF!,35,0)</f>
        <v>#REF!</v>
      </c>
      <c r="AL15" s="434"/>
      <c r="AM15" s="435" t="e">
        <f>VLOOKUP(B15,'ky thuật'!$C$9:$M$56,11,0)</f>
        <v>#REF!</v>
      </c>
      <c r="AN15" s="442"/>
      <c r="AO15" s="437">
        <v>4.4000000000000004</v>
      </c>
      <c r="AS15" s="544">
        <f>VLOOKUP(B15,'Mã số NV'!$B$6:$I$53,3,0)</f>
        <v>0</v>
      </c>
      <c r="AT15" s="546">
        <f t="shared" si="5"/>
        <v>0</v>
      </c>
    </row>
    <row r="16" spans="1:46" s="437" customFormat="1" ht="22.5" customHeight="1">
      <c r="A16" s="438">
        <v>8</v>
      </c>
      <c r="B16" s="476" t="s">
        <v>403</v>
      </c>
      <c r="C16" s="533" t="s">
        <v>436</v>
      </c>
      <c r="D16" s="528" t="s">
        <v>437</v>
      </c>
      <c r="E16" s="440"/>
      <c r="F16" s="440"/>
      <c r="G16" s="440"/>
      <c r="H16" s="440"/>
      <c r="I16" s="440"/>
      <c r="J16" s="440"/>
      <c r="K16" s="440">
        <f t="shared" si="2"/>
        <v>0</v>
      </c>
      <c r="L16" s="440"/>
      <c r="M16" s="440"/>
      <c r="N16" s="440"/>
      <c r="O16" s="440"/>
      <c r="P16" s="440"/>
      <c r="Q16" s="440"/>
      <c r="R16" s="440"/>
      <c r="S16" s="440">
        <f t="shared" si="0"/>
        <v>0</v>
      </c>
      <c r="T16" s="440"/>
      <c r="U16" s="440"/>
      <c r="V16" s="440"/>
      <c r="W16" s="440"/>
      <c r="X16" s="430">
        <f t="shared" si="3"/>
        <v>0</v>
      </c>
      <c r="Y16" s="441">
        <v>4</v>
      </c>
      <c r="Z16" s="430"/>
      <c r="AA16" s="430"/>
      <c r="AB16" s="430">
        <v>1.33</v>
      </c>
      <c r="AC16" s="655"/>
      <c r="AD16" s="655"/>
      <c r="AE16" s="667"/>
      <c r="AF16" s="187">
        <f t="shared" si="1"/>
        <v>1.33</v>
      </c>
      <c r="AG16" s="432" t="e">
        <f>VLOOKUP(B16,#REF!,6,0)</f>
        <v>#REF!</v>
      </c>
      <c r="AH16" s="432" t="e">
        <f>VLOOKUP(B16,#REF!,12,0)</f>
        <v>#REF!</v>
      </c>
      <c r="AI16" s="433" t="e">
        <f t="shared" si="4"/>
        <v>#REF!</v>
      </c>
      <c r="AJ16" s="434" t="e">
        <f>VLOOKUP(B16,#REF!,34,0)</f>
        <v>#REF!</v>
      </c>
      <c r="AK16" s="434" t="e">
        <f>VLOOKUP(B16,#REF!,35,0)</f>
        <v>#REF!</v>
      </c>
      <c r="AL16" s="434"/>
      <c r="AM16" s="435" t="str">
        <f>VLOOKUP(B16,'ky thuật'!$C$9:$M$56,11,0)</f>
        <v>A</v>
      </c>
      <c r="AN16" s="442"/>
      <c r="AO16" s="437">
        <v>4.4000000000000004</v>
      </c>
      <c r="AS16" s="544" t="str">
        <f>VLOOKUP(B16,'Mã số NV'!$B$6:$I$53,3,0)</f>
        <v>01880</v>
      </c>
      <c r="AT16" s="546">
        <f t="shared" si="5"/>
        <v>0</v>
      </c>
    </row>
    <row r="17" spans="1:46" s="437" customFormat="1" ht="22.5" customHeight="1">
      <c r="A17" s="438">
        <v>9</v>
      </c>
      <c r="B17" s="476" t="s">
        <v>404</v>
      </c>
      <c r="C17" s="536" t="s">
        <v>454</v>
      </c>
      <c r="D17" s="537" t="s">
        <v>455</v>
      </c>
      <c r="E17" s="440"/>
      <c r="F17" s="440"/>
      <c r="G17" s="440"/>
      <c r="H17" s="440"/>
      <c r="I17" s="440"/>
      <c r="J17" s="440"/>
      <c r="K17" s="440">
        <f t="shared" si="2"/>
        <v>0</v>
      </c>
      <c r="L17" s="440"/>
      <c r="M17" s="440"/>
      <c r="N17" s="440"/>
      <c r="O17" s="440"/>
      <c r="P17" s="440"/>
      <c r="Q17" s="440"/>
      <c r="R17" s="440"/>
      <c r="S17" s="440">
        <f t="shared" si="0"/>
        <v>0</v>
      </c>
      <c r="T17" s="440"/>
      <c r="U17" s="440"/>
      <c r="V17" s="440"/>
      <c r="W17" s="440"/>
      <c r="X17" s="430">
        <f t="shared" si="3"/>
        <v>0</v>
      </c>
      <c r="Y17" s="441">
        <v>4</v>
      </c>
      <c r="Z17" s="430"/>
      <c r="AA17" s="430"/>
      <c r="AB17" s="430">
        <v>1.33</v>
      </c>
      <c r="AC17" s="655"/>
      <c r="AD17" s="655"/>
      <c r="AE17" s="667"/>
      <c r="AF17" s="187">
        <f t="shared" si="1"/>
        <v>1.33</v>
      </c>
      <c r="AG17" s="432" t="e">
        <f>VLOOKUP(B17,#REF!,6,0)</f>
        <v>#REF!</v>
      </c>
      <c r="AH17" s="432" t="e">
        <f>VLOOKUP(B17,#REF!,12,0)</f>
        <v>#REF!</v>
      </c>
      <c r="AI17" s="433" t="e">
        <f t="shared" si="4"/>
        <v>#REF!</v>
      </c>
      <c r="AJ17" s="434" t="e">
        <f>VLOOKUP(B17,#REF!,34,0)</f>
        <v>#REF!</v>
      </c>
      <c r="AK17" s="434" t="e">
        <f>VLOOKUP(B17,#REF!,35,0)</f>
        <v>#REF!</v>
      </c>
      <c r="AL17" s="434"/>
      <c r="AM17" s="435" t="e">
        <f>VLOOKUP(B17,'ky thuật'!$C$9:$M$56,11,0)</f>
        <v>#REF!</v>
      </c>
      <c r="AN17" s="442"/>
      <c r="AO17" s="437">
        <v>5.78</v>
      </c>
      <c r="AS17" s="544" t="str">
        <f>VLOOKUP(B17,'Mã số NV'!$B$6:$I$53,3,0)</f>
        <v>01882</v>
      </c>
      <c r="AT17" s="546">
        <f t="shared" si="5"/>
        <v>0</v>
      </c>
    </row>
    <row r="18" spans="1:46" s="437" customFormat="1" ht="22.5" customHeight="1">
      <c r="A18" s="438">
        <v>10</v>
      </c>
      <c r="B18" s="455" t="s">
        <v>254</v>
      </c>
      <c r="C18" s="531" t="s">
        <v>431</v>
      </c>
      <c r="D18" s="528" t="s">
        <v>432</v>
      </c>
      <c r="E18" s="440"/>
      <c r="F18" s="440"/>
      <c r="G18" s="440"/>
      <c r="H18" s="440"/>
      <c r="I18" s="440"/>
      <c r="J18" s="440"/>
      <c r="K18" s="440">
        <f t="shared" si="2"/>
        <v>0</v>
      </c>
      <c r="L18" s="440"/>
      <c r="M18" s="440"/>
      <c r="N18" s="440"/>
      <c r="O18" s="440"/>
      <c r="P18" s="440"/>
      <c r="Q18" s="440"/>
      <c r="R18" s="440"/>
      <c r="S18" s="440">
        <f t="shared" si="0"/>
        <v>0</v>
      </c>
      <c r="T18" s="440"/>
      <c r="U18" s="440"/>
      <c r="V18" s="440"/>
      <c r="W18" s="440"/>
      <c r="X18" s="430">
        <f t="shared" si="3"/>
        <v>0</v>
      </c>
      <c r="Y18" s="441">
        <v>4</v>
      </c>
      <c r="Z18" s="430"/>
      <c r="AA18" s="430"/>
      <c r="AB18" s="430">
        <v>1.33</v>
      </c>
      <c r="AC18" s="655"/>
      <c r="AD18" s="655"/>
      <c r="AE18" s="667"/>
      <c r="AF18" s="187">
        <f t="shared" si="1"/>
        <v>1.33</v>
      </c>
      <c r="AG18" s="432" t="e">
        <f>VLOOKUP(B18,#REF!,6,0)</f>
        <v>#REF!</v>
      </c>
      <c r="AH18" s="432" t="e">
        <f>VLOOKUP(B18,#REF!,12,0)</f>
        <v>#REF!</v>
      </c>
      <c r="AI18" s="433" t="e">
        <f t="shared" si="4"/>
        <v>#REF!</v>
      </c>
      <c r="AJ18" s="434" t="e">
        <f>VLOOKUP(B18,#REF!,34,0)</f>
        <v>#REF!</v>
      </c>
      <c r="AK18" s="434" t="e">
        <f>VLOOKUP(B18,#REF!,35,0)</f>
        <v>#REF!</v>
      </c>
      <c r="AL18" s="434"/>
      <c r="AM18" s="435" t="e">
        <f>VLOOKUP(B18,'ky thuật'!$C$9:$M$56,11,0)</f>
        <v>#REF!</v>
      </c>
      <c r="AN18" s="442"/>
      <c r="AO18" s="437">
        <v>4.4000000000000004</v>
      </c>
      <c r="AS18" s="544" t="str">
        <f>VLOOKUP(B18,'Mã số NV'!$B$6:$I$53,3,0)</f>
        <v>01877</v>
      </c>
      <c r="AT18" s="546">
        <f t="shared" si="5"/>
        <v>0</v>
      </c>
    </row>
    <row r="19" spans="1:46" s="437" customFormat="1" ht="22.5" customHeight="1">
      <c r="A19" s="438">
        <v>11</v>
      </c>
      <c r="B19" s="476" t="s">
        <v>405</v>
      </c>
      <c r="C19" s="531" t="s">
        <v>425</v>
      </c>
      <c r="D19" s="528" t="s">
        <v>426</v>
      </c>
      <c r="E19" s="440"/>
      <c r="F19" s="440"/>
      <c r="G19" s="440"/>
      <c r="H19" s="440"/>
      <c r="I19" s="440"/>
      <c r="J19" s="440"/>
      <c r="K19" s="440">
        <f t="shared" si="2"/>
        <v>0</v>
      </c>
      <c r="L19" s="440"/>
      <c r="M19" s="440"/>
      <c r="N19" s="440"/>
      <c r="O19" s="440"/>
      <c r="P19" s="440"/>
      <c r="Q19" s="440"/>
      <c r="R19" s="440"/>
      <c r="S19" s="440">
        <f t="shared" si="0"/>
        <v>0</v>
      </c>
      <c r="T19" s="440"/>
      <c r="U19" s="440"/>
      <c r="V19" s="440"/>
      <c r="W19" s="440"/>
      <c r="X19" s="430">
        <f t="shared" si="3"/>
        <v>0</v>
      </c>
      <c r="Y19" s="441">
        <v>4</v>
      </c>
      <c r="Z19" s="430"/>
      <c r="AA19" s="430"/>
      <c r="AB19" s="430">
        <v>1.33</v>
      </c>
      <c r="AC19" s="655"/>
      <c r="AD19" s="655"/>
      <c r="AE19" s="667"/>
      <c r="AF19" s="187">
        <f t="shared" si="1"/>
        <v>1.33</v>
      </c>
      <c r="AG19" s="432" t="e">
        <f>VLOOKUP(B19,#REF!,6,0)</f>
        <v>#REF!</v>
      </c>
      <c r="AH19" s="432" t="e">
        <f>VLOOKUP(B19,#REF!,12,0)</f>
        <v>#REF!</v>
      </c>
      <c r="AI19" s="433" t="e">
        <f t="shared" si="4"/>
        <v>#REF!</v>
      </c>
      <c r="AJ19" s="434" t="e">
        <f>VLOOKUP(B19,#REF!,34,0)</f>
        <v>#REF!</v>
      </c>
      <c r="AK19" s="434" t="e">
        <f>VLOOKUP(B19,#REF!,35,0)</f>
        <v>#REF!</v>
      </c>
      <c r="AL19" s="434"/>
      <c r="AM19" s="435" t="e">
        <f>VLOOKUP(B19,'ky thuật'!$C$9:$M$56,11,0)</f>
        <v>#REF!</v>
      </c>
      <c r="AN19" s="442"/>
      <c r="AO19" s="437">
        <v>8.8000000000000007</v>
      </c>
      <c r="AS19" s="544" t="str">
        <f>VLOOKUP(B19,'Mã số NV'!$B$6:$I$53,3,0)</f>
        <v>01874</v>
      </c>
      <c r="AT19" s="546">
        <f t="shared" si="5"/>
        <v>0</v>
      </c>
    </row>
    <row r="20" spans="1:46" s="437" customFormat="1" ht="22.5" customHeight="1">
      <c r="A20" s="438">
        <v>12</v>
      </c>
      <c r="B20" s="455" t="s">
        <v>271</v>
      </c>
      <c r="C20" s="532" t="s">
        <v>434</v>
      </c>
      <c r="D20" s="528" t="s">
        <v>435</v>
      </c>
      <c r="E20" s="440"/>
      <c r="F20" s="440"/>
      <c r="G20" s="440"/>
      <c r="H20" s="440"/>
      <c r="I20" s="440"/>
      <c r="J20" s="440"/>
      <c r="K20" s="440">
        <f t="shared" si="2"/>
        <v>0</v>
      </c>
      <c r="L20" s="440"/>
      <c r="M20" s="440"/>
      <c r="N20" s="440"/>
      <c r="O20" s="440"/>
      <c r="P20" s="440"/>
      <c r="Q20" s="440"/>
      <c r="R20" s="440"/>
      <c r="S20" s="440">
        <f t="shared" si="0"/>
        <v>0</v>
      </c>
      <c r="T20" s="440"/>
      <c r="U20" s="440"/>
      <c r="V20" s="440"/>
      <c r="W20" s="440"/>
      <c r="X20" s="430">
        <f t="shared" si="3"/>
        <v>0</v>
      </c>
      <c r="Y20" s="441">
        <v>4</v>
      </c>
      <c r="Z20" s="430"/>
      <c r="AA20" s="430"/>
      <c r="AB20" s="430">
        <v>1.33</v>
      </c>
      <c r="AC20" s="655"/>
      <c r="AD20" s="655"/>
      <c r="AE20" s="667"/>
      <c r="AF20" s="187">
        <f t="shared" si="1"/>
        <v>1.33</v>
      </c>
      <c r="AG20" s="432" t="e">
        <f>VLOOKUP(B20,#REF!,6,0)</f>
        <v>#REF!</v>
      </c>
      <c r="AH20" s="432" t="e">
        <f>VLOOKUP(B20,#REF!,12,0)</f>
        <v>#REF!</v>
      </c>
      <c r="AI20" s="433" t="e">
        <f t="shared" si="4"/>
        <v>#REF!</v>
      </c>
      <c r="AJ20" s="434" t="e">
        <f>VLOOKUP(B20,#REF!,34,0)</f>
        <v>#REF!</v>
      </c>
      <c r="AK20" s="434" t="e">
        <f>VLOOKUP(B20,#REF!,35,0)</f>
        <v>#REF!</v>
      </c>
      <c r="AL20" s="434"/>
      <c r="AM20" s="435" t="e">
        <f>VLOOKUP(B20,'ky thuật'!$C$9:$M$56,11,0)</f>
        <v>#REF!</v>
      </c>
      <c r="AN20" s="442"/>
      <c r="AS20" s="544" t="str">
        <f>VLOOKUP(B20,'Mã số NV'!$B$6:$I$53,3,0)</f>
        <v>01879</v>
      </c>
      <c r="AT20" s="546">
        <f t="shared" si="5"/>
        <v>0</v>
      </c>
    </row>
    <row r="21" spans="1:46" s="437" customFormat="1" ht="22.5" customHeight="1">
      <c r="A21" s="438">
        <v>13</v>
      </c>
      <c r="B21" s="455" t="s">
        <v>255</v>
      </c>
      <c r="C21" s="531" t="s">
        <v>427</v>
      </c>
      <c r="D21" s="528" t="s">
        <v>428</v>
      </c>
      <c r="E21" s="440"/>
      <c r="F21" s="440"/>
      <c r="G21" s="440"/>
      <c r="H21" s="440"/>
      <c r="I21" s="440"/>
      <c r="J21" s="440"/>
      <c r="K21" s="440">
        <f t="shared" si="2"/>
        <v>0</v>
      </c>
      <c r="L21" s="440"/>
      <c r="M21" s="440"/>
      <c r="N21" s="440"/>
      <c r="O21" s="440"/>
      <c r="P21" s="440"/>
      <c r="Q21" s="440"/>
      <c r="R21" s="440"/>
      <c r="S21" s="440">
        <f t="shared" si="0"/>
        <v>0</v>
      </c>
      <c r="T21" s="440"/>
      <c r="U21" s="440"/>
      <c r="V21" s="440"/>
      <c r="W21" s="440"/>
      <c r="X21" s="430">
        <f t="shared" si="3"/>
        <v>0</v>
      </c>
      <c r="Y21" s="441">
        <v>4</v>
      </c>
      <c r="Z21" s="430"/>
      <c r="AA21" s="430"/>
      <c r="AB21" s="430">
        <v>1.33</v>
      </c>
      <c r="AC21" s="655"/>
      <c r="AD21" s="655"/>
      <c r="AE21" s="667"/>
      <c r="AF21" s="187">
        <f t="shared" si="1"/>
        <v>1.33</v>
      </c>
      <c r="AG21" s="432" t="e">
        <f>VLOOKUP(B21,#REF!,6,0)</f>
        <v>#REF!</v>
      </c>
      <c r="AH21" s="432" t="e">
        <f>VLOOKUP(B21,#REF!,12,0)</f>
        <v>#REF!</v>
      </c>
      <c r="AI21" s="433" t="e">
        <f t="shared" si="4"/>
        <v>#REF!</v>
      </c>
      <c r="AJ21" s="434" t="e">
        <f>VLOOKUP(B21,#REF!,34,0)</f>
        <v>#REF!</v>
      </c>
      <c r="AK21" s="434" t="e">
        <f>VLOOKUP(B21,#REF!,35,0)</f>
        <v>#REF!</v>
      </c>
      <c r="AL21" s="434"/>
      <c r="AM21" s="435" t="e">
        <f>VLOOKUP(B21,'ky thuật'!$C$9:$M$56,11,0)</f>
        <v>#REF!</v>
      </c>
      <c r="AN21" s="442"/>
      <c r="AS21" s="544" t="str">
        <f>VLOOKUP(B21,'Mã số NV'!$B$6:$I$53,3,0)</f>
        <v>01873</v>
      </c>
      <c r="AT21" s="546">
        <f t="shared" si="5"/>
        <v>0</v>
      </c>
    </row>
    <row r="22" spans="1:46" s="437" customFormat="1" ht="22.5" customHeight="1">
      <c r="A22" s="438">
        <v>14</v>
      </c>
      <c r="B22" s="627" t="s">
        <v>581</v>
      </c>
      <c r="C22" s="532"/>
      <c r="D22" s="528"/>
      <c r="E22" s="440"/>
      <c r="F22" s="440"/>
      <c r="G22" s="440"/>
      <c r="H22" s="440"/>
      <c r="I22" s="440"/>
      <c r="J22" s="440"/>
      <c r="K22" s="440">
        <f t="shared" si="2"/>
        <v>0</v>
      </c>
      <c r="L22" s="440"/>
      <c r="M22" s="440"/>
      <c r="N22" s="440"/>
      <c r="O22" s="440"/>
      <c r="P22" s="440"/>
      <c r="Q22" s="440"/>
      <c r="R22" s="440"/>
      <c r="S22" s="440">
        <f t="shared" si="0"/>
        <v>0</v>
      </c>
      <c r="T22" s="440"/>
      <c r="U22" s="440"/>
      <c r="V22" s="440"/>
      <c r="W22" s="440"/>
      <c r="X22" s="430">
        <f t="shared" si="3"/>
        <v>0</v>
      </c>
      <c r="Y22" s="441">
        <v>4</v>
      </c>
      <c r="Z22" s="430"/>
      <c r="AA22" s="430"/>
      <c r="AB22" s="430">
        <v>1.33</v>
      </c>
      <c r="AC22" s="655"/>
      <c r="AD22" s="655"/>
      <c r="AE22" s="667"/>
      <c r="AF22" s="187">
        <f t="shared" si="1"/>
        <v>1.33</v>
      </c>
      <c r="AG22" s="432" t="e">
        <f>VLOOKUP(B22,#REF!,6,0)</f>
        <v>#REF!</v>
      </c>
      <c r="AH22" s="432" t="e">
        <f>VLOOKUP(B22,#REF!,12,0)</f>
        <v>#REF!</v>
      </c>
      <c r="AI22" s="433" t="e">
        <f t="shared" si="4"/>
        <v>#REF!</v>
      </c>
      <c r="AJ22" s="434" t="e">
        <f>VLOOKUP(B22,#REF!,34,0)</f>
        <v>#REF!</v>
      </c>
      <c r="AK22" s="434" t="e">
        <f>VLOOKUP(B22,#REF!,35,0)</f>
        <v>#REF!</v>
      </c>
      <c r="AL22" s="434"/>
      <c r="AM22" s="435" t="e">
        <f>VLOOKUP(B22,'ky thuật'!$C$9:$M$56,11,0)</f>
        <v>#REF!</v>
      </c>
      <c r="AN22" s="442"/>
      <c r="AO22" s="437">
        <v>4.4000000000000004</v>
      </c>
      <c r="AS22" s="544">
        <f>VLOOKUP(B22,'Mã số NV'!$B$6:$I$53,3,0)</f>
        <v>0</v>
      </c>
      <c r="AT22" s="546">
        <f t="shared" si="5"/>
        <v>0</v>
      </c>
    </row>
    <row r="23" spans="1:46" s="437" customFormat="1" ht="22.5" customHeight="1">
      <c r="A23" s="438">
        <v>15</v>
      </c>
      <c r="B23" s="477" t="s">
        <v>406</v>
      </c>
      <c r="C23" s="540" t="s">
        <v>473</v>
      </c>
      <c r="D23" s="538" t="s">
        <v>474</v>
      </c>
      <c r="E23" s="440"/>
      <c r="F23" s="440"/>
      <c r="G23" s="440"/>
      <c r="H23" s="440"/>
      <c r="I23" s="440"/>
      <c r="J23" s="440"/>
      <c r="K23" s="440">
        <f t="shared" si="2"/>
        <v>0</v>
      </c>
      <c r="L23" s="440"/>
      <c r="M23" s="440"/>
      <c r="N23" s="440"/>
      <c r="O23" s="440"/>
      <c r="P23" s="440"/>
      <c r="Q23" s="440"/>
      <c r="R23" s="440"/>
      <c r="S23" s="440">
        <f t="shared" si="0"/>
        <v>0</v>
      </c>
      <c r="T23" s="440"/>
      <c r="U23" s="440"/>
      <c r="V23" s="440"/>
      <c r="W23" s="440"/>
      <c r="X23" s="430">
        <f t="shared" si="3"/>
        <v>0</v>
      </c>
      <c r="Y23" s="441">
        <v>4</v>
      </c>
      <c r="Z23" s="430"/>
      <c r="AA23" s="430"/>
      <c r="AB23" s="430">
        <v>1.33</v>
      </c>
      <c r="AC23" s="655"/>
      <c r="AD23" s="655"/>
      <c r="AE23" s="667"/>
      <c r="AF23" s="187">
        <f t="shared" si="1"/>
        <v>1.33</v>
      </c>
      <c r="AG23" s="432" t="e">
        <f>VLOOKUP(B23,#REF!,6,0)</f>
        <v>#REF!</v>
      </c>
      <c r="AH23" s="432" t="e">
        <f>VLOOKUP(B23,#REF!,12,0)</f>
        <v>#REF!</v>
      </c>
      <c r="AI23" s="433" t="e">
        <f t="shared" si="4"/>
        <v>#REF!</v>
      </c>
      <c r="AJ23" s="434" t="e">
        <f>VLOOKUP(B23,#REF!,34,0)</f>
        <v>#REF!</v>
      </c>
      <c r="AK23" s="434" t="e">
        <f>VLOOKUP(B23,#REF!,35,0)</f>
        <v>#REF!</v>
      </c>
      <c r="AL23" s="434"/>
      <c r="AM23" s="435" t="e">
        <f>VLOOKUP(B23,'ky thuật'!$C$9:$M$56,11,0)</f>
        <v>#REF!</v>
      </c>
      <c r="AN23" s="442"/>
      <c r="AS23" s="544" t="str">
        <f>VLOOKUP(B23,'Mã số NV'!$B$6:$I$53,3,0)</f>
        <v>01893</v>
      </c>
      <c r="AT23" s="546">
        <f t="shared" si="5"/>
        <v>0</v>
      </c>
    </row>
    <row r="24" spans="1:46" s="437" customFormat="1" ht="22.5" customHeight="1">
      <c r="A24" s="438">
        <v>16</v>
      </c>
      <c r="B24" s="455" t="s">
        <v>270</v>
      </c>
      <c r="C24" s="532" t="s">
        <v>462</v>
      </c>
      <c r="D24" s="538" t="s">
        <v>463</v>
      </c>
      <c r="E24" s="440"/>
      <c r="F24" s="440"/>
      <c r="G24" s="440"/>
      <c r="H24" s="440"/>
      <c r="I24" s="440"/>
      <c r="J24" s="440"/>
      <c r="K24" s="440">
        <f t="shared" si="2"/>
        <v>0</v>
      </c>
      <c r="L24" s="440"/>
      <c r="M24" s="440"/>
      <c r="N24" s="440"/>
      <c r="O24" s="440"/>
      <c r="P24" s="440"/>
      <c r="Q24" s="440"/>
      <c r="R24" s="440"/>
      <c r="S24" s="440">
        <f t="shared" si="0"/>
        <v>0</v>
      </c>
      <c r="T24" s="440"/>
      <c r="U24" s="440"/>
      <c r="V24" s="440"/>
      <c r="W24" s="440"/>
      <c r="X24" s="430">
        <f t="shared" si="3"/>
        <v>0</v>
      </c>
      <c r="Y24" s="441">
        <v>4</v>
      </c>
      <c r="Z24" s="430"/>
      <c r="AA24" s="430"/>
      <c r="AB24" s="430">
        <v>1.33</v>
      </c>
      <c r="AC24" s="655"/>
      <c r="AD24" s="655"/>
      <c r="AE24" s="667"/>
      <c r="AF24" s="187">
        <f t="shared" si="1"/>
        <v>1.33</v>
      </c>
      <c r="AG24" s="432" t="e">
        <f>VLOOKUP(B24,#REF!,6,0)</f>
        <v>#REF!</v>
      </c>
      <c r="AH24" s="432" t="e">
        <f>VLOOKUP(B24,#REF!,12,0)</f>
        <v>#REF!</v>
      </c>
      <c r="AI24" s="433" t="e">
        <f t="shared" si="4"/>
        <v>#REF!</v>
      </c>
      <c r="AJ24" s="434" t="e">
        <f>VLOOKUP(B24,#REF!,34,0)</f>
        <v>#REF!</v>
      </c>
      <c r="AK24" s="434" t="e">
        <f>VLOOKUP(B24,#REF!,35,0)</f>
        <v>#REF!</v>
      </c>
      <c r="AL24" s="434"/>
      <c r="AM24" s="435" t="e">
        <f>VLOOKUP(B24,'ky thuật'!$C$9:$M$56,11,0)</f>
        <v>#REF!</v>
      </c>
      <c r="AN24" s="442"/>
      <c r="AS24" s="544" t="str">
        <f>VLOOKUP(B24,'Mã số NV'!$B$6:$I$53,3,0)</f>
        <v>01885</v>
      </c>
      <c r="AT24" s="546">
        <f t="shared" si="5"/>
        <v>0</v>
      </c>
    </row>
    <row r="25" spans="1:46" s="437" customFormat="1" ht="22.5" customHeight="1">
      <c r="A25" s="438">
        <v>17</v>
      </c>
      <c r="B25" s="629" t="s">
        <v>582</v>
      </c>
      <c r="C25" s="532"/>
      <c r="D25" s="538"/>
      <c r="E25" s="440"/>
      <c r="F25" s="440"/>
      <c r="G25" s="440"/>
      <c r="H25" s="440"/>
      <c r="I25" s="440"/>
      <c r="J25" s="440"/>
      <c r="K25" s="440">
        <f t="shared" si="2"/>
        <v>0</v>
      </c>
      <c r="L25" s="440"/>
      <c r="M25" s="440"/>
      <c r="N25" s="440"/>
      <c r="O25" s="440"/>
      <c r="P25" s="440"/>
      <c r="Q25" s="440"/>
      <c r="R25" s="440"/>
      <c r="S25" s="440">
        <f t="shared" si="0"/>
        <v>0</v>
      </c>
      <c r="T25" s="440"/>
      <c r="U25" s="440"/>
      <c r="V25" s="440"/>
      <c r="W25" s="440"/>
      <c r="X25" s="430">
        <f t="shared" si="3"/>
        <v>0</v>
      </c>
      <c r="Y25" s="441">
        <v>4</v>
      </c>
      <c r="Z25" s="430"/>
      <c r="AA25" s="430"/>
      <c r="AB25" s="430">
        <v>1.33</v>
      </c>
      <c r="AC25" s="655"/>
      <c r="AD25" s="655"/>
      <c r="AE25" s="667"/>
      <c r="AF25" s="187">
        <f t="shared" si="1"/>
        <v>1.33</v>
      </c>
      <c r="AG25" s="432" t="e">
        <f>VLOOKUP(B25,#REF!,6,0)</f>
        <v>#REF!</v>
      </c>
      <c r="AH25" s="432" t="e">
        <f>VLOOKUP(B25,#REF!,12,0)</f>
        <v>#REF!</v>
      </c>
      <c r="AI25" s="433" t="e">
        <f t="shared" si="4"/>
        <v>#REF!</v>
      </c>
      <c r="AJ25" s="434" t="e">
        <f>VLOOKUP(B25,#REF!,34,0)</f>
        <v>#REF!</v>
      </c>
      <c r="AK25" s="434" t="e">
        <f>VLOOKUP(B25,#REF!,35,0)</f>
        <v>#REF!</v>
      </c>
      <c r="AL25" s="434"/>
      <c r="AM25" s="435" t="e">
        <f>VLOOKUP(B25,'ky thuật'!$C$9:$M$56,11,0)</f>
        <v>#REF!</v>
      </c>
      <c r="AN25" s="442"/>
      <c r="AS25" s="544">
        <f>VLOOKUP(B25,'Mã số NV'!$B$6:$I$53,3,0)</f>
        <v>0</v>
      </c>
      <c r="AT25" s="546">
        <f t="shared" si="5"/>
        <v>0</v>
      </c>
    </row>
    <row r="26" spans="1:46" s="437" customFormat="1" ht="22.5" customHeight="1">
      <c r="A26" s="438">
        <v>18</v>
      </c>
      <c r="B26" s="455" t="s">
        <v>283</v>
      </c>
      <c r="C26" s="532" t="s">
        <v>460</v>
      </c>
      <c r="D26" s="538" t="s">
        <v>461</v>
      </c>
      <c r="E26" s="440"/>
      <c r="F26" s="440"/>
      <c r="G26" s="440"/>
      <c r="H26" s="440"/>
      <c r="I26" s="440"/>
      <c r="J26" s="440"/>
      <c r="K26" s="440">
        <f t="shared" si="2"/>
        <v>0</v>
      </c>
      <c r="L26" s="440"/>
      <c r="M26" s="440"/>
      <c r="N26" s="440"/>
      <c r="O26" s="440"/>
      <c r="P26" s="440"/>
      <c r="Q26" s="440"/>
      <c r="R26" s="440"/>
      <c r="S26" s="440">
        <f t="shared" si="0"/>
        <v>0</v>
      </c>
      <c r="T26" s="440"/>
      <c r="U26" s="440"/>
      <c r="V26" s="440"/>
      <c r="W26" s="440"/>
      <c r="X26" s="430">
        <f t="shared" si="3"/>
        <v>0</v>
      </c>
      <c r="Y26" s="441">
        <v>4</v>
      </c>
      <c r="Z26" s="430"/>
      <c r="AA26" s="430"/>
      <c r="AB26" s="430">
        <v>1.33</v>
      </c>
      <c r="AC26" s="655"/>
      <c r="AD26" s="655"/>
      <c r="AE26" s="667"/>
      <c r="AF26" s="187">
        <f t="shared" si="1"/>
        <v>1.33</v>
      </c>
      <c r="AG26" s="432" t="e">
        <f>VLOOKUP(B26,#REF!,6,0)</f>
        <v>#REF!</v>
      </c>
      <c r="AH26" s="432" t="e">
        <f>VLOOKUP(B26,#REF!,12,0)</f>
        <v>#REF!</v>
      </c>
      <c r="AI26" s="433" t="e">
        <f t="shared" si="4"/>
        <v>#REF!</v>
      </c>
      <c r="AJ26" s="434" t="e">
        <f>VLOOKUP(B26,#REF!,34,0)</f>
        <v>#REF!</v>
      </c>
      <c r="AK26" s="434" t="e">
        <f>VLOOKUP(B26,#REF!,35,0)</f>
        <v>#REF!</v>
      </c>
      <c r="AL26" s="434"/>
      <c r="AM26" s="435" t="e">
        <f>VLOOKUP(B26,'ky thuật'!$C$9:$M$56,11,0)</f>
        <v>#REF!</v>
      </c>
      <c r="AN26" s="442"/>
      <c r="AS26" s="544" t="str">
        <f>VLOOKUP(B26,'Mã số NV'!$B$6:$I$53,3,0)</f>
        <v>01884</v>
      </c>
      <c r="AT26" s="546">
        <f t="shared" si="5"/>
        <v>0</v>
      </c>
    </row>
    <row r="27" spans="1:46" s="437" customFormat="1" ht="22.5" customHeight="1">
      <c r="A27" s="438">
        <v>19</v>
      </c>
      <c r="B27" s="477" t="s">
        <v>407</v>
      </c>
      <c r="C27" s="532" t="s">
        <v>464</v>
      </c>
      <c r="D27" s="538" t="s">
        <v>465</v>
      </c>
      <c r="E27" s="440"/>
      <c r="F27" s="440"/>
      <c r="G27" s="440"/>
      <c r="H27" s="440"/>
      <c r="I27" s="440"/>
      <c r="J27" s="440"/>
      <c r="K27" s="440">
        <f t="shared" si="2"/>
        <v>0</v>
      </c>
      <c r="L27" s="440"/>
      <c r="M27" s="440"/>
      <c r="N27" s="440"/>
      <c r="O27" s="440"/>
      <c r="P27" s="440"/>
      <c r="Q27" s="440"/>
      <c r="R27" s="440"/>
      <c r="S27" s="440">
        <f t="shared" si="0"/>
        <v>0</v>
      </c>
      <c r="T27" s="440"/>
      <c r="U27" s="440"/>
      <c r="V27" s="440"/>
      <c r="W27" s="440"/>
      <c r="X27" s="430">
        <f t="shared" si="3"/>
        <v>0</v>
      </c>
      <c r="Y27" s="441">
        <v>4</v>
      </c>
      <c r="Z27" s="430"/>
      <c r="AA27" s="430"/>
      <c r="AB27" s="430">
        <v>1.33</v>
      </c>
      <c r="AC27" s="655"/>
      <c r="AD27" s="655"/>
      <c r="AE27" s="667"/>
      <c r="AF27" s="187">
        <f t="shared" si="1"/>
        <v>1.33</v>
      </c>
      <c r="AG27" s="432" t="e">
        <f>VLOOKUP(B27,#REF!,6,0)</f>
        <v>#REF!</v>
      </c>
      <c r="AH27" s="432" t="e">
        <f>VLOOKUP(B27,#REF!,12,0)</f>
        <v>#REF!</v>
      </c>
      <c r="AI27" s="433" t="e">
        <f t="shared" si="4"/>
        <v>#REF!</v>
      </c>
      <c r="AJ27" s="434" t="e">
        <f>VLOOKUP(B27,#REF!,34,0)</f>
        <v>#REF!</v>
      </c>
      <c r="AK27" s="434" t="e">
        <f>VLOOKUP(B27,#REF!,35,0)</f>
        <v>#REF!</v>
      </c>
      <c r="AL27" s="434"/>
      <c r="AM27" s="435" t="str">
        <f>VLOOKUP(B27,'ky thuật'!$C$9:$M$56,11,0)</f>
        <v>A</v>
      </c>
      <c r="AN27" s="442"/>
      <c r="AS27" s="544" t="str">
        <f>VLOOKUP(B27,'Mã số NV'!$B$6:$I$53,3,0)</f>
        <v>01886</v>
      </c>
      <c r="AT27" s="546">
        <f t="shared" si="5"/>
        <v>0</v>
      </c>
    </row>
    <row r="28" spans="1:46" s="437" customFormat="1" ht="22.5" customHeight="1">
      <c r="A28" s="438">
        <v>20</v>
      </c>
      <c r="B28" s="455" t="s">
        <v>269</v>
      </c>
      <c r="C28" s="532" t="s">
        <v>458</v>
      </c>
      <c r="D28" s="538" t="s">
        <v>459</v>
      </c>
      <c r="E28" s="440"/>
      <c r="F28" s="440"/>
      <c r="G28" s="440"/>
      <c r="H28" s="440"/>
      <c r="I28" s="440"/>
      <c r="J28" s="440"/>
      <c r="K28" s="440">
        <f t="shared" si="2"/>
        <v>0</v>
      </c>
      <c r="L28" s="440"/>
      <c r="M28" s="440"/>
      <c r="N28" s="440"/>
      <c r="O28" s="440"/>
      <c r="P28" s="440"/>
      <c r="Q28" s="440"/>
      <c r="R28" s="440"/>
      <c r="S28" s="440">
        <f t="shared" si="0"/>
        <v>0</v>
      </c>
      <c r="T28" s="440"/>
      <c r="U28" s="440"/>
      <c r="V28" s="440"/>
      <c r="W28" s="440"/>
      <c r="X28" s="430">
        <f t="shared" si="3"/>
        <v>0</v>
      </c>
      <c r="Y28" s="441">
        <v>4</v>
      </c>
      <c r="Z28" s="430"/>
      <c r="AA28" s="430"/>
      <c r="AB28" s="430">
        <v>1.33</v>
      </c>
      <c r="AC28" s="655"/>
      <c r="AD28" s="655"/>
      <c r="AE28" s="667"/>
      <c r="AF28" s="187">
        <f t="shared" si="1"/>
        <v>1.33</v>
      </c>
      <c r="AG28" s="432" t="e">
        <f>VLOOKUP(B28,#REF!,6,0)</f>
        <v>#REF!</v>
      </c>
      <c r="AH28" s="432" t="e">
        <f>VLOOKUP(B28,#REF!,12,0)</f>
        <v>#REF!</v>
      </c>
      <c r="AI28" s="433" t="e">
        <f t="shared" si="4"/>
        <v>#REF!</v>
      </c>
      <c r="AJ28" s="434" t="e">
        <f>VLOOKUP(B28,#REF!,34,0)</f>
        <v>#REF!</v>
      </c>
      <c r="AK28" s="434" t="e">
        <f>VLOOKUP(B28,#REF!,35,0)</f>
        <v>#REF!</v>
      </c>
      <c r="AL28" s="434"/>
      <c r="AM28" s="435" t="e">
        <f>VLOOKUP(B28,'ky thuật'!$C$9:$M$56,11,0)</f>
        <v>#REF!</v>
      </c>
      <c r="AN28" s="442"/>
      <c r="AS28" s="544" t="str">
        <f>VLOOKUP(B28,'Mã số NV'!$B$6:$I$53,3,0)</f>
        <v>01883</v>
      </c>
      <c r="AT28" s="546">
        <f t="shared" si="5"/>
        <v>0</v>
      </c>
    </row>
    <row r="29" spans="1:46" s="437" customFormat="1" ht="22.5" customHeight="1">
      <c r="A29" s="438">
        <v>21</v>
      </c>
      <c r="B29" s="455" t="s">
        <v>319</v>
      </c>
      <c r="C29" s="540" t="s">
        <v>468</v>
      </c>
      <c r="D29" s="538" t="s">
        <v>469</v>
      </c>
      <c r="E29" s="440"/>
      <c r="F29" s="440"/>
      <c r="G29" s="440"/>
      <c r="H29" s="440"/>
      <c r="I29" s="440"/>
      <c r="J29" s="440"/>
      <c r="K29" s="440">
        <f t="shared" si="2"/>
        <v>0</v>
      </c>
      <c r="L29" s="440"/>
      <c r="M29" s="440"/>
      <c r="N29" s="440"/>
      <c r="O29" s="440"/>
      <c r="P29" s="440"/>
      <c r="Q29" s="440"/>
      <c r="R29" s="440"/>
      <c r="S29" s="440">
        <f t="shared" si="0"/>
        <v>0</v>
      </c>
      <c r="T29" s="440"/>
      <c r="U29" s="440"/>
      <c r="V29" s="440"/>
      <c r="W29" s="440"/>
      <c r="X29" s="430">
        <f t="shared" si="3"/>
        <v>0</v>
      </c>
      <c r="Y29" s="441">
        <v>4</v>
      </c>
      <c r="Z29" s="430"/>
      <c r="AA29" s="430"/>
      <c r="AB29" s="430">
        <v>1.33</v>
      </c>
      <c r="AC29" s="655"/>
      <c r="AD29" s="655"/>
      <c r="AE29" s="667"/>
      <c r="AF29" s="187">
        <f t="shared" si="1"/>
        <v>1.33</v>
      </c>
      <c r="AG29" s="432" t="e">
        <f>VLOOKUP(B29,#REF!,6,0)</f>
        <v>#REF!</v>
      </c>
      <c r="AH29" s="432" t="e">
        <f>VLOOKUP(B29,#REF!,12,0)</f>
        <v>#REF!</v>
      </c>
      <c r="AI29" s="433" t="e">
        <f t="shared" si="4"/>
        <v>#REF!</v>
      </c>
      <c r="AJ29" s="434" t="e">
        <f>VLOOKUP(B29,#REF!,34,0)</f>
        <v>#REF!</v>
      </c>
      <c r="AK29" s="434" t="e">
        <f>VLOOKUP(B29,#REF!,35,0)</f>
        <v>#REF!</v>
      </c>
      <c r="AL29" s="434"/>
      <c r="AM29" s="435" t="e">
        <f>VLOOKUP(B29,'ky thuật'!$C$9:$M$56,11,0)</f>
        <v>#REF!</v>
      </c>
      <c r="AN29" s="442"/>
      <c r="AS29" s="544" t="str">
        <f>VLOOKUP(B29,'Mã số NV'!$B$6:$I$53,3,0)</f>
        <v>01889</v>
      </c>
      <c r="AT29" s="546">
        <f t="shared" si="5"/>
        <v>0</v>
      </c>
    </row>
    <row r="30" spans="1:46" s="437" customFormat="1" ht="22.5" customHeight="1">
      <c r="A30" s="438">
        <v>22</v>
      </c>
      <c r="B30" s="455" t="s">
        <v>320</v>
      </c>
      <c r="C30" s="540" t="s">
        <v>470</v>
      </c>
      <c r="D30" s="538" t="s">
        <v>471</v>
      </c>
      <c r="E30" s="440"/>
      <c r="F30" s="440"/>
      <c r="G30" s="440"/>
      <c r="H30" s="440"/>
      <c r="I30" s="440"/>
      <c r="J30" s="440"/>
      <c r="K30" s="440">
        <f t="shared" si="2"/>
        <v>0</v>
      </c>
      <c r="L30" s="440"/>
      <c r="M30" s="440"/>
      <c r="N30" s="440"/>
      <c r="O30" s="440"/>
      <c r="P30" s="440"/>
      <c r="Q30" s="440"/>
      <c r="R30" s="440"/>
      <c r="S30" s="440">
        <f t="shared" si="0"/>
        <v>0</v>
      </c>
      <c r="T30" s="440"/>
      <c r="U30" s="440"/>
      <c r="V30" s="440"/>
      <c r="W30" s="440"/>
      <c r="X30" s="430">
        <f t="shared" si="3"/>
        <v>0</v>
      </c>
      <c r="Y30" s="441">
        <v>4</v>
      </c>
      <c r="Z30" s="430"/>
      <c r="AA30" s="430"/>
      <c r="AB30" s="430">
        <v>1.33</v>
      </c>
      <c r="AC30" s="655"/>
      <c r="AD30" s="655"/>
      <c r="AE30" s="667"/>
      <c r="AF30" s="187">
        <f t="shared" si="1"/>
        <v>1.33</v>
      </c>
      <c r="AG30" s="432" t="e">
        <f>VLOOKUP(B30,#REF!,6,0)</f>
        <v>#REF!</v>
      </c>
      <c r="AH30" s="432" t="e">
        <f>VLOOKUP(B30,#REF!,12,0)</f>
        <v>#REF!</v>
      </c>
      <c r="AI30" s="433" t="e">
        <f t="shared" si="4"/>
        <v>#REF!</v>
      </c>
      <c r="AJ30" s="434" t="e">
        <f>VLOOKUP(B30,#REF!,34,0)</f>
        <v>#REF!</v>
      </c>
      <c r="AK30" s="434" t="e">
        <f>VLOOKUP(B30,#REF!,35,0)</f>
        <v>#REF!</v>
      </c>
      <c r="AL30" s="434"/>
      <c r="AM30" s="435" t="e">
        <f>VLOOKUP(B30,'ky thuật'!$C$9:$M$56,11,0)</f>
        <v>#REF!</v>
      </c>
      <c r="AN30" s="442"/>
      <c r="AO30" s="437">
        <v>6.6000000000000005</v>
      </c>
      <c r="AS30" s="544" t="str">
        <f>VLOOKUP(B30,'Mã số NV'!$B$6:$I$53,3,0)</f>
        <v>01890</v>
      </c>
      <c r="AT30" s="546">
        <f t="shared" si="5"/>
        <v>0</v>
      </c>
    </row>
    <row r="31" spans="1:46" s="437" customFormat="1" ht="22.5" customHeight="1">
      <c r="A31" s="438">
        <v>23</v>
      </c>
      <c r="B31" s="479" t="s">
        <v>583</v>
      </c>
      <c r="C31" s="539"/>
      <c r="D31" s="538"/>
      <c r="E31" s="440"/>
      <c r="F31" s="440"/>
      <c r="G31" s="440"/>
      <c r="H31" s="440"/>
      <c r="I31" s="440"/>
      <c r="J31" s="440"/>
      <c r="K31" s="440">
        <f t="shared" si="2"/>
        <v>0</v>
      </c>
      <c r="L31" s="440"/>
      <c r="M31" s="440"/>
      <c r="N31" s="440"/>
      <c r="O31" s="440"/>
      <c r="P31" s="440"/>
      <c r="Q31" s="440"/>
      <c r="R31" s="440"/>
      <c r="S31" s="440">
        <f t="shared" si="0"/>
        <v>0</v>
      </c>
      <c r="T31" s="440"/>
      <c r="U31" s="440"/>
      <c r="V31" s="440"/>
      <c r="W31" s="440"/>
      <c r="X31" s="430">
        <f t="shared" si="3"/>
        <v>0</v>
      </c>
      <c r="Y31" s="441">
        <v>4</v>
      </c>
      <c r="Z31" s="430"/>
      <c r="AA31" s="430"/>
      <c r="AB31" s="430">
        <v>1.33</v>
      </c>
      <c r="AC31" s="655"/>
      <c r="AD31" s="655"/>
      <c r="AE31" s="667"/>
      <c r="AF31" s="187">
        <f t="shared" si="1"/>
        <v>1.33</v>
      </c>
      <c r="AG31" s="432" t="e">
        <f>VLOOKUP(B31,#REF!,6,0)</f>
        <v>#REF!</v>
      </c>
      <c r="AH31" s="432" t="e">
        <f>VLOOKUP(B31,#REF!,12,0)</f>
        <v>#REF!</v>
      </c>
      <c r="AI31" s="433" t="e">
        <f t="shared" si="4"/>
        <v>#REF!</v>
      </c>
      <c r="AJ31" s="434" t="e">
        <f>VLOOKUP(B31,#REF!,34,0)</f>
        <v>#REF!</v>
      </c>
      <c r="AK31" s="434" t="e">
        <f>VLOOKUP(B31,#REF!,35,0)</f>
        <v>#REF!</v>
      </c>
      <c r="AL31" s="434"/>
      <c r="AM31" s="435" t="e">
        <f>VLOOKUP(B31,'ky thuật'!$C$9:$M$56,11,0)</f>
        <v>#REF!</v>
      </c>
      <c r="AN31" s="442"/>
      <c r="AS31" s="544">
        <f>VLOOKUP(B31,'Mã số NV'!$B$6:$I$53,3,0)</f>
        <v>0</v>
      </c>
      <c r="AT31" s="546">
        <f t="shared" si="5"/>
        <v>0</v>
      </c>
    </row>
    <row r="32" spans="1:46" s="437" customFormat="1" ht="22.5" customHeight="1">
      <c r="A32" s="438">
        <v>24</v>
      </c>
      <c r="B32" s="478" t="s">
        <v>408</v>
      </c>
      <c r="C32" s="536" t="s">
        <v>452</v>
      </c>
      <c r="D32" s="534" t="s">
        <v>453</v>
      </c>
      <c r="E32" s="440"/>
      <c r="F32" s="440"/>
      <c r="G32" s="440"/>
      <c r="H32" s="440"/>
      <c r="I32" s="440"/>
      <c r="J32" s="440"/>
      <c r="K32" s="440">
        <f t="shared" si="2"/>
        <v>0</v>
      </c>
      <c r="L32" s="440"/>
      <c r="M32" s="440"/>
      <c r="N32" s="440"/>
      <c r="O32" s="440"/>
      <c r="P32" s="440"/>
      <c r="Q32" s="440"/>
      <c r="R32" s="440"/>
      <c r="S32" s="440">
        <f t="shared" si="0"/>
        <v>0</v>
      </c>
      <c r="T32" s="440"/>
      <c r="U32" s="440"/>
      <c r="V32" s="440"/>
      <c r="W32" s="440"/>
      <c r="X32" s="430">
        <f t="shared" si="3"/>
        <v>0</v>
      </c>
      <c r="Y32" s="441">
        <v>4</v>
      </c>
      <c r="Z32" s="430"/>
      <c r="AA32" s="430"/>
      <c r="AB32" s="430">
        <v>1.33</v>
      </c>
      <c r="AC32" s="655"/>
      <c r="AD32" s="655"/>
      <c r="AE32" s="667"/>
      <c r="AF32" s="187">
        <f t="shared" si="1"/>
        <v>1.33</v>
      </c>
      <c r="AG32" s="432" t="e">
        <f>VLOOKUP(B32,#REF!,6,0)</f>
        <v>#REF!</v>
      </c>
      <c r="AH32" s="432" t="e">
        <f>VLOOKUP(B32,#REF!,12,0)</f>
        <v>#REF!</v>
      </c>
      <c r="AI32" s="433" t="e">
        <f t="shared" si="4"/>
        <v>#REF!</v>
      </c>
      <c r="AJ32" s="434" t="e">
        <f>VLOOKUP(B32,#REF!,34,0)</f>
        <v>#REF!</v>
      </c>
      <c r="AK32" s="434" t="e">
        <f>VLOOKUP(B32,#REF!,35,0)</f>
        <v>#REF!</v>
      </c>
      <c r="AL32" s="434"/>
      <c r="AM32" s="435" t="e">
        <f>VLOOKUP(B32,'ky thuật'!$C$9:$M$56,11,0)</f>
        <v>#REF!</v>
      </c>
      <c r="AN32" s="442"/>
      <c r="AS32" s="544" t="str">
        <f>VLOOKUP(B32,'Mã số NV'!$B$6:$I$53,3,0)</f>
        <v>01901</v>
      </c>
      <c r="AT32" s="546">
        <f t="shared" si="5"/>
        <v>0</v>
      </c>
    </row>
    <row r="33" spans="1:46" s="437" customFormat="1" ht="22.5" customHeight="1">
      <c r="A33" s="438">
        <v>25</v>
      </c>
      <c r="B33" s="477" t="s">
        <v>409</v>
      </c>
      <c r="C33" s="536" t="s">
        <v>442</v>
      </c>
      <c r="D33" s="534" t="s">
        <v>443</v>
      </c>
      <c r="E33" s="440"/>
      <c r="F33" s="440"/>
      <c r="G33" s="440"/>
      <c r="H33" s="440"/>
      <c r="I33" s="440"/>
      <c r="J33" s="440"/>
      <c r="K33" s="440">
        <f t="shared" si="2"/>
        <v>0</v>
      </c>
      <c r="L33" s="440"/>
      <c r="M33" s="440"/>
      <c r="N33" s="440"/>
      <c r="O33" s="440"/>
      <c r="P33" s="440"/>
      <c r="Q33" s="440"/>
      <c r="R33" s="440"/>
      <c r="S33" s="440">
        <f t="shared" si="0"/>
        <v>0</v>
      </c>
      <c r="T33" s="440"/>
      <c r="U33" s="440"/>
      <c r="V33" s="440"/>
      <c r="W33" s="440"/>
      <c r="X33" s="430">
        <f t="shared" si="3"/>
        <v>0</v>
      </c>
      <c r="Y33" s="441">
        <v>4</v>
      </c>
      <c r="Z33" s="430"/>
      <c r="AA33" s="430"/>
      <c r="AB33" s="430">
        <v>1.33</v>
      </c>
      <c r="AC33" s="655"/>
      <c r="AD33" s="655"/>
      <c r="AE33" s="667"/>
      <c r="AF33" s="187">
        <f t="shared" si="1"/>
        <v>1.33</v>
      </c>
      <c r="AG33" s="432" t="e">
        <f>VLOOKUP(B33,#REF!,6,0)</f>
        <v>#REF!</v>
      </c>
      <c r="AH33" s="432" t="e">
        <f>VLOOKUP(B33,#REF!,12,0)</f>
        <v>#REF!</v>
      </c>
      <c r="AI33" s="433" t="e">
        <f t="shared" si="4"/>
        <v>#REF!</v>
      </c>
      <c r="AJ33" s="434" t="e">
        <f>VLOOKUP(B33,#REF!,34,0)</f>
        <v>#REF!</v>
      </c>
      <c r="AK33" s="434" t="e">
        <f>VLOOKUP(B33,#REF!,35,0)</f>
        <v>#REF!</v>
      </c>
      <c r="AL33" s="434"/>
      <c r="AM33" s="435" t="e">
        <f>VLOOKUP(B33,'ky thuật'!$C$9:$M$56,11,0)</f>
        <v>#REF!</v>
      </c>
      <c r="AN33" s="442"/>
      <c r="AO33" s="437">
        <v>6.6000000000000005</v>
      </c>
      <c r="AS33" s="544" t="str">
        <f>VLOOKUP(B33,'Mã số NV'!$B$6:$I$53,3,0)</f>
        <v>01896</v>
      </c>
      <c r="AT33" s="546">
        <f t="shared" si="5"/>
        <v>0</v>
      </c>
    </row>
    <row r="34" spans="1:46" s="437" customFormat="1" ht="22.5" customHeight="1">
      <c r="A34" s="438">
        <v>26</v>
      </c>
      <c r="B34" s="477" t="s">
        <v>274</v>
      </c>
      <c r="C34" s="536" t="s">
        <v>444</v>
      </c>
      <c r="D34" s="534" t="s">
        <v>445</v>
      </c>
      <c r="E34" s="440"/>
      <c r="F34" s="440"/>
      <c r="G34" s="440"/>
      <c r="H34" s="440"/>
      <c r="I34" s="440"/>
      <c r="J34" s="440"/>
      <c r="K34" s="440">
        <f t="shared" si="2"/>
        <v>0</v>
      </c>
      <c r="L34" s="440"/>
      <c r="M34" s="440"/>
      <c r="N34" s="440"/>
      <c r="O34" s="440"/>
      <c r="P34" s="440"/>
      <c r="Q34" s="440"/>
      <c r="R34" s="440"/>
      <c r="S34" s="440">
        <f t="shared" si="0"/>
        <v>0</v>
      </c>
      <c r="T34" s="440"/>
      <c r="U34" s="440"/>
      <c r="V34" s="440"/>
      <c r="W34" s="440"/>
      <c r="X34" s="430">
        <f t="shared" si="3"/>
        <v>0</v>
      </c>
      <c r="Y34" s="441">
        <v>4</v>
      </c>
      <c r="Z34" s="430"/>
      <c r="AA34" s="430"/>
      <c r="AB34" s="430">
        <v>1.33</v>
      </c>
      <c r="AC34" s="655"/>
      <c r="AD34" s="655"/>
      <c r="AE34" s="667"/>
      <c r="AF34" s="187">
        <f>SUM(Z34:AE34)</f>
        <v>1.33</v>
      </c>
      <c r="AG34" s="432" t="e">
        <f>VLOOKUP(B34,#REF!,6,0)</f>
        <v>#REF!</v>
      </c>
      <c r="AH34" s="432" t="e">
        <f>VLOOKUP(B34,#REF!,12,0)</f>
        <v>#REF!</v>
      </c>
      <c r="AI34" s="433" t="e">
        <f t="shared" si="4"/>
        <v>#REF!</v>
      </c>
      <c r="AJ34" s="434" t="e">
        <f>VLOOKUP(B34,#REF!,34,0)</f>
        <v>#REF!</v>
      </c>
      <c r="AK34" s="434" t="e">
        <f>VLOOKUP(B34,#REF!,35,0)</f>
        <v>#REF!</v>
      </c>
      <c r="AL34" s="434"/>
      <c r="AM34" s="435" t="e">
        <f>VLOOKUP(B34,'ky thuật'!$C$9:$M$56,11,0)</f>
        <v>#REF!</v>
      </c>
      <c r="AN34" s="442"/>
      <c r="AO34" s="437">
        <v>4.4000000000000004</v>
      </c>
      <c r="AS34" s="544" t="str">
        <f>VLOOKUP(B34,'Mã số NV'!$B$6:$I$53,3,0)</f>
        <v>01897</v>
      </c>
      <c r="AT34" s="546">
        <f t="shared" si="5"/>
        <v>0</v>
      </c>
    </row>
    <row r="35" spans="1:46" s="437" customFormat="1" ht="22.5" customHeight="1">
      <c r="A35" s="438">
        <v>27</v>
      </c>
      <c r="B35" s="477" t="s">
        <v>410</v>
      </c>
      <c r="C35" s="536" t="s">
        <v>446</v>
      </c>
      <c r="D35" s="534" t="s">
        <v>447</v>
      </c>
      <c r="E35" s="440"/>
      <c r="F35" s="440"/>
      <c r="G35" s="440"/>
      <c r="H35" s="440"/>
      <c r="I35" s="440"/>
      <c r="J35" s="440"/>
      <c r="K35" s="440">
        <f t="shared" si="2"/>
        <v>0</v>
      </c>
      <c r="L35" s="440"/>
      <c r="M35" s="440"/>
      <c r="N35" s="440"/>
      <c r="O35" s="440"/>
      <c r="P35" s="440"/>
      <c r="Q35" s="440"/>
      <c r="R35" s="440"/>
      <c r="S35" s="440">
        <f t="shared" si="0"/>
        <v>0</v>
      </c>
      <c r="T35" s="440"/>
      <c r="U35" s="440"/>
      <c r="V35" s="440"/>
      <c r="W35" s="440"/>
      <c r="X35" s="430">
        <f t="shared" si="3"/>
        <v>0</v>
      </c>
      <c r="Y35" s="441">
        <v>4</v>
      </c>
      <c r="Z35" s="430"/>
      <c r="AA35" s="430"/>
      <c r="AB35" s="430">
        <v>1.33</v>
      </c>
      <c r="AC35" s="655"/>
      <c r="AD35" s="655"/>
      <c r="AE35" s="667"/>
      <c r="AF35" s="187">
        <f t="shared" si="1"/>
        <v>1.33</v>
      </c>
      <c r="AG35" s="432" t="e">
        <f>VLOOKUP(B35,#REF!,6,0)</f>
        <v>#REF!</v>
      </c>
      <c r="AH35" s="432" t="e">
        <f>VLOOKUP(B35,#REF!,12,0)</f>
        <v>#REF!</v>
      </c>
      <c r="AI35" s="433" t="e">
        <f t="shared" si="4"/>
        <v>#REF!</v>
      </c>
      <c r="AJ35" s="434" t="e">
        <f>VLOOKUP(B35,#REF!,34,0)</f>
        <v>#REF!</v>
      </c>
      <c r="AK35" s="434" t="e">
        <f>VLOOKUP(B35,#REF!,35,0)</f>
        <v>#REF!</v>
      </c>
      <c r="AL35" s="434"/>
      <c r="AM35" s="435" t="e">
        <f>VLOOKUP(B35,'ky thuật'!$C$9:$M$56,11,0)</f>
        <v>#REF!</v>
      </c>
      <c r="AN35" s="442"/>
      <c r="AO35" s="437">
        <v>8.8000000000000007</v>
      </c>
      <c r="AS35" s="544" t="str">
        <f>VLOOKUP(B35,'Mã số NV'!$B$6:$I$53,3,0)</f>
        <v>01898</v>
      </c>
      <c r="AT35" s="546">
        <f t="shared" si="5"/>
        <v>0</v>
      </c>
    </row>
    <row r="36" spans="1:46" s="437" customFormat="1" ht="22.5" customHeight="1">
      <c r="A36" s="438">
        <v>28</v>
      </c>
      <c r="B36" s="477" t="s">
        <v>529</v>
      </c>
      <c r="C36" s="540" t="s">
        <v>475</v>
      </c>
      <c r="D36" s="541" t="s">
        <v>476</v>
      </c>
      <c r="E36" s="440"/>
      <c r="F36" s="440"/>
      <c r="G36" s="440"/>
      <c r="H36" s="440"/>
      <c r="I36" s="440"/>
      <c r="J36" s="440"/>
      <c r="K36" s="440">
        <f t="shared" si="2"/>
        <v>0</v>
      </c>
      <c r="L36" s="440"/>
      <c r="M36" s="440"/>
      <c r="N36" s="440"/>
      <c r="O36" s="440"/>
      <c r="P36" s="440"/>
      <c r="Q36" s="440"/>
      <c r="R36" s="440"/>
      <c r="S36" s="440">
        <f t="shared" si="0"/>
        <v>0</v>
      </c>
      <c r="T36" s="440"/>
      <c r="U36" s="440"/>
      <c r="V36" s="440"/>
      <c r="W36" s="440"/>
      <c r="X36" s="430">
        <f t="shared" si="3"/>
        <v>0</v>
      </c>
      <c r="Y36" s="441">
        <v>4</v>
      </c>
      <c r="Z36" s="430"/>
      <c r="AA36" s="430"/>
      <c r="AB36" s="430">
        <v>1.33</v>
      </c>
      <c r="AC36" s="655"/>
      <c r="AD36" s="655"/>
      <c r="AE36" s="667"/>
      <c r="AF36" s="187">
        <f t="shared" si="1"/>
        <v>1.33</v>
      </c>
      <c r="AG36" s="432" t="e">
        <f>VLOOKUP(B36,#REF!,6,0)</f>
        <v>#REF!</v>
      </c>
      <c r="AH36" s="432" t="e">
        <f>VLOOKUP(B36,#REF!,12,0)</f>
        <v>#REF!</v>
      </c>
      <c r="AI36" s="433" t="e">
        <f t="shared" si="4"/>
        <v>#REF!</v>
      </c>
      <c r="AJ36" s="434" t="e">
        <f>VLOOKUP(B36,#REF!,34,0)</f>
        <v>#REF!</v>
      </c>
      <c r="AK36" s="434" t="e">
        <f>VLOOKUP(B36,#REF!,35,0)</f>
        <v>#REF!</v>
      </c>
      <c r="AL36" s="434"/>
      <c r="AM36" s="435" t="str">
        <f>VLOOKUP(B36,'ky thuật'!$C$9:$M$56,11,0)</f>
        <v>A</v>
      </c>
      <c r="AN36" s="442"/>
      <c r="AO36" s="437">
        <v>8.8000000000000007</v>
      </c>
      <c r="AS36" s="544" t="str">
        <f>VLOOKUP(B36,'Mã số NV'!$B$6:$I$53,3,0)</f>
        <v>01903</v>
      </c>
      <c r="AT36" s="546">
        <f t="shared" si="5"/>
        <v>0</v>
      </c>
    </row>
    <row r="37" spans="1:46" s="437" customFormat="1" ht="22.5" customHeight="1">
      <c r="A37" s="438">
        <v>29</v>
      </c>
      <c r="B37" s="477" t="s">
        <v>526</v>
      </c>
      <c r="C37" s="536" t="s">
        <v>440</v>
      </c>
      <c r="D37" s="534" t="s">
        <v>441</v>
      </c>
      <c r="E37" s="440"/>
      <c r="F37" s="440"/>
      <c r="G37" s="440"/>
      <c r="H37" s="440"/>
      <c r="I37" s="440"/>
      <c r="J37" s="440"/>
      <c r="K37" s="440">
        <f t="shared" si="2"/>
        <v>0</v>
      </c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30">
        <f t="shared" si="3"/>
        <v>0</v>
      </c>
      <c r="Y37" s="441"/>
      <c r="Z37" s="430"/>
      <c r="AA37" s="430"/>
      <c r="AB37" s="430">
        <v>1.33</v>
      </c>
      <c r="AC37" s="655"/>
      <c r="AD37" s="655"/>
      <c r="AE37" s="668"/>
      <c r="AF37" s="187">
        <f t="shared" si="1"/>
        <v>1.33</v>
      </c>
      <c r="AG37" s="432" t="e">
        <f>VLOOKUP(B37,#REF!,6,0)</f>
        <v>#REF!</v>
      </c>
      <c r="AH37" s="432" t="e">
        <f>VLOOKUP(B37,#REF!,12,0)</f>
        <v>#REF!</v>
      </c>
      <c r="AI37" s="433" t="e">
        <f t="shared" si="4"/>
        <v>#REF!</v>
      </c>
      <c r="AJ37" s="434" t="e">
        <f>VLOOKUP(B37,#REF!,34,0)</f>
        <v>#REF!</v>
      </c>
      <c r="AK37" s="434" t="e">
        <f>VLOOKUP(B37,#REF!,35,0)</f>
        <v>#REF!</v>
      </c>
      <c r="AL37" s="434"/>
      <c r="AM37" s="435" t="e">
        <f>VLOOKUP(B37,'ky thuật'!$C$9:$M$56,11,0)</f>
        <v>#REF!</v>
      </c>
      <c r="AN37" s="442"/>
      <c r="AO37" s="437">
        <v>12</v>
      </c>
      <c r="AS37" s="544" t="str">
        <f>VLOOKUP(B37,'Mã số NV'!$B$6:$I$53,3,0)</f>
        <v>01895</v>
      </c>
      <c r="AT37" s="546">
        <f t="shared" si="5"/>
        <v>0</v>
      </c>
    </row>
    <row r="38" spans="1:46" s="437" customFormat="1" ht="22.5" customHeight="1">
      <c r="A38" s="438">
        <v>30</v>
      </c>
      <c r="B38" s="477" t="s">
        <v>411</v>
      </c>
      <c r="C38" s="536" t="s">
        <v>456</v>
      </c>
      <c r="D38" s="537" t="s">
        <v>457</v>
      </c>
      <c r="E38" s="440"/>
      <c r="F38" s="440"/>
      <c r="G38" s="440"/>
      <c r="H38" s="440"/>
      <c r="I38" s="440"/>
      <c r="J38" s="440"/>
      <c r="K38" s="440">
        <f t="shared" si="2"/>
        <v>0</v>
      </c>
      <c r="L38" s="440"/>
      <c r="M38" s="440"/>
      <c r="N38" s="440"/>
      <c r="O38" s="440"/>
      <c r="P38" s="440"/>
      <c r="Q38" s="440"/>
      <c r="R38" s="440"/>
      <c r="S38" s="440">
        <f t="shared" si="0"/>
        <v>0</v>
      </c>
      <c r="T38" s="440"/>
      <c r="U38" s="440"/>
      <c r="V38" s="440"/>
      <c r="W38" s="440"/>
      <c r="X38" s="430">
        <f t="shared" si="3"/>
        <v>0</v>
      </c>
      <c r="Y38" s="441">
        <v>4</v>
      </c>
      <c r="Z38" s="430"/>
      <c r="AA38" s="430"/>
      <c r="AB38" s="430">
        <v>1.33</v>
      </c>
      <c r="AC38" s="655"/>
      <c r="AD38" s="655"/>
      <c r="AE38" s="668"/>
      <c r="AF38" s="187">
        <f t="shared" si="1"/>
        <v>1.33</v>
      </c>
      <c r="AG38" s="432" t="e">
        <f>VLOOKUP(B38,#REF!,6,0)</f>
        <v>#REF!</v>
      </c>
      <c r="AH38" s="432" t="e">
        <f>VLOOKUP(B38,#REF!,12,0)</f>
        <v>#REF!</v>
      </c>
      <c r="AI38" s="433" t="e">
        <f t="shared" si="4"/>
        <v>#REF!</v>
      </c>
      <c r="AJ38" s="434" t="e">
        <f>VLOOKUP(B38,#REF!,34,0)</f>
        <v>#REF!</v>
      </c>
      <c r="AK38" s="434" t="e">
        <f>VLOOKUP(B38,#REF!,35,0)</f>
        <v>#REF!</v>
      </c>
      <c r="AL38" s="434"/>
      <c r="AM38" s="435" t="e">
        <f>VLOOKUP(B38,'ky thuật'!$C$9:$M$56,11,0)</f>
        <v>#REF!</v>
      </c>
      <c r="AN38" s="442"/>
      <c r="AS38" s="544" t="str">
        <f>VLOOKUP(B38,'Mã số NV'!$B$6:$I$53,3,0)</f>
        <v>01902</v>
      </c>
      <c r="AT38" s="546">
        <f t="shared" si="5"/>
        <v>0</v>
      </c>
    </row>
    <row r="39" spans="1:46" s="437" customFormat="1" ht="22.5" customHeight="1">
      <c r="A39" s="438">
        <v>31</v>
      </c>
      <c r="B39" s="477" t="s">
        <v>412</v>
      </c>
      <c r="C39" s="536" t="s">
        <v>450</v>
      </c>
      <c r="D39" s="534" t="s">
        <v>451</v>
      </c>
      <c r="E39" s="440"/>
      <c r="F39" s="440"/>
      <c r="G39" s="440"/>
      <c r="H39" s="440"/>
      <c r="I39" s="440"/>
      <c r="J39" s="440"/>
      <c r="K39" s="440">
        <f t="shared" si="2"/>
        <v>0</v>
      </c>
      <c r="L39" s="440"/>
      <c r="M39" s="440"/>
      <c r="N39" s="440"/>
      <c r="O39" s="440"/>
      <c r="P39" s="440"/>
      <c r="Q39" s="440"/>
      <c r="R39" s="440"/>
      <c r="S39" s="440">
        <f t="shared" si="0"/>
        <v>0</v>
      </c>
      <c r="T39" s="440"/>
      <c r="U39" s="440"/>
      <c r="V39" s="440"/>
      <c r="W39" s="440"/>
      <c r="X39" s="430">
        <f t="shared" si="3"/>
        <v>0</v>
      </c>
      <c r="Y39" s="441"/>
      <c r="Z39" s="430"/>
      <c r="AA39" s="430"/>
      <c r="AB39" s="430">
        <v>1.33</v>
      </c>
      <c r="AC39" s="655"/>
      <c r="AD39" s="655"/>
      <c r="AE39" s="668"/>
      <c r="AF39" s="187">
        <f t="shared" si="1"/>
        <v>1.33</v>
      </c>
      <c r="AG39" s="432" t="e">
        <f>VLOOKUP(B39,#REF!,6,0)</f>
        <v>#REF!</v>
      </c>
      <c r="AH39" s="432" t="e">
        <f>VLOOKUP(B39,#REF!,12,0)</f>
        <v>#REF!</v>
      </c>
      <c r="AI39" s="433" t="e">
        <f t="shared" si="4"/>
        <v>#REF!</v>
      </c>
      <c r="AJ39" s="434" t="e">
        <f>VLOOKUP(B39,#REF!,34,0)</f>
        <v>#REF!</v>
      </c>
      <c r="AK39" s="434" t="e">
        <f>VLOOKUP(B39,#REF!,35,0)</f>
        <v>#REF!</v>
      </c>
      <c r="AL39" s="434"/>
      <c r="AM39" s="435" t="e">
        <f>VLOOKUP(B39,'ky thuật'!$C$9:$M$56,11,0)</f>
        <v>#REF!</v>
      </c>
      <c r="AN39" s="442"/>
      <c r="AS39" s="544" t="str">
        <f>VLOOKUP(B39,'Mã số NV'!$B$6:$I$53,3,0)</f>
        <v>01900</v>
      </c>
      <c r="AT39" s="546">
        <f t="shared" si="5"/>
        <v>0</v>
      </c>
    </row>
    <row r="40" spans="1:46" s="437" customFormat="1" ht="22.5" customHeight="1">
      <c r="A40" s="438">
        <v>32</v>
      </c>
      <c r="B40" s="477" t="s">
        <v>413</v>
      </c>
      <c r="C40" s="540" t="s">
        <v>477</v>
      </c>
      <c r="D40" s="541" t="s">
        <v>478</v>
      </c>
      <c r="E40" s="440"/>
      <c r="F40" s="440"/>
      <c r="G40" s="440"/>
      <c r="H40" s="440"/>
      <c r="I40" s="440"/>
      <c r="J40" s="440"/>
      <c r="K40" s="440">
        <f t="shared" si="2"/>
        <v>0</v>
      </c>
      <c r="L40" s="440"/>
      <c r="M40" s="440"/>
      <c r="N40" s="440"/>
      <c r="O40" s="440"/>
      <c r="P40" s="440"/>
      <c r="Q40" s="440"/>
      <c r="R40" s="440"/>
      <c r="S40" s="440">
        <f t="shared" si="0"/>
        <v>0</v>
      </c>
      <c r="T40" s="440"/>
      <c r="U40" s="440"/>
      <c r="V40" s="440"/>
      <c r="W40" s="440"/>
      <c r="X40" s="430">
        <f t="shared" si="3"/>
        <v>0</v>
      </c>
      <c r="Y40" s="441"/>
      <c r="Z40" s="430"/>
      <c r="AA40" s="430"/>
      <c r="AB40" s="430">
        <v>1.33</v>
      </c>
      <c r="AC40" s="655"/>
      <c r="AD40" s="655"/>
      <c r="AE40" s="668"/>
      <c r="AF40" s="187">
        <f>SUM(Z40:AE40)</f>
        <v>1.33</v>
      </c>
      <c r="AG40" s="432" t="e">
        <f>VLOOKUP(B40,#REF!,6,0)</f>
        <v>#REF!</v>
      </c>
      <c r="AH40" s="432" t="e">
        <f>VLOOKUP(B40,#REF!,12,0)</f>
        <v>#REF!</v>
      </c>
      <c r="AI40" s="433" t="e">
        <f t="shared" si="4"/>
        <v>#REF!</v>
      </c>
      <c r="AJ40" s="434" t="e">
        <f>VLOOKUP(B40,#REF!,34,0)</f>
        <v>#REF!</v>
      </c>
      <c r="AK40" s="434" t="e">
        <f>VLOOKUP(B40,#REF!,35,0)</f>
        <v>#REF!</v>
      </c>
      <c r="AL40" s="434"/>
      <c r="AM40" s="435" t="e">
        <f>VLOOKUP(B40,'ky thuật'!$C$9:$M$56,11,0)</f>
        <v>#REF!</v>
      </c>
      <c r="AN40" s="442"/>
      <c r="AS40" s="544" t="str">
        <f>VLOOKUP(B40,'Mã số NV'!$B$6:$I$53,3,0)</f>
        <v>01904</v>
      </c>
      <c r="AT40" s="546">
        <f t="shared" si="5"/>
        <v>0</v>
      </c>
    </row>
    <row r="41" spans="1:46" s="437" customFormat="1" ht="22.5" customHeight="1">
      <c r="A41" s="438">
        <v>33</v>
      </c>
      <c r="B41" s="477" t="s">
        <v>414</v>
      </c>
      <c r="C41" s="540" t="s">
        <v>479</v>
      </c>
      <c r="D41" s="541" t="s">
        <v>480</v>
      </c>
      <c r="E41" s="440"/>
      <c r="F41" s="440"/>
      <c r="G41" s="440"/>
      <c r="H41" s="440"/>
      <c r="I41" s="440"/>
      <c r="J41" s="440"/>
      <c r="K41" s="440">
        <f t="shared" si="2"/>
        <v>0</v>
      </c>
      <c r="L41" s="440"/>
      <c r="M41" s="440"/>
      <c r="N41" s="440"/>
      <c r="O41" s="440"/>
      <c r="P41" s="440"/>
      <c r="Q41" s="440"/>
      <c r="R41" s="440"/>
      <c r="S41" s="440">
        <f t="shared" si="0"/>
        <v>0</v>
      </c>
      <c r="T41" s="440"/>
      <c r="U41" s="440"/>
      <c r="V41" s="440"/>
      <c r="W41" s="440"/>
      <c r="X41" s="430">
        <f t="shared" si="3"/>
        <v>0</v>
      </c>
      <c r="Y41" s="441"/>
      <c r="Z41" s="430"/>
      <c r="AA41" s="430"/>
      <c r="AB41" s="430">
        <v>1.33</v>
      </c>
      <c r="AC41" s="655"/>
      <c r="AD41" s="655"/>
      <c r="AE41" s="656"/>
      <c r="AF41" s="187">
        <f t="shared" ref="AF41:AF59" si="6">SUM(Z41:AE41)</f>
        <v>1.33</v>
      </c>
      <c r="AG41" s="432" t="e">
        <f>VLOOKUP(B41,#REF!,6,0)</f>
        <v>#REF!</v>
      </c>
      <c r="AH41" s="432" t="e">
        <f>VLOOKUP(B41,#REF!,12,0)</f>
        <v>#REF!</v>
      </c>
      <c r="AI41" s="433" t="e">
        <f t="shared" si="4"/>
        <v>#REF!</v>
      </c>
      <c r="AJ41" s="434" t="e">
        <f>VLOOKUP(B41,#REF!,34,0)</f>
        <v>#REF!</v>
      </c>
      <c r="AK41" s="434" t="e">
        <f>VLOOKUP(B41,#REF!,35,0)</f>
        <v>#REF!</v>
      </c>
      <c r="AL41" s="434"/>
      <c r="AM41" s="435" t="e">
        <f>VLOOKUP(B41,'ky thuật'!$C$9:$M$56,11,0)</f>
        <v>#REF!</v>
      </c>
      <c r="AN41" s="442"/>
      <c r="AS41" s="544" t="str">
        <f>VLOOKUP(B41,'Mã số NV'!$B$6:$I$53,3,0)</f>
        <v>01905</v>
      </c>
      <c r="AT41" s="546">
        <f t="shared" si="5"/>
        <v>0</v>
      </c>
    </row>
    <row r="42" spans="1:46" s="437" customFormat="1" ht="22.5" customHeight="1">
      <c r="A42" s="438">
        <v>34</v>
      </c>
      <c r="B42" s="628" t="s">
        <v>415</v>
      </c>
      <c r="C42" s="536" t="s">
        <v>448</v>
      </c>
      <c r="D42" s="534" t="s">
        <v>449</v>
      </c>
      <c r="E42" s="440"/>
      <c r="F42" s="440"/>
      <c r="G42" s="440"/>
      <c r="H42" s="440"/>
      <c r="I42" s="440"/>
      <c r="J42" s="440"/>
      <c r="K42" s="440">
        <f t="shared" si="2"/>
        <v>0</v>
      </c>
      <c r="L42" s="440"/>
      <c r="M42" s="440"/>
      <c r="N42" s="440"/>
      <c r="O42" s="440"/>
      <c r="P42" s="440"/>
      <c r="Q42" s="440"/>
      <c r="R42" s="440"/>
      <c r="S42" s="440">
        <f t="shared" si="0"/>
        <v>0</v>
      </c>
      <c r="T42" s="440"/>
      <c r="U42" s="440"/>
      <c r="V42" s="440"/>
      <c r="W42" s="440"/>
      <c r="X42" s="430">
        <f t="shared" si="3"/>
        <v>0</v>
      </c>
      <c r="Y42" s="441"/>
      <c r="Z42" s="430"/>
      <c r="AA42" s="430"/>
      <c r="AB42" s="430">
        <v>1.33</v>
      </c>
      <c r="AC42" s="655"/>
      <c r="AD42" s="655"/>
      <c r="AE42" s="656"/>
      <c r="AF42" s="187">
        <f t="shared" si="6"/>
        <v>1.33</v>
      </c>
      <c r="AG42" s="432" t="e">
        <f>VLOOKUP(B42,#REF!,6,0)</f>
        <v>#REF!</v>
      </c>
      <c r="AH42" s="432" t="e">
        <f>VLOOKUP(B42,#REF!,12,0)</f>
        <v>#REF!</v>
      </c>
      <c r="AI42" s="433" t="e">
        <f t="shared" si="4"/>
        <v>#REF!</v>
      </c>
      <c r="AJ42" s="434" t="e">
        <f>VLOOKUP(B42,#REF!,34,0)</f>
        <v>#REF!</v>
      </c>
      <c r="AK42" s="434" t="e">
        <f>VLOOKUP(B42,#REF!,35,0)</f>
        <v>#REF!</v>
      </c>
      <c r="AL42" s="434"/>
      <c r="AM42" s="435" t="e">
        <f>VLOOKUP(B42,'ky thuật'!$C$9:$M$56,11,0)</f>
        <v>#REF!</v>
      </c>
      <c r="AN42" s="442"/>
      <c r="AS42" s="544" t="str">
        <f>VLOOKUP(B42,'Mã số NV'!$B$6:$I$53,3,0)</f>
        <v>01899</v>
      </c>
      <c r="AT42" s="546">
        <f t="shared" si="5"/>
        <v>0</v>
      </c>
    </row>
    <row r="43" spans="1:46" s="437" customFormat="1" ht="22.5" customHeight="1">
      <c r="A43" s="438">
        <v>35</v>
      </c>
      <c r="B43" s="477" t="s">
        <v>416</v>
      </c>
      <c r="C43" s="535" t="s">
        <v>438</v>
      </c>
      <c r="D43" s="534" t="s">
        <v>439</v>
      </c>
      <c r="E43" s="440"/>
      <c r="F43" s="440"/>
      <c r="G43" s="440"/>
      <c r="H43" s="440"/>
      <c r="I43" s="440"/>
      <c r="J43" s="440"/>
      <c r="K43" s="440">
        <f t="shared" si="2"/>
        <v>0</v>
      </c>
      <c r="L43" s="440"/>
      <c r="M43" s="440"/>
      <c r="N43" s="440"/>
      <c r="O43" s="440"/>
      <c r="P43" s="440"/>
      <c r="Q43" s="440"/>
      <c r="R43" s="440"/>
      <c r="S43" s="440">
        <f t="shared" si="0"/>
        <v>0</v>
      </c>
      <c r="T43" s="440"/>
      <c r="U43" s="440"/>
      <c r="V43" s="440"/>
      <c r="W43" s="440"/>
      <c r="X43" s="430">
        <f t="shared" si="3"/>
        <v>0</v>
      </c>
      <c r="Y43" s="441"/>
      <c r="Z43" s="430"/>
      <c r="AA43" s="430"/>
      <c r="AB43" s="430">
        <v>1.33</v>
      </c>
      <c r="AC43" s="655"/>
      <c r="AD43" s="655"/>
      <c r="AE43" s="656"/>
      <c r="AF43" s="187">
        <f>SUM(Z43:AE43)</f>
        <v>1.33</v>
      </c>
      <c r="AG43" s="432" t="e">
        <f>VLOOKUP(B43,#REF!,6,0)</f>
        <v>#REF!</v>
      </c>
      <c r="AH43" s="432" t="e">
        <f>VLOOKUP(B43,#REF!,12,0)</f>
        <v>#REF!</v>
      </c>
      <c r="AI43" s="433" t="e">
        <f t="shared" si="4"/>
        <v>#REF!</v>
      </c>
      <c r="AJ43" s="434" t="e">
        <f>VLOOKUP(B43,#REF!,34,0)</f>
        <v>#REF!</v>
      </c>
      <c r="AK43" s="434" t="e">
        <f>VLOOKUP(B43,#REF!,35,0)</f>
        <v>#REF!</v>
      </c>
      <c r="AL43" s="434"/>
      <c r="AM43" s="435" t="str">
        <f>VLOOKUP(B43,'ky thuật'!$C$9:$M$56,11,0)</f>
        <v>A</v>
      </c>
      <c r="AN43" s="442"/>
      <c r="AS43" s="544" t="str">
        <f>VLOOKUP(B43,'Mã số NV'!$B$6:$I$53,3,0)</f>
        <v>01894</v>
      </c>
      <c r="AT43" s="546">
        <f t="shared" si="5"/>
        <v>0</v>
      </c>
    </row>
    <row r="44" spans="1:46" s="437" customFormat="1" ht="22.5" customHeight="1">
      <c r="A44" s="438">
        <v>36</v>
      </c>
      <c r="B44" s="383" t="s">
        <v>378</v>
      </c>
      <c r="C44" s="540" t="s">
        <v>482</v>
      </c>
      <c r="D44" s="541" t="s">
        <v>483</v>
      </c>
      <c r="E44" s="440"/>
      <c r="F44" s="440"/>
      <c r="G44" s="440"/>
      <c r="H44" s="440"/>
      <c r="I44" s="440"/>
      <c r="J44" s="440"/>
      <c r="K44" s="440">
        <f t="shared" si="2"/>
        <v>0</v>
      </c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30">
        <f t="shared" si="3"/>
        <v>0</v>
      </c>
      <c r="Y44" s="441"/>
      <c r="Z44" s="430"/>
      <c r="AA44" s="430"/>
      <c r="AB44" s="430">
        <v>1.33</v>
      </c>
      <c r="AC44" s="655"/>
      <c r="AD44" s="655"/>
      <c r="AE44" s="656"/>
      <c r="AF44" s="187">
        <f t="shared" si="6"/>
        <v>1.33</v>
      </c>
      <c r="AG44" s="432" t="e">
        <f>VLOOKUP(B44,#REF!,6,0)</f>
        <v>#REF!</v>
      </c>
      <c r="AH44" s="432" t="e">
        <f>VLOOKUP(B44,#REF!,12,0)</f>
        <v>#REF!</v>
      </c>
      <c r="AI44" s="433" t="e">
        <f t="shared" si="4"/>
        <v>#REF!</v>
      </c>
      <c r="AJ44" s="434" t="e">
        <f>VLOOKUP(B44,#REF!,34,0)</f>
        <v>#REF!</v>
      </c>
      <c r="AK44" s="434" t="e">
        <f>VLOOKUP(B44,#REF!,35,0)</f>
        <v>#REF!</v>
      </c>
      <c r="AL44" s="434"/>
      <c r="AM44" s="435" t="e">
        <f>VLOOKUP(B44,'ky thuật'!$C$9:$M$56,11,0)</f>
        <v>#REF!</v>
      </c>
      <c r="AN44" s="442"/>
      <c r="AS44" s="544" t="str">
        <f>VLOOKUP(B44,'Mã số NV'!$B$6:$I$53,3,0)</f>
        <v>01906</v>
      </c>
      <c r="AT44" s="546">
        <f t="shared" si="5"/>
        <v>0</v>
      </c>
    </row>
    <row r="45" spans="1:46" s="437" customFormat="1" ht="22.5" customHeight="1">
      <c r="A45" s="438">
        <v>37</v>
      </c>
      <c r="B45" s="383" t="s">
        <v>379</v>
      </c>
      <c r="C45" s="540" t="s">
        <v>484</v>
      </c>
      <c r="D45" s="541" t="s">
        <v>485</v>
      </c>
      <c r="E45" s="440"/>
      <c r="F45" s="440"/>
      <c r="G45" s="440"/>
      <c r="H45" s="440"/>
      <c r="I45" s="440"/>
      <c r="J45" s="440"/>
      <c r="K45" s="440">
        <f t="shared" si="2"/>
        <v>0</v>
      </c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30">
        <f t="shared" si="3"/>
        <v>0</v>
      </c>
      <c r="Y45" s="441"/>
      <c r="Z45" s="430"/>
      <c r="AA45" s="430"/>
      <c r="AB45" s="430">
        <v>1.33</v>
      </c>
      <c r="AC45" s="655"/>
      <c r="AD45" s="655"/>
      <c r="AE45" s="656"/>
      <c r="AF45" s="187">
        <f t="shared" si="6"/>
        <v>1.33</v>
      </c>
      <c r="AG45" s="432" t="e">
        <f>VLOOKUP(B45,#REF!,6,0)</f>
        <v>#REF!</v>
      </c>
      <c r="AH45" s="432" t="e">
        <f>VLOOKUP(B45,#REF!,12,0)</f>
        <v>#REF!</v>
      </c>
      <c r="AI45" s="433" t="e">
        <f t="shared" si="4"/>
        <v>#REF!</v>
      </c>
      <c r="AJ45" s="434" t="e">
        <f>VLOOKUP(B45,#REF!,34,0)</f>
        <v>#REF!</v>
      </c>
      <c r="AK45" s="434" t="e">
        <f>VLOOKUP(B45,#REF!,35,0)</f>
        <v>#REF!</v>
      </c>
      <c r="AL45" s="434"/>
      <c r="AM45" s="435" t="e">
        <f>VLOOKUP(B45,'ky thuật'!$C$9:$M$56,11,0)</f>
        <v>#REF!</v>
      </c>
      <c r="AN45" s="442"/>
      <c r="AS45" s="544" t="str">
        <f>VLOOKUP(B45,'Mã số NV'!$B$6:$I$53,3,0)</f>
        <v>01907</v>
      </c>
      <c r="AT45" s="546">
        <f t="shared" si="5"/>
        <v>0</v>
      </c>
    </row>
    <row r="46" spans="1:46" s="437" customFormat="1" ht="22.5" customHeight="1">
      <c r="A46" s="438">
        <v>38</v>
      </c>
      <c r="B46" s="383" t="s">
        <v>380</v>
      </c>
      <c r="C46" s="540" t="s">
        <v>486</v>
      </c>
      <c r="D46" s="541" t="s">
        <v>487</v>
      </c>
      <c r="E46" s="440"/>
      <c r="F46" s="440"/>
      <c r="G46" s="440"/>
      <c r="H46" s="440"/>
      <c r="I46" s="440"/>
      <c r="J46" s="440"/>
      <c r="K46" s="440">
        <f t="shared" si="2"/>
        <v>0</v>
      </c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30">
        <f t="shared" si="3"/>
        <v>0</v>
      </c>
      <c r="Y46" s="441"/>
      <c r="Z46" s="430"/>
      <c r="AA46" s="430"/>
      <c r="AB46" s="430">
        <v>1.33</v>
      </c>
      <c r="AC46" s="655"/>
      <c r="AD46" s="655"/>
      <c r="AE46" s="656"/>
      <c r="AF46" s="187">
        <f t="shared" si="6"/>
        <v>1.33</v>
      </c>
      <c r="AG46" s="432" t="e">
        <f>VLOOKUP(B46,#REF!,6,0)</f>
        <v>#REF!</v>
      </c>
      <c r="AH46" s="432" t="e">
        <f>VLOOKUP(B46,#REF!,12,0)</f>
        <v>#REF!</v>
      </c>
      <c r="AI46" s="433" t="e">
        <f t="shared" si="4"/>
        <v>#REF!</v>
      </c>
      <c r="AJ46" s="434" t="e">
        <f>VLOOKUP(B46,#REF!,34,0)</f>
        <v>#REF!</v>
      </c>
      <c r="AK46" s="434" t="e">
        <f>VLOOKUP(B46,#REF!,35,0)</f>
        <v>#REF!</v>
      </c>
      <c r="AL46" s="434"/>
      <c r="AM46" s="435" t="e">
        <f>VLOOKUP(B46,'ky thuật'!$C$9:$M$56,11,0)</f>
        <v>#REF!</v>
      </c>
      <c r="AN46" s="442"/>
      <c r="AS46" s="544" t="str">
        <f>VLOOKUP(B46,'Mã số NV'!$B$6:$I$53,3,0)</f>
        <v>01908</v>
      </c>
      <c r="AT46" s="546">
        <f t="shared" si="5"/>
        <v>0</v>
      </c>
    </row>
    <row r="47" spans="1:46" s="437" customFormat="1" ht="22.5" customHeight="1">
      <c r="A47" s="438">
        <v>39</v>
      </c>
      <c r="B47" s="363" t="s">
        <v>381</v>
      </c>
      <c r="C47" s="540" t="s">
        <v>488</v>
      </c>
      <c r="D47" s="541" t="s">
        <v>489</v>
      </c>
      <c r="E47" s="440"/>
      <c r="F47" s="440"/>
      <c r="G47" s="440"/>
      <c r="H47" s="440"/>
      <c r="I47" s="440"/>
      <c r="J47" s="440"/>
      <c r="K47" s="440">
        <f t="shared" si="2"/>
        <v>0</v>
      </c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30">
        <f t="shared" si="3"/>
        <v>0</v>
      </c>
      <c r="Y47" s="441"/>
      <c r="Z47" s="430"/>
      <c r="AA47" s="430"/>
      <c r="AB47" s="430">
        <v>1.33</v>
      </c>
      <c r="AC47" s="655"/>
      <c r="AD47" s="655"/>
      <c r="AE47" s="656"/>
      <c r="AF47" s="187">
        <f t="shared" si="6"/>
        <v>1.33</v>
      </c>
      <c r="AG47" s="432" t="e">
        <f>VLOOKUP(B47,#REF!,6,0)</f>
        <v>#REF!</v>
      </c>
      <c r="AH47" s="432" t="e">
        <f>VLOOKUP(B47,#REF!,12,0)</f>
        <v>#REF!</v>
      </c>
      <c r="AI47" s="433" t="e">
        <f t="shared" si="4"/>
        <v>#REF!</v>
      </c>
      <c r="AJ47" s="434" t="e">
        <f>VLOOKUP(B47,#REF!,34,0)</f>
        <v>#REF!</v>
      </c>
      <c r="AK47" s="434" t="e">
        <f>VLOOKUP(B47,#REF!,35,0)</f>
        <v>#REF!</v>
      </c>
      <c r="AL47" s="434"/>
      <c r="AM47" s="435" t="e">
        <f>VLOOKUP(B47,'ky thuật'!$C$9:$M$56,11,0)</f>
        <v>#REF!</v>
      </c>
      <c r="AN47" s="442"/>
      <c r="AS47" s="544" t="str">
        <f>VLOOKUP(B47,'Mã số NV'!$B$6:$I$53,3,0)</f>
        <v>01909</v>
      </c>
      <c r="AT47" s="546">
        <f t="shared" si="5"/>
        <v>0</v>
      </c>
    </row>
    <row r="48" spans="1:46" s="437" customFormat="1" ht="22.5" customHeight="1">
      <c r="A48" s="438">
        <v>40</v>
      </c>
      <c r="B48" s="363" t="s">
        <v>533</v>
      </c>
      <c r="C48" s="540" t="s">
        <v>490</v>
      </c>
      <c r="D48" s="541" t="s">
        <v>491</v>
      </c>
      <c r="E48" s="440"/>
      <c r="F48" s="440"/>
      <c r="G48" s="440"/>
      <c r="H48" s="440"/>
      <c r="I48" s="440"/>
      <c r="J48" s="440"/>
      <c r="K48" s="440">
        <f t="shared" si="2"/>
        <v>0</v>
      </c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30">
        <f t="shared" si="3"/>
        <v>0</v>
      </c>
      <c r="Y48" s="441"/>
      <c r="Z48" s="430"/>
      <c r="AA48" s="430"/>
      <c r="AB48" s="430">
        <v>1.33</v>
      </c>
      <c r="AC48" s="655"/>
      <c r="AD48" s="655"/>
      <c r="AE48" s="656"/>
      <c r="AF48" s="187">
        <f t="shared" si="6"/>
        <v>1.33</v>
      </c>
      <c r="AG48" s="432" t="e">
        <f>VLOOKUP(B48,#REF!,6,0)</f>
        <v>#REF!</v>
      </c>
      <c r="AH48" s="432" t="e">
        <f>VLOOKUP(B48,#REF!,12,0)</f>
        <v>#REF!</v>
      </c>
      <c r="AI48" s="433" t="e">
        <f t="shared" si="4"/>
        <v>#REF!</v>
      </c>
      <c r="AJ48" s="434" t="e">
        <f>VLOOKUP(B48,#REF!,34,0)</f>
        <v>#REF!</v>
      </c>
      <c r="AK48" s="434" t="e">
        <f>VLOOKUP(B48,#REF!,35,0)</f>
        <v>#REF!</v>
      </c>
      <c r="AL48" s="434"/>
      <c r="AM48" s="435" t="e">
        <f>VLOOKUP(B48,'ky thuật'!$C$9:$M$56,11,0)</f>
        <v>#REF!</v>
      </c>
      <c r="AN48" s="442"/>
      <c r="AS48" s="544" t="str">
        <f>VLOOKUP(B48,'Mã số NV'!$B$6:$I$53,3,0)</f>
        <v>01910</v>
      </c>
      <c r="AT48" s="546">
        <f t="shared" si="5"/>
        <v>0</v>
      </c>
    </row>
    <row r="49" spans="1:46" s="437" customFormat="1" ht="22.5" customHeight="1">
      <c r="A49" s="438">
        <v>41</v>
      </c>
      <c r="B49" s="363" t="s">
        <v>417</v>
      </c>
      <c r="C49" s="540" t="s">
        <v>492</v>
      </c>
      <c r="D49" s="541" t="s">
        <v>493</v>
      </c>
      <c r="E49" s="440"/>
      <c r="F49" s="440"/>
      <c r="G49" s="440"/>
      <c r="H49" s="440"/>
      <c r="I49" s="440"/>
      <c r="J49" s="440"/>
      <c r="K49" s="440">
        <f t="shared" si="2"/>
        <v>0</v>
      </c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30">
        <f t="shared" si="3"/>
        <v>0</v>
      </c>
      <c r="Y49" s="441"/>
      <c r="Z49" s="430"/>
      <c r="AA49" s="430"/>
      <c r="AB49" s="430">
        <v>1.33</v>
      </c>
      <c r="AC49" s="655"/>
      <c r="AD49" s="655"/>
      <c r="AE49" s="656"/>
      <c r="AF49" s="187">
        <f t="shared" si="6"/>
        <v>1.33</v>
      </c>
      <c r="AG49" s="432" t="e">
        <f>VLOOKUP(B49,#REF!,6,0)</f>
        <v>#REF!</v>
      </c>
      <c r="AH49" s="432" t="e">
        <f>VLOOKUP(B49,#REF!,12,0)</f>
        <v>#REF!</v>
      </c>
      <c r="AI49" s="433" t="e">
        <f t="shared" si="4"/>
        <v>#REF!</v>
      </c>
      <c r="AJ49" s="434" t="e">
        <f>VLOOKUP(B49,#REF!,34,0)</f>
        <v>#REF!</v>
      </c>
      <c r="AK49" s="434" t="e">
        <f>VLOOKUP(B49,#REF!,35,0)</f>
        <v>#REF!</v>
      </c>
      <c r="AL49" s="434"/>
      <c r="AM49" s="435" t="e">
        <f>VLOOKUP(B49,'ky thuật'!$C$9:$M$56,11,0)</f>
        <v>#REF!</v>
      </c>
      <c r="AN49" s="442"/>
      <c r="AS49" s="544" t="str">
        <f>VLOOKUP(B49,'Mã số NV'!$B$6:$I$53,3,0)</f>
        <v>01911</v>
      </c>
      <c r="AT49" s="546">
        <f t="shared" si="5"/>
        <v>0</v>
      </c>
    </row>
    <row r="50" spans="1:46" s="437" customFormat="1" ht="22.5" customHeight="1">
      <c r="A50" s="438">
        <v>42</v>
      </c>
      <c r="B50" s="363" t="s">
        <v>535</v>
      </c>
      <c r="C50" s="540" t="s">
        <v>494</v>
      </c>
      <c r="D50" s="541" t="s">
        <v>495</v>
      </c>
      <c r="E50" s="440"/>
      <c r="F50" s="440"/>
      <c r="G50" s="440"/>
      <c r="H50" s="440"/>
      <c r="I50" s="440"/>
      <c r="J50" s="440"/>
      <c r="K50" s="440">
        <f t="shared" si="2"/>
        <v>0</v>
      </c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30">
        <f t="shared" si="3"/>
        <v>0</v>
      </c>
      <c r="Y50" s="441"/>
      <c r="Z50" s="430"/>
      <c r="AA50" s="430"/>
      <c r="AB50" s="430">
        <v>1.33</v>
      </c>
      <c r="AC50" s="655"/>
      <c r="AD50" s="655"/>
      <c r="AE50" s="656"/>
      <c r="AF50" s="187">
        <f t="shared" si="6"/>
        <v>1.33</v>
      </c>
      <c r="AG50" s="432" t="e">
        <f>VLOOKUP(B50,#REF!,6,0)</f>
        <v>#REF!</v>
      </c>
      <c r="AH50" s="432" t="e">
        <f>VLOOKUP(B50,#REF!,12,0)</f>
        <v>#REF!</v>
      </c>
      <c r="AI50" s="433" t="e">
        <f t="shared" si="4"/>
        <v>#REF!</v>
      </c>
      <c r="AJ50" s="434" t="e">
        <f>VLOOKUP(B50,#REF!,34,0)</f>
        <v>#REF!</v>
      </c>
      <c r="AK50" s="434" t="e">
        <f>VLOOKUP(B50,#REF!,35,0)</f>
        <v>#REF!</v>
      </c>
      <c r="AL50" s="434"/>
      <c r="AM50" s="435" t="e">
        <f>VLOOKUP(B50,'ky thuật'!$C$9:$M$56,11,0)</f>
        <v>#REF!</v>
      </c>
      <c r="AN50" s="442"/>
      <c r="AS50" s="544" t="str">
        <f>VLOOKUP(B50,'Mã số NV'!$B$6:$I$53,3,0)</f>
        <v>01912</v>
      </c>
      <c r="AT50" s="546">
        <f t="shared" si="5"/>
        <v>0</v>
      </c>
    </row>
    <row r="51" spans="1:46" s="437" customFormat="1" ht="22.5" customHeight="1">
      <c r="A51" s="438">
        <v>43</v>
      </c>
      <c r="B51" s="623" t="s">
        <v>579</v>
      </c>
      <c r="C51" s="540"/>
      <c r="D51" s="541"/>
      <c r="E51" s="440"/>
      <c r="F51" s="440"/>
      <c r="G51" s="440"/>
      <c r="H51" s="440"/>
      <c r="I51" s="440"/>
      <c r="J51" s="440"/>
      <c r="K51" s="440">
        <f t="shared" si="2"/>
        <v>0</v>
      </c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30">
        <f t="shared" si="3"/>
        <v>0</v>
      </c>
      <c r="Y51" s="441"/>
      <c r="Z51" s="430"/>
      <c r="AA51" s="430"/>
      <c r="AB51" s="430">
        <v>1.49</v>
      </c>
      <c r="AC51" s="655"/>
      <c r="AD51" s="655"/>
      <c r="AE51" s="656"/>
      <c r="AF51" s="187">
        <f t="shared" si="6"/>
        <v>1.49</v>
      </c>
      <c r="AG51" s="432" t="e">
        <f>VLOOKUP(B51,#REF!,6,0)</f>
        <v>#REF!</v>
      </c>
      <c r="AH51" s="432" t="e">
        <f>VLOOKUP(B51,#REF!,12,0)</f>
        <v>#REF!</v>
      </c>
      <c r="AI51" s="433" t="e">
        <f t="shared" si="4"/>
        <v>#REF!</v>
      </c>
      <c r="AJ51" s="434" t="e">
        <f>VLOOKUP(B51,#REF!,34,0)</f>
        <v>#REF!</v>
      </c>
      <c r="AK51" s="434" t="e">
        <f>VLOOKUP(B51,#REF!,35,0)</f>
        <v>#REF!</v>
      </c>
      <c r="AL51" s="434"/>
      <c r="AM51" s="435" t="e">
        <f>VLOOKUP(B51,'ky thuật'!$C$9:$M$56,11,0)</f>
        <v>#REF!</v>
      </c>
      <c r="AN51" s="442"/>
      <c r="AS51" s="544">
        <f>VLOOKUP(B51,'Mã số NV'!$B$6:$I$53,3,0)</f>
        <v>0</v>
      </c>
      <c r="AT51" s="546">
        <f t="shared" si="5"/>
        <v>0</v>
      </c>
    </row>
    <row r="52" spans="1:46" s="437" customFormat="1" ht="22.5" customHeight="1">
      <c r="A52" s="438">
        <v>44</v>
      </c>
      <c r="B52" s="352" t="s">
        <v>373</v>
      </c>
      <c r="C52" s="540" t="s">
        <v>497</v>
      </c>
      <c r="D52" s="541" t="s">
        <v>498</v>
      </c>
      <c r="E52" s="440"/>
      <c r="F52" s="440"/>
      <c r="G52" s="440"/>
      <c r="H52" s="440"/>
      <c r="I52" s="440"/>
      <c r="J52" s="440"/>
      <c r="K52" s="440">
        <f t="shared" si="2"/>
        <v>0</v>
      </c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30">
        <f t="shared" si="3"/>
        <v>0</v>
      </c>
      <c r="Y52" s="441"/>
      <c r="Z52" s="430"/>
      <c r="AA52" s="430"/>
      <c r="AB52" s="430">
        <v>1.33</v>
      </c>
      <c r="AC52" s="655"/>
      <c r="AD52" s="655"/>
      <c r="AE52" s="656"/>
      <c r="AF52" s="187">
        <f t="shared" si="6"/>
        <v>1.33</v>
      </c>
      <c r="AG52" s="432" t="e">
        <f>VLOOKUP(B52,#REF!,6,0)</f>
        <v>#REF!</v>
      </c>
      <c r="AH52" s="432" t="e">
        <f>VLOOKUP(B52,#REF!,12,0)</f>
        <v>#REF!</v>
      </c>
      <c r="AI52" s="433" t="e">
        <f t="shared" si="4"/>
        <v>#REF!</v>
      </c>
      <c r="AJ52" s="434" t="e">
        <f>VLOOKUP(B52,#REF!,34,0)</f>
        <v>#REF!</v>
      </c>
      <c r="AK52" s="434" t="e">
        <f>VLOOKUP(B52,#REF!,35,0)</f>
        <v>#REF!</v>
      </c>
      <c r="AL52" s="434"/>
      <c r="AM52" s="435" t="e">
        <f>VLOOKUP(B52,'ky thuật'!$C$9:$M$56,11,0)</f>
        <v>#REF!</v>
      </c>
      <c r="AN52" s="442"/>
      <c r="AS52" s="544" t="str">
        <f>VLOOKUP(B52,'Mã số NV'!$B$6:$I$53,3,0)</f>
        <v>01914</v>
      </c>
      <c r="AT52" s="546">
        <f t="shared" si="5"/>
        <v>0</v>
      </c>
    </row>
    <row r="53" spans="1:46" s="437" customFormat="1" ht="22.5" customHeight="1">
      <c r="A53" s="438">
        <v>45</v>
      </c>
      <c r="B53" s="623" t="s">
        <v>578</v>
      </c>
      <c r="C53" s="540"/>
      <c r="D53" s="541"/>
      <c r="E53" s="439"/>
      <c r="F53" s="439"/>
      <c r="G53" s="439"/>
      <c r="H53" s="439"/>
      <c r="I53" s="439"/>
      <c r="J53" s="439"/>
      <c r="K53" s="440">
        <f t="shared" si="2"/>
        <v>0</v>
      </c>
      <c r="L53" s="439"/>
      <c r="M53" s="439"/>
      <c r="N53" s="439"/>
      <c r="O53" s="439"/>
      <c r="P53" s="440"/>
      <c r="Q53" s="440"/>
      <c r="R53" s="440"/>
      <c r="S53" s="440"/>
      <c r="T53" s="440"/>
      <c r="U53" s="440"/>
      <c r="V53" s="440"/>
      <c r="W53" s="440"/>
      <c r="X53" s="430">
        <f t="shared" si="3"/>
        <v>0</v>
      </c>
      <c r="Y53" s="441"/>
      <c r="Z53" s="430"/>
      <c r="AA53" s="430"/>
      <c r="AB53" s="430">
        <v>1.33</v>
      </c>
      <c r="AC53" s="655"/>
      <c r="AD53" s="655"/>
      <c r="AE53" s="656"/>
      <c r="AF53" s="187">
        <f>SUM(Z53:AE53)</f>
        <v>1.33</v>
      </c>
      <c r="AG53" s="432" t="e">
        <f>VLOOKUP(B53,#REF!,6,0)</f>
        <v>#REF!</v>
      </c>
      <c r="AH53" s="432" t="e">
        <f>VLOOKUP(B53,#REF!,12,0)</f>
        <v>#REF!</v>
      </c>
      <c r="AI53" s="433" t="e">
        <f t="shared" si="4"/>
        <v>#REF!</v>
      </c>
      <c r="AJ53" s="434" t="e">
        <f>VLOOKUP(B53,#REF!,34,0)</f>
        <v>#REF!</v>
      </c>
      <c r="AK53" s="434" t="e">
        <f>VLOOKUP(B53,#REF!,35,0)</f>
        <v>#REF!</v>
      </c>
      <c r="AL53" s="434"/>
      <c r="AM53" s="435" t="e">
        <f>VLOOKUP(B53,'ky thuật'!$C$9:$M$56,11,0)</f>
        <v>#REF!</v>
      </c>
      <c r="AN53" s="442"/>
      <c r="AS53" s="544">
        <f>VLOOKUP(B53,'Mã số NV'!$B$6:$I$53,3,0)</f>
        <v>0</v>
      </c>
      <c r="AT53" s="546">
        <f t="shared" si="5"/>
        <v>0</v>
      </c>
    </row>
    <row r="54" spans="1:46" ht="22.5" customHeight="1">
      <c r="A54" s="438">
        <v>46</v>
      </c>
      <c r="B54" s="449" t="s">
        <v>401</v>
      </c>
      <c r="C54" s="533" t="s">
        <v>500</v>
      </c>
      <c r="D54" s="541" t="s">
        <v>501</v>
      </c>
      <c r="E54" s="368"/>
      <c r="F54" s="368"/>
      <c r="G54" s="368"/>
      <c r="H54" s="368"/>
      <c r="I54" s="368"/>
      <c r="J54" s="368"/>
      <c r="K54" s="440">
        <f t="shared" si="2"/>
        <v>0</v>
      </c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430">
        <f t="shared" si="3"/>
        <v>0</v>
      </c>
      <c r="Y54" s="441"/>
      <c r="Z54" s="430"/>
      <c r="AA54" s="430"/>
      <c r="AB54" s="430">
        <v>1.33</v>
      </c>
      <c r="AC54" s="655"/>
      <c r="AD54" s="655"/>
      <c r="AE54" s="656"/>
      <c r="AF54" s="187">
        <f t="shared" si="6"/>
        <v>1.33</v>
      </c>
      <c r="AG54" s="432" t="e">
        <f>VLOOKUP(B54,#REF!,6,0)</f>
        <v>#REF!</v>
      </c>
      <c r="AH54" s="432" t="e">
        <f>VLOOKUP(B54,#REF!,12,0)</f>
        <v>#REF!</v>
      </c>
      <c r="AI54" s="433" t="e">
        <f t="shared" si="4"/>
        <v>#REF!</v>
      </c>
      <c r="AJ54" s="434" t="e">
        <f>VLOOKUP(B54,#REF!,34,0)</f>
        <v>#REF!</v>
      </c>
      <c r="AK54" s="434" t="e">
        <f>VLOOKUP(B54,#REF!,35,0)</f>
        <v>#REF!</v>
      </c>
      <c r="AL54" s="434"/>
      <c r="AM54" s="435" t="e">
        <f>VLOOKUP(B54,'ky thuật'!$C$9:$M$56,11,0)</f>
        <v>#REF!</v>
      </c>
      <c r="AN54" s="371"/>
      <c r="AS54" s="544" t="str">
        <f>VLOOKUP(B54,'Mã số NV'!$B$6:$I$53,3,0)</f>
        <v>01916</v>
      </c>
      <c r="AT54" s="546">
        <f t="shared" si="5"/>
        <v>0</v>
      </c>
    </row>
    <row r="55" spans="1:46" ht="22.5" customHeight="1">
      <c r="A55" s="438">
        <v>47</v>
      </c>
      <c r="B55" s="449" t="s">
        <v>400</v>
      </c>
      <c r="C55" s="533" t="s">
        <v>502</v>
      </c>
      <c r="D55" s="541" t="s">
        <v>503</v>
      </c>
      <c r="E55" s="368"/>
      <c r="F55" s="368"/>
      <c r="G55" s="368"/>
      <c r="H55" s="368"/>
      <c r="I55" s="368"/>
      <c r="J55" s="368"/>
      <c r="K55" s="440">
        <f t="shared" si="2"/>
        <v>0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430">
        <f t="shared" si="3"/>
        <v>0</v>
      </c>
      <c r="Y55" s="441"/>
      <c r="Z55" s="430"/>
      <c r="AA55" s="430"/>
      <c r="AB55" s="430">
        <v>1.33</v>
      </c>
      <c r="AC55" s="655"/>
      <c r="AD55" s="655"/>
      <c r="AE55" s="656"/>
      <c r="AF55" s="187">
        <f t="shared" si="6"/>
        <v>1.33</v>
      </c>
      <c r="AG55" s="432" t="e">
        <f>VLOOKUP(B55,#REF!,6,0)</f>
        <v>#REF!</v>
      </c>
      <c r="AH55" s="432" t="e">
        <f>VLOOKUP(B55,#REF!,12,0)</f>
        <v>#REF!</v>
      </c>
      <c r="AI55" s="433" t="e">
        <f t="shared" si="4"/>
        <v>#REF!</v>
      </c>
      <c r="AJ55" s="434" t="e">
        <f>VLOOKUP(B55,#REF!,34,0)</f>
        <v>#REF!</v>
      </c>
      <c r="AK55" s="434" t="e">
        <f>VLOOKUP(B55,#REF!,35,0)</f>
        <v>#REF!</v>
      </c>
      <c r="AL55" s="434"/>
      <c r="AM55" s="435" t="e">
        <f>VLOOKUP(B55,'ky thuật'!$C$9:$M$56,11,0)</f>
        <v>#REF!</v>
      </c>
      <c r="AN55" s="371"/>
      <c r="AS55" s="544" t="str">
        <f>VLOOKUP(B55,'Mã số NV'!$B$6:$I$53,3,0)</f>
        <v>01917</v>
      </c>
      <c r="AT55" s="546">
        <f t="shared" si="5"/>
        <v>0</v>
      </c>
    </row>
    <row r="56" spans="1:46" ht="22.5" customHeight="1">
      <c r="A56" s="438">
        <v>48</v>
      </c>
      <c r="B56" s="530" t="s">
        <v>481</v>
      </c>
      <c r="C56" s="542" t="s">
        <v>504</v>
      </c>
      <c r="D56" s="541" t="s">
        <v>505</v>
      </c>
      <c r="E56" s="368"/>
      <c r="F56" s="368"/>
      <c r="G56" s="368"/>
      <c r="H56" s="368"/>
      <c r="I56" s="368"/>
      <c r="J56" s="368"/>
      <c r="K56" s="440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430"/>
      <c r="Y56" s="441"/>
      <c r="Z56" s="430"/>
      <c r="AA56" s="430"/>
      <c r="AB56" s="430">
        <v>1.33</v>
      </c>
      <c r="AC56" s="655"/>
      <c r="AD56" s="655"/>
      <c r="AE56" s="656"/>
      <c r="AF56" s="187">
        <f t="shared" si="6"/>
        <v>1.33</v>
      </c>
      <c r="AG56" s="432" t="e">
        <f>VLOOKUP(B56,#REF!,6,0)</f>
        <v>#REF!</v>
      </c>
      <c r="AH56" s="432" t="e">
        <f>VLOOKUP(B56,#REF!,12,0)</f>
        <v>#REF!</v>
      </c>
      <c r="AI56" s="433" t="e">
        <f t="shared" si="4"/>
        <v>#REF!</v>
      </c>
      <c r="AJ56" s="434" t="e">
        <f>VLOOKUP(B56,#REF!,34,0)</f>
        <v>#REF!</v>
      </c>
      <c r="AK56" s="434" t="e">
        <f>VLOOKUP(B56,#REF!,35,0)</f>
        <v>#REF!</v>
      </c>
      <c r="AL56" s="529"/>
      <c r="AM56" s="435" t="e">
        <f>VLOOKUP(B56,'ky thuật'!$C$9:$M$56,11,0)</f>
        <v>#REF!</v>
      </c>
      <c r="AN56" s="371"/>
      <c r="AS56" s="544" t="str">
        <f>VLOOKUP(B56,'Mã số NV'!$B$6:$I$53,3,0)</f>
        <v>01918</v>
      </c>
      <c r="AT56" s="546">
        <f t="shared" si="5"/>
        <v>0</v>
      </c>
    </row>
    <row r="57" spans="1:46" ht="22.5" customHeight="1">
      <c r="A57" s="366">
        <v>38</v>
      </c>
      <c r="B57" s="364" t="s">
        <v>536</v>
      </c>
      <c r="C57" s="542"/>
      <c r="D57" s="367" t="s">
        <v>259</v>
      </c>
      <c r="E57" s="631">
        <v>174.09</v>
      </c>
      <c r="F57" s="368">
        <f>+'[19]BCSX T7.1 (2)'!$U$32</f>
        <v>0</v>
      </c>
      <c r="G57" s="368"/>
      <c r="H57" s="368"/>
      <c r="I57" s="368"/>
      <c r="J57" s="368"/>
      <c r="K57" s="440">
        <f t="shared" si="2"/>
        <v>174.09</v>
      </c>
      <c r="L57" s="368"/>
      <c r="M57" s="368"/>
      <c r="N57" s="368"/>
      <c r="O57" s="368"/>
      <c r="P57" s="368"/>
      <c r="Q57" s="368"/>
      <c r="R57" s="368"/>
      <c r="S57" s="368">
        <f t="shared" si="0"/>
        <v>0</v>
      </c>
      <c r="T57" s="368"/>
      <c r="U57" s="368"/>
      <c r="V57" s="12"/>
      <c r="W57" s="368"/>
      <c r="X57" s="430">
        <f t="shared" si="3"/>
        <v>0</v>
      </c>
      <c r="Y57" s="441"/>
      <c r="Z57" s="430"/>
      <c r="AA57" s="430"/>
      <c r="AB57" s="444"/>
      <c r="AC57" s="656"/>
      <c r="AD57" s="656"/>
      <c r="AE57" s="669">
        <f>90.57+170.64+21.3</f>
        <v>282.51</v>
      </c>
      <c r="AF57" s="187">
        <f t="shared" si="6"/>
        <v>282.51</v>
      </c>
      <c r="AG57" s="432"/>
      <c r="AH57" s="432"/>
      <c r="AI57" s="433">
        <f>ROUND(AG57*0.4,2)</f>
        <v>0</v>
      </c>
      <c r="AJ57" s="434"/>
      <c r="AK57" s="369"/>
      <c r="AL57" s="369"/>
      <c r="AM57" s="370"/>
      <c r="AN57" s="371"/>
      <c r="AS57" s="544" t="e">
        <f>VLOOKUP(B57,'Mã số NV'!$B$6:$I$53,3,0)</f>
        <v>#N/A</v>
      </c>
      <c r="AT57" s="546" t="e">
        <f t="shared" si="5"/>
        <v>#N/A</v>
      </c>
    </row>
    <row r="58" spans="1:46" ht="22.5" customHeight="1">
      <c r="A58" s="366">
        <v>39</v>
      </c>
      <c r="B58" s="403" t="s">
        <v>399</v>
      </c>
      <c r="C58" s="525"/>
      <c r="D58" s="367" t="s">
        <v>259</v>
      </c>
      <c r="E58" s="368"/>
      <c r="F58" s="368"/>
      <c r="G58" s="368"/>
      <c r="H58" s="368"/>
      <c r="I58" s="368"/>
      <c r="J58" s="368"/>
      <c r="K58" s="440">
        <f t="shared" si="2"/>
        <v>0</v>
      </c>
      <c r="L58" s="368"/>
      <c r="M58" s="368"/>
      <c r="N58" s="368"/>
      <c r="O58" s="368"/>
      <c r="P58" s="368"/>
      <c r="Q58" s="368"/>
      <c r="R58" s="368"/>
      <c r="S58" s="368">
        <f>SUM(L58:O58)</f>
        <v>0</v>
      </c>
      <c r="T58" s="368"/>
      <c r="U58" s="368"/>
      <c r="V58" s="368"/>
      <c r="W58" s="368"/>
      <c r="X58" s="430"/>
      <c r="Y58" s="441"/>
      <c r="Z58" s="431"/>
      <c r="AA58" s="430"/>
      <c r="AB58" s="444"/>
      <c r="AC58" s="657"/>
      <c r="AD58" s="656"/>
      <c r="AE58" s="668"/>
      <c r="AF58" s="187">
        <f t="shared" si="6"/>
        <v>0</v>
      </c>
      <c r="AG58" s="432"/>
      <c r="AH58" s="432"/>
      <c r="AI58" s="433">
        <f>ROUND(AG58*0.4,2)</f>
        <v>0</v>
      </c>
      <c r="AJ58" s="434"/>
      <c r="AK58" s="369"/>
      <c r="AL58" s="369"/>
      <c r="AM58" s="370"/>
      <c r="AN58" s="371"/>
      <c r="AS58" s="544" t="e">
        <f>VLOOKUP(B58,'Mã số NV'!$B$6:$I$53,3,0)</f>
        <v>#N/A</v>
      </c>
      <c r="AT58" s="546" t="e">
        <f t="shared" si="5"/>
        <v>#N/A</v>
      </c>
    </row>
    <row r="59" spans="1:46" ht="22.5" customHeight="1">
      <c r="A59" s="372">
        <v>40</v>
      </c>
      <c r="B59" s="365" t="s">
        <v>332</v>
      </c>
      <c r="C59" s="365"/>
      <c r="D59" s="373" t="s">
        <v>259</v>
      </c>
      <c r="E59" s="368"/>
      <c r="F59" s="368"/>
      <c r="G59" s="374"/>
      <c r="H59" s="374"/>
      <c r="I59" s="374"/>
      <c r="J59" s="374"/>
      <c r="K59" s="440">
        <f>SUM(E59:J59)</f>
        <v>0</v>
      </c>
      <c r="L59" s="374"/>
      <c r="M59" s="374"/>
      <c r="N59" s="374"/>
      <c r="O59" s="374"/>
      <c r="P59" s="374"/>
      <c r="Q59" s="374"/>
      <c r="R59" s="374"/>
      <c r="S59" s="374">
        <f>SUM(L59:R59)</f>
        <v>0</v>
      </c>
      <c r="T59" s="374"/>
      <c r="U59" s="374"/>
      <c r="V59" s="374"/>
      <c r="W59" s="374"/>
      <c r="X59" s="443">
        <f t="shared" si="3"/>
        <v>0</v>
      </c>
      <c r="Y59" s="444"/>
      <c r="Z59" s="431"/>
      <c r="AA59" s="430"/>
      <c r="AB59" s="444"/>
      <c r="AC59" s="658">
        <f>76.91+261.33+181.76</f>
        <v>520</v>
      </c>
      <c r="AD59" s="658">
        <f>56+192+136</f>
        <v>384</v>
      </c>
      <c r="AE59" s="670"/>
      <c r="AF59" s="187">
        <f t="shared" si="6"/>
        <v>904</v>
      </c>
      <c r="AG59" s="432"/>
      <c r="AH59" s="432"/>
      <c r="AI59" s="433">
        <f>ROUND(AG59*0.4,2)</f>
        <v>0</v>
      </c>
      <c r="AJ59" s="434"/>
      <c r="AK59" s="230"/>
      <c r="AL59" s="230"/>
      <c r="AM59" s="375"/>
      <c r="AN59" s="376"/>
      <c r="AS59" s="544" t="e">
        <f>VLOOKUP(B59,'Mã số NV'!$B$6:$I$53,3,0)</f>
        <v>#N/A</v>
      </c>
      <c r="AT59" s="546" t="e">
        <f t="shared" si="5"/>
        <v>#N/A</v>
      </c>
    </row>
    <row r="60" spans="1:46" s="253" customFormat="1" ht="15.75" customHeight="1">
      <c r="A60" s="4679" t="s">
        <v>187</v>
      </c>
      <c r="B60" s="4680"/>
      <c r="C60" s="4680"/>
      <c r="D60" s="4681"/>
      <c r="E60" s="262">
        <f t="shared" ref="E60:AL60" si="7">SUM(E9:E59)</f>
        <v>174.09</v>
      </c>
      <c r="F60" s="262">
        <f>SUM(F9:F59)</f>
        <v>0</v>
      </c>
      <c r="G60" s="262">
        <f t="shared" si="7"/>
        <v>0</v>
      </c>
      <c r="H60" s="262">
        <f t="shared" si="7"/>
        <v>0</v>
      </c>
      <c r="I60" s="262">
        <f t="shared" si="7"/>
        <v>0</v>
      </c>
      <c r="J60" s="262">
        <f t="shared" si="7"/>
        <v>0</v>
      </c>
      <c r="K60" s="276">
        <f t="shared" si="7"/>
        <v>174.09</v>
      </c>
      <c r="L60" s="262">
        <f t="shared" si="7"/>
        <v>0</v>
      </c>
      <c r="M60" s="262">
        <f t="shared" si="7"/>
        <v>0</v>
      </c>
      <c r="N60" s="262">
        <f t="shared" si="7"/>
        <v>0</v>
      </c>
      <c r="O60" s="262">
        <f t="shared" si="7"/>
        <v>0</v>
      </c>
      <c r="P60" s="262">
        <f t="shared" si="7"/>
        <v>0</v>
      </c>
      <c r="Q60" s="262">
        <f t="shared" si="7"/>
        <v>0</v>
      </c>
      <c r="R60" s="262">
        <f t="shared" si="7"/>
        <v>0</v>
      </c>
      <c r="S60" s="276">
        <f>SUM(S9:S59)</f>
        <v>0</v>
      </c>
      <c r="T60" s="262">
        <f t="shared" si="7"/>
        <v>0</v>
      </c>
      <c r="U60" s="262">
        <f t="shared" si="7"/>
        <v>0</v>
      </c>
      <c r="V60" s="262">
        <f t="shared" si="7"/>
        <v>0</v>
      </c>
      <c r="W60" s="262">
        <f t="shared" si="7"/>
        <v>0</v>
      </c>
      <c r="X60" s="276">
        <f t="shared" si="7"/>
        <v>0</v>
      </c>
      <c r="Y60" s="276">
        <f t="shared" si="7"/>
        <v>116</v>
      </c>
      <c r="Z60" s="451">
        <f>SUM(Z9:Z59)</f>
        <v>0</v>
      </c>
      <c r="AA60" s="451">
        <f>SUM(AA9:AA59)</f>
        <v>0</v>
      </c>
      <c r="AB60" s="451">
        <f>SUM(AB9:AB59)</f>
        <v>63.999999999999943</v>
      </c>
      <c r="AC60" s="659">
        <f>SUM(AC9:AC59)</f>
        <v>520</v>
      </c>
      <c r="AD60" s="659">
        <f t="shared" si="7"/>
        <v>384</v>
      </c>
      <c r="AE60" s="671">
        <f t="shared" si="7"/>
        <v>282.51</v>
      </c>
      <c r="AF60" s="262">
        <f>SUM(AF9:AF59)</f>
        <v>1250.51</v>
      </c>
      <c r="AG60" s="428" t="e">
        <f>SUM(AG9:AG59)</f>
        <v>#REF!</v>
      </c>
      <c r="AH60" s="428"/>
      <c r="AI60" s="469" t="e">
        <f>SUM(AI9:AI59)</f>
        <v>#REF!</v>
      </c>
      <c r="AJ60" s="277" t="e">
        <f>SUM(AJ9:AJ59)</f>
        <v>#REF!</v>
      </c>
      <c r="AK60" s="277" t="e">
        <f t="shared" si="7"/>
        <v>#REF!</v>
      </c>
      <c r="AL60" s="277">
        <f t="shared" si="7"/>
        <v>0</v>
      </c>
      <c r="AM60" s="262"/>
      <c r="AN60" s="254"/>
      <c r="AP60" s="253">
        <f>COUNTIF(AM9:AM55,"b")</f>
        <v>0</v>
      </c>
    </row>
    <row r="61" spans="1:46" s="248" customFormat="1" ht="18.75" customHeight="1">
      <c r="Y61" s="272"/>
      <c r="Z61" s="448"/>
      <c r="AA61" s="4670"/>
      <c r="AB61" s="4670"/>
      <c r="AC61" s="660"/>
      <c r="AD61" s="661"/>
      <c r="AE61" s="660"/>
      <c r="AF61" s="255"/>
      <c r="AI61" s="4685" t="s">
        <v>587</v>
      </c>
      <c r="AJ61" s="4685"/>
      <c r="AK61" s="4685"/>
      <c r="AL61" s="4685"/>
      <c r="AM61" s="4685"/>
      <c r="AN61" s="4685"/>
    </row>
    <row r="62" spans="1:46" s="248" customFormat="1" ht="15" customHeight="1">
      <c r="B62" s="4675"/>
      <c r="C62" s="4676"/>
      <c r="D62" s="4676"/>
      <c r="E62" s="4676"/>
      <c r="F62" s="4676"/>
      <c r="G62" s="4676"/>
      <c r="H62" s="4676"/>
      <c r="I62" s="4676"/>
      <c r="J62" s="4676"/>
      <c r="K62" s="4676"/>
      <c r="L62" s="4676"/>
      <c r="M62" s="4676"/>
      <c r="N62" s="4676"/>
      <c r="O62" s="4676"/>
      <c r="P62" s="4676"/>
      <c r="Q62" s="4676"/>
      <c r="R62" s="4676"/>
      <c r="S62" s="4676"/>
      <c r="T62" s="4676"/>
      <c r="U62" s="4676"/>
      <c r="V62" s="4676"/>
      <c r="W62" s="4676"/>
      <c r="X62" s="4676"/>
      <c r="Y62" s="4676"/>
      <c r="Z62" s="4676"/>
      <c r="AA62" s="4676"/>
      <c r="AB62" s="4676"/>
      <c r="AC62" s="662"/>
      <c r="AD62" s="662"/>
      <c r="AE62" s="652"/>
      <c r="AF62" s="255"/>
      <c r="AI62" s="4684" t="s">
        <v>249</v>
      </c>
      <c r="AJ62" s="4684"/>
      <c r="AK62" s="4684"/>
      <c r="AL62" s="4684"/>
      <c r="AM62" s="4684"/>
      <c r="AN62" s="4684"/>
    </row>
    <row r="63" spans="1:46">
      <c r="Z63" s="382"/>
      <c r="AB63" s="261"/>
      <c r="AD63" s="662"/>
      <c r="AF63" s="578"/>
    </row>
    <row r="64" spans="1:46">
      <c r="Z64" s="596"/>
      <c r="AB64" s="261"/>
      <c r="AC64" s="663"/>
      <c r="AD64" s="663"/>
      <c r="AF64" s="450"/>
    </row>
    <row r="65" spans="2:40">
      <c r="B65" s="453"/>
      <c r="C65" s="453"/>
      <c r="Z65" s="382"/>
      <c r="AC65" s="663"/>
      <c r="AD65" s="663"/>
      <c r="AG65" s="261"/>
      <c r="AH65" s="261"/>
    </row>
    <row r="66" spans="2:40">
      <c r="B66" s="453"/>
      <c r="C66" s="453"/>
      <c r="AB66" s="261"/>
      <c r="AD66" s="664"/>
    </row>
    <row r="67" spans="2:40" s="256" customFormat="1" ht="13.5">
      <c r="B67" s="4674"/>
      <c r="C67" s="4674"/>
      <c r="D67" s="4674"/>
      <c r="E67" s="4674"/>
      <c r="F67" s="4674"/>
      <c r="G67" s="4674"/>
      <c r="H67" s="4674"/>
      <c r="I67" s="4674"/>
      <c r="J67" s="4674"/>
      <c r="K67" s="4674"/>
      <c r="L67" s="4674"/>
      <c r="M67" s="4674"/>
      <c r="N67" s="4674"/>
      <c r="O67" s="4674"/>
      <c r="P67" s="4674"/>
      <c r="Q67" s="4674"/>
      <c r="R67" s="4674"/>
      <c r="S67" s="4674"/>
      <c r="T67" s="4674"/>
      <c r="U67" s="4674"/>
      <c r="V67" s="4674"/>
      <c r="W67" s="4674"/>
      <c r="X67" s="4674"/>
      <c r="Y67" s="4674"/>
      <c r="Z67" s="4674"/>
      <c r="AA67" s="4674"/>
      <c r="AB67" s="4674"/>
      <c r="AC67" s="665"/>
      <c r="AD67" s="666"/>
      <c r="AE67" s="665"/>
      <c r="AF67" s="257"/>
      <c r="AI67" s="4674" t="s">
        <v>337</v>
      </c>
      <c r="AJ67" s="4674"/>
      <c r="AK67" s="4674"/>
      <c r="AL67" s="4674"/>
      <c r="AM67" s="4674"/>
      <c r="AN67" s="4674"/>
    </row>
    <row r="68" spans="2:40">
      <c r="AD68" s="663"/>
    </row>
    <row r="70" spans="2:40">
      <c r="X70" s="4669"/>
      <c r="Y70" s="4669"/>
      <c r="Z70" s="4669"/>
    </row>
    <row r="71" spans="2:40">
      <c r="AC71" s="651">
        <v>28</v>
      </c>
    </row>
    <row r="72" spans="2:40">
      <c r="U72" s="246">
        <v>192</v>
      </c>
      <c r="AC72" s="651">
        <v>72</v>
      </c>
    </row>
    <row r="73" spans="2:40">
      <c r="U73" s="246">
        <v>96</v>
      </c>
      <c r="AC73" s="651">
        <v>68</v>
      </c>
    </row>
    <row r="75" spans="2:40">
      <c r="U75" s="246">
        <f>96*2</f>
        <v>192</v>
      </c>
    </row>
    <row r="80" spans="2:40" ht="13.5" thickBot="1"/>
    <row r="81" spans="2:3" ht="16.5" thickBot="1">
      <c r="B81" s="359">
        <v>450000</v>
      </c>
      <c r="C81" s="526"/>
    </row>
    <row r="82" spans="2:3" ht="16.5" thickBot="1">
      <c r="B82" s="360">
        <v>720000</v>
      </c>
      <c r="C82" s="526"/>
    </row>
    <row r="83" spans="2:3" ht="16.5" thickBot="1">
      <c r="B83" s="360">
        <v>120000</v>
      </c>
      <c r="C83" s="526"/>
    </row>
    <row r="84" spans="2:3" ht="16.5" thickBot="1">
      <c r="B84" s="360">
        <v>225000</v>
      </c>
      <c r="C84" s="526"/>
    </row>
    <row r="85" spans="2:3" ht="16.5" thickBot="1">
      <c r="B85" s="360">
        <v>70000</v>
      </c>
      <c r="C85" s="526"/>
    </row>
    <row r="86" spans="2:3" ht="16.5" thickBot="1">
      <c r="B86" s="360">
        <v>80000</v>
      </c>
      <c r="C86" s="526"/>
    </row>
    <row r="87" spans="2:3" ht="16.5" thickBot="1">
      <c r="B87" s="360">
        <v>170000</v>
      </c>
      <c r="C87" s="526"/>
    </row>
    <row r="88" spans="2:3">
      <c r="B88" s="361">
        <f>SUM(B81:B87)</f>
        <v>1835000</v>
      </c>
      <c r="C88" s="361"/>
    </row>
  </sheetData>
  <mergeCells count="21">
    <mergeCell ref="AI67:AN67"/>
    <mergeCell ref="AI62:AN62"/>
    <mergeCell ref="AI61:AN61"/>
    <mergeCell ref="Y7:AM7"/>
    <mergeCell ref="L7:S7"/>
    <mergeCell ref="AB2:AN2"/>
    <mergeCell ref="A2:U2"/>
    <mergeCell ref="A3:U3"/>
    <mergeCell ref="AB3:AN3"/>
    <mergeCell ref="A5:AN5"/>
    <mergeCell ref="X70:Z70"/>
    <mergeCell ref="AA61:AB61"/>
    <mergeCell ref="T7:X7"/>
    <mergeCell ref="B67:AB67"/>
    <mergeCell ref="B62:AB62"/>
    <mergeCell ref="C7:C8"/>
    <mergeCell ref="A60:D60"/>
    <mergeCell ref="A7:A8"/>
    <mergeCell ref="B7:B8"/>
    <mergeCell ref="E7:K7"/>
    <mergeCell ref="D7:D8"/>
  </mergeCells>
  <phoneticPr fontId="57" type="noConversion"/>
  <pageMargins left="0.2" right="0.2" top="0.19" bottom="0.22" header="0.17" footer="0.17"/>
  <pageSetup paperSize="9" scale="48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3"/>
  <sheetViews>
    <sheetView workbookViewId="0">
      <selection activeCell="B13" sqref="B1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686" t="s">
        <v>165</v>
      </c>
      <c r="G1" s="4686"/>
      <c r="H1" s="4686"/>
      <c r="I1" s="4686"/>
    </row>
    <row r="2" spans="1:9">
      <c r="A2" s="4686" t="s">
        <v>236</v>
      </c>
      <c r="B2" s="4686"/>
      <c r="C2" s="548"/>
      <c r="D2" s="548"/>
      <c r="F2" s="4686"/>
      <c r="G2" s="4686"/>
      <c r="H2" s="4686"/>
      <c r="I2" s="4686"/>
    </row>
    <row r="3" spans="1:9">
      <c r="A3" s="4686" t="s">
        <v>508</v>
      </c>
      <c r="B3" s="4686"/>
      <c r="C3" s="4686"/>
      <c r="D3" s="4686"/>
      <c r="E3" s="4686"/>
      <c r="F3" s="4686"/>
      <c r="G3" s="4686"/>
      <c r="H3" s="4686"/>
      <c r="I3" s="4686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527</v>
      </c>
      <c r="C26" s="566" t="s">
        <v>456</v>
      </c>
      <c r="D26" s="567" t="s">
        <v>457</v>
      </c>
      <c r="E26" s="555">
        <v>1997</v>
      </c>
      <c r="F26" s="555" t="s">
        <v>519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Y46"/>
  <sheetViews>
    <sheetView zoomScale="90" zoomScaleNormal="90" workbookViewId="0">
      <selection activeCell="E11" sqref="E11"/>
    </sheetView>
  </sheetViews>
  <sheetFormatPr defaultColWidth="9" defaultRowHeight="15.75"/>
  <cols>
    <col min="1" max="1" width="4" style="41" customWidth="1"/>
    <col min="2" max="2" width="31" style="41" customWidth="1"/>
    <col min="3" max="3" width="21.375" style="286" customWidth="1"/>
    <col min="4" max="4" width="22.25" style="286" customWidth="1"/>
    <col min="5" max="5" width="21" style="286" customWidth="1"/>
    <col min="6" max="6" width="30.875" style="287" customWidth="1"/>
    <col min="7" max="7" width="11.25" style="42" bestFit="1" customWidth="1"/>
    <col min="8" max="8" width="24" style="42" customWidth="1"/>
    <col min="9" max="16384" width="9" style="42"/>
  </cols>
  <sheetData>
    <row r="1" spans="1:103" ht="15" customHeight="1">
      <c r="A1" s="165"/>
      <c r="B1" s="165"/>
      <c r="C1" s="165"/>
      <c r="D1" s="165"/>
      <c r="E1" s="165"/>
      <c r="F1" s="165"/>
    </row>
    <row r="2" spans="1:103" s="156" customFormat="1" ht="16.5">
      <c r="A2" s="4155" t="s">
        <v>164</v>
      </c>
      <c r="B2" s="4155"/>
      <c r="C2" s="4155"/>
      <c r="D2" s="39"/>
      <c r="E2" s="39"/>
      <c r="F2" s="39"/>
    </row>
    <row r="3" spans="1:103" s="156" customFormat="1" ht="16.5">
      <c r="A3" s="4480" t="s">
        <v>236</v>
      </c>
      <c r="B3" s="4480"/>
      <c r="C3" s="4480"/>
      <c r="D3" s="245"/>
      <c r="E3" s="245"/>
      <c r="F3" s="41"/>
    </row>
    <row r="4" spans="1:103" s="156" customFormat="1" ht="4.5" customHeight="1">
      <c r="A4" s="280"/>
      <c r="B4" s="280"/>
      <c r="C4" s="281"/>
      <c r="D4" s="281"/>
      <c r="E4" s="281"/>
      <c r="F4" s="282"/>
    </row>
    <row r="5" spans="1:103" s="156" customFormat="1" ht="26.25" customHeight="1">
      <c r="A5" s="4692" t="s">
        <v>575</v>
      </c>
      <c r="B5" s="4692"/>
      <c r="C5" s="4692"/>
      <c r="D5" s="4692"/>
      <c r="E5" s="4692"/>
      <c r="F5" s="4692"/>
    </row>
    <row r="6" spans="1:103" s="117" customFormat="1" ht="18" customHeight="1">
      <c r="A6" s="4232" t="s">
        <v>576</v>
      </c>
      <c r="B6" s="4232"/>
      <c r="C6" s="4232"/>
      <c r="D6" s="4232"/>
      <c r="E6" s="4232"/>
      <c r="F6" s="4232"/>
    </row>
    <row r="7" spans="1:103" s="117" customFormat="1" ht="10.5" customHeight="1">
      <c r="A7" s="165"/>
      <c r="B7" s="165"/>
      <c r="C7" s="165"/>
      <c r="D7" s="165"/>
      <c r="E7" s="165"/>
      <c r="F7" s="165"/>
    </row>
    <row r="8" spans="1:103" ht="15" customHeight="1">
      <c r="A8" s="4687" t="s">
        <v>1</v>
      </c>
      <c r="B8" s="4250" t="s">
        <v>346</v>
      </c>
      <c r="C8" s="4689" t="s">
        <v>342</v>
      </c>
      <c r="D8" s="4689" t="s">
        <v>343</v>
      </c>
      <c r="E8" s="4689" t="s">
        <v>344</v>
      </c>
      <c r="F8" s="4689" t="s">
        <v>345</v>
      </c>
    </row>
    <row r="9" spans="1:103" ht="17.25" customHeight="1">
      <c r="A9" s="4688"/>
      <c r="B9" s="4251"/>
      <c r="C9" s="4690"/>
      <c r="D9" s="4691"/>
      <c r="E9" s="4691"/>
      <c r="F9" s="4691"/>
    </row>
    <row r="10" spans="1:103" s="40" customFormat="1" ht="24" customHeight="1">
      <c r="A10" s="377">
        <v>1</v>
      </c>
      <c r="B10" s="466" t="s">
        <v>570</v>
      </c>
      <c r="C10" s="467">
        <v>20</v>
      </c>
      <c r="D10" s="378">
        <v>25000</v>
      </c>
      <c r="E10" s="379">
        <f>C10*D10</f>
        <v>500000</v>
      </c>
      <c r="F10" s="468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</row>
    <row r="11" spans="1:103" s="40" customFormat="1" ht="24.75" customHeight="1">
      <c r="A11" s="4696" t="s">
        <v>184</v>
      </c>
      <c r="B11" s="4697"/>
      <c r="C11" s="297">
        <f>SUM(C10:C10)</f>
        <v>20</v>
      </c>
      <c r="D11" s="298">
        <v>25000</v>
      </c>
      <c r="E11" s="299">
        <f>SUM(E10:E10)</f>
        <v>500000</v>
      </c>
      <c r="F11" s="297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</row>
    <row r="12" spans="1:103" s="40" customFormat="1" ht="24" customHeight="1">
      <c r="B12" s="4698" t="s">
        <v>572</v>
      </c>
      <c r="C12" s="4698"/>
      <c r="D12" s="4698"/>
      <c r="E12" s="4698"/>
      <c r="F12" s="4698"/>
      <c r="K12" s="300"/>
    </row>
    <row r="13" spans="1:103" s="283" customFormat="1" ht="18" customHeight="1">
      <c r="B13" s="285"/>
      <c r="C13" s="285"/>
      <c r="D13" s="285"/>
      <c r="E13" s="4699" t="s">
        <v>577</v>
      </c>
      <c r="F13" s="4699"/>
      <c r="G13" s="131"/>
      <c r="H13" s="131"/>
      <c r="I13" s="131"/>
      <c r="K13" s="284"/>
    </row>
    <row r="14" spans="1:103" s="117" customFormat="1" ht="19.5" customHeight="1">
      <c r="A14" s="4695" t="s">
        <v>573</v>
      </c>
      <c r="B14" s="4695"/>
      <c r="C14" s="4695"/>
      <c r="D14" s="4695"/>
      <c r="E14" s="4695"/>
      <c r="F14" s="4695"/>
    </row>
    <row r="15" spans="1:103" ht="7.5" customHeight="1"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</row>
    <row r="16" spans="1:103" s="29" customFormat="1" ht="15.75" customHeight="1">
      <c r="A16" s="4700"/>
      <c r="B16" s="4700"/>
      <c r="F16" s="288"/>
    </row>
    <row r="17" spans="1:103" s="29" customFormat="1" ht="15.75" customHeight="1">
      <c r="A17" s="283"/>
      <c r="B17" s="283"/>
      <c r="C17" s="283"/>
      <c r="D17" s="283"/>
      <c r="E17" s="283"/>
      <c r="F17" s="283"/>
    </row>
    <row r="18" spans="1:103" s="29" customFormat="1" ht="15">
      <c r="A18" s="289"/>
      <c r="B18" s="289"/>
      <c r="C18" s="290"/>
      <c r="D18" s="290"/>
      <c r="E18" s="290"/>
      <c r="F18" s="291"/>
    </row>
    <row r="19" spans="1:103" s="29" customFormat="1" ht="15">
      <c r="A19" s="289"/>
      <c r="B19" s="289"/>
      <c r="C19" s="290"/>
      <c r="D19" s="290"/>
      <c r="E19" s="290"/>
      <c r="F19" s="291"/>
    </row>
    <row r="20" spans="1:103" s="29" customFormat="1" ht="15">
      <c r="A20" s="4693"/>
      <c r="B20" s="4693"/>
      <c r="C20" s="283"/>
      <c r="D20" s="283"/>
      <c r="E20" s="283"/>
      <c r="F20" s="283"/>
    </row>
    <row r="21" spans="1:103" s="29" customFormat="1" ht="15">
      <c r="A21" s="4694"/>
      <c r="B21" s="4694"/>
      <c r="C21" s="292"/>
      <c r="D21" s="292"/>
      <c r="E21" s="10"/>
      <c r="F21" s="293"/>
    </row>
    <row r="22" spans="1:103" s="29" customFormat="1" ht="15"/>
    <row r="23" spans="1:103">
      <c r="A23" s="40"/>
      <c r="B23" s="40"/>
      <c r="F23" s="294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</row>
    <row r="24" spans="1:103" s="40" customFormat="1">
      <c r="A24" s="295"/>
      <c r="B24" s="295"/>
      <c r="C24" s="295"/>
      <c r="D24" s="295"/>
      <c r="E24" s="295"/>
      <c r="F24" s="296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</row>
    <row r="25" spans="1:103">
      <c r="F25" s="287" t="s">
        <v>397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</row>
    <row r="26" spans="1:103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</row>
    <row r="27" spans="1:103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</row>
    <row r="28" spans="1:103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</row>
    <row r="29" spans="1:103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</row>
    <row r="30" spans="1:103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</row>
    <row r="31" spans="1:103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</row>
    <row r="32" spans="1:103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</row>
    <row r="33" spans="7:103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</row>
    <row r="34" spans="7:103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</row>
    <row r="35" spans="7:103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</row>
    <row r="36" spans="7:103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</row>
    <row r="37" spans="7:103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</row>
    <row r="38" spans="7:103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</row>
    <row r="39" spans="7:103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</row>
    <row r="40" spans="7:103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</row>
    <row r="41" spans="7:103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</row>
    <row r="42" spans="7:103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</row>
    <row r="43" spans="7:103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</row>
    <row r="44" spans="7:103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</row>
    <row r="45" spans="7:103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</row>
    <row r="46" spans="7:103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</row>
  </sheetData>
  <mergeCells count="17">
    <mergeCell ref="A20:B20"/>
    <mergeCell ref="A21:B21"/>
    <mergeCell ref="A14:F14"/>
    <mergeCell ref="A11:B11"/>
    <mergeCell ref="B12:F12"/>
    <mergeCell ref="E13:F13"/>
    <mergeCell ref="A16:B16"/>
    <mergeCell ref="A8:A9"/>
    <mergeCell ref="B8:B9"/>
    <mergeCell ref="C8:C9"/>
    <mergeCell ref="D8:D9"/>
    <mergeCell ref="A2:C2"/>
    <mergeCell ref="A3:C3"/>
    <mergeCell ref="A5:F5"/>
    <mergeCell ref="A6:F6"/>
    <mergeCell ref="E8:E9"/>
    <mergeCell ref="F8:F9"/>
  </mergeCells>
  <phoneticPr fontId="57" type="noConversion"/>
  <pageMargins left="0.31" right="0.2" top="0.44" bottom="0.49" header="0.3" footer="0.3"/>
  <pageSetup paperSize="9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zoomScale="90" zoomScaleNormal="90" workbookViewId="0">
      <selection activeCell="H11" sqref="H11"/>
    </sheetView>
  </sheetViews>
  <sheetFormatPr defaultColWidth="9" defaultRowHeight="15"/>
  <cols>
    <col min="1" max="1" width="5.375" style="289" customWidth="1"/>
    <col min="2" max="2" width="19.125" style="289" customWidth="1"/>
    <col min="3" max="3" width="17.125" style="29" customWidth="1"/>
    <col min="4" max="4" width="13.375" style="29" customWidth="1"/>
    <col min="5" max="5" width="9.375" style="29" customWidth="1"/>
    <col min="6" max="6" width="15" style="29" customWidth="1"/>
    <col min="7" max="7" width="16.375" style="29" customWidth="1"/>
    <col min="8" max="8" width="15.875" style="29" customWidth="1"/>
    <col min="9" max="9" width="18" style="29" customWidth="1"/>
    <col min="10" max="16384" width="9" style="599"/>
  </cols>
  <sheetData>
    <row r="1" spans="1:13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0"/>
      <c r="K1" s="40"/>
      <c r="L1" s="40"/>
      <c r="M1" s="40"/>
    </row>
    <row r="2" spans="1:13" ht="15.75">
      <c r="A2" s="4666" t="s">
        <v>299</v>
      </c>
      <c r="B2" s="4666"/>
      <c r="C2" s="4666"/>
      <c r="D2" s="4666"/>
      <c r="E2" s="4666"/>
      <c r="F2" s="4666"/>
      <c r="G2" s="4666"/>
      <c r="H2" s="4666"/>
      <c r="I2" s="4666"/>
      <c r="J2" s="42"/>
      <c r="K2" s="42"/>
      <c r="L2" s="42"/>
      <c r="M2" s="42"/>
    </row>
    <row r="3" spans="1:13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5.75">
      <c r="A4" s="4666" t="s">
        <v>540</v>
      </c>
      <c r="B4" s="4666"/>
      <c r="C4" s="4666"/>
      <c r="D4" s="4666"/>
      <c r="E4" s="40"/>
      <c r="F4" s="40"/>
      <c r="G4" s="40"/>
      <c r="H4" s="40"/>
      <c r="I4" s="42"/>
      <c r="J4" s="42"/>
      <c r="K4" s="42"/>
      <c r="L4" s="42"/>
      <c r="M4" s="42"/>
    </row>
    <row r="5" spans="1:13" ht="15.75">
      <c r="A5" s="4480" t="s">
        <v>541</v>
      </c>
      <c r="B5" s="4480"/>
      <c r="C5" s="4480"/>
      <c r="D5" s="4480"/>
      <c r="E5" s="42"/>
      <c r="F5" s="42"/>
      <c r="G5" s="42"/>
      <c r="H5" s="42"/>
      <c r="I5" s="42"/>
      <c r="J5" s="42"/>
      <c r="K5" s="42"/>
      <c r="L5" s="42"/>
      <c r="M5" s="42"/>
    </row>
    <row r="6" spans="1:13" ht="6" customHeight="1">
      <c r="I6" s="600"/>
    </row>
    <row r="7" spans="1:13" ht="18.75">
      <c r="A7" s="3951" t="s">
        <v>590</v>
      </c>
      <c r="B7" s="3951"/>
      <c r="C7" s="3951"/>
      <c r="D7" s="3951"/>
      <c r="E7" s="3951"/>
      <c r="F7" s="3951"/>
      <c r="G7" s="3951"/>
      <c r="H7" s="3951"/>
      <c r="I7" s="3951"/>
    </row>
    <row r="8" spans="1:13" ht="9" customHeight="1"/>
    <row r="9" spans="1:13" ht="24.75" customHeight="1">
      <c r="A9" s="4509" t="s">
        <v>1</v>
      </c>
      <c r="B9" s="4705" t="s">
        <v>509</v>
      </c>
      <c r="C9" s="4509" t="s">
        <v>542</v>
      </c>
      <c r="D9" s="4509" t="s">
        <v>543</v>
      </c>
      <c r="E9" s="4701" t="s">
        <v>544</v>
      </c>
      <c r="F9" s="4705" t="s">
        <v>591</v>
      </c>
      <c r="G9" s="4705" t="s">
        <v>545</v>
      </c>
      <c r="H9" s="4705" t="s">
        <v>546</v>
      </c>
      <c r="I9" s="4509" t="s">
        <v>345</v>
      </c>
    </row>
    <row r="10" spans="1:13" ht="24.75" customHeight="1">
      <c r="A10" s="4509"/>
      <c r="B10" s="4706"/>
      <c r="C10" s="4509"/>
      <c r="D10" s="4509"/>
      <c r="E10" s="4702"/>
      <c r="F10" s="4706"/>
      <c r="G10" s="4706"/>
      <c r="H10" s="4706"/>
      <c r="I10" s="4509"/>
    </row>
    <row r="11" spans="1:13" ht="17.100000000000001" customHeight="1">
      <c r="A11" s="601">
        <v>1</v>
      </c>
      <c r="B11" s="602" t="s">
        <v>547</v>
      </c>
      <c r="C11" s="602" t="s">
        <v>548</v>
      </c>
      <c r="D11" s="602" t="s">
        <v>549</v>
      </c>
      <c r="E11" s="603">
        <v>11</v>
      </c>
      <c r="F11" s="604">
        <v>150000</v>
      </c>
      <c r="G11" s="604">
        <f>F11</f>
        <v>150000</v>
      </c>
      <c r="H11" s="605"/>
      <c r="I11" s="606"/>
    </row>
    <row r="12" spans="1:13" ht="17.100000000000001" customHeight="1">
      <c r="A12" s="601">
        <v>2</v>
      </c>
      <c r="B12" s="607" t="s">
        <v>550</v>
      </c>
      <c r="C12" s="607" t="s">
        <v>551</v>
      </c>
      <c r="D12" s="607" t="s">
        <v>549</v>
      </c>
      <c r="E12" s="608">
        <v>22</v>
      </c>
      <c r="F12" s="609">
        <v>150000</v>
      </c>
      <c r="G12" s="609">
        <f t="shared" ref="G12:G19" si="0">F12</f>
        <v>150000</v>
      </c>
      <c r="H12" s="610"/>
      <c r="I12" s="611"/>
    </row>
    <row r="13" spans="1:13" ht="17.100000000000001" customHeight="1">
      <c r="A13" s="601">
        <v>3</v>
      </c>
      <c r="B13" s="607" t="s">
        <v>552</v>
      </c>
      <c r="C13" s="607" t="s">
        <v>553</v>
      </c>
      <c r="D13" s="607" t="s">
        <v>549</v>
      </c>
      <c r="E13" s="608">
        <v>1</v>
      </c>
      <c r="F13" s="609">
        <v>150000</v>
      </c>
      <c r="G13" s="609">
        <f t="shared" si="0"/>
        <v>150000</v>
      </c>
      <c r="H13" s="610"/>
      <c r="I13" s="611"/>
    </row>
    <row r="14" spans="1:13" ht="17.100000000000001" customHeight="1">
      <c r="A14" s="601">
        <v>4</v>
      </c>
      <c r="B14" s="607" t="s">
        <v>554</v>
      </c>
      <c r="C14" s="607" t="s">
        <v>555</v>
      </c>
      <c r="D14" s="607" t="s">
        <v>549</v>
      </c>
      <c r="E14" s="608"/>
      <c r="F14" s="609">
        <v>150000</v>
      </c>
      <c r="G14" s="609">
        <f t="shared" si="0"/>
        <v>150000</v>
      </c>
      <c r="H14" s="610"/>
      <c r="I14" s="611"/>
    </row>
    <row r="15" spans="1:13" ht="17.100000000000001" customHeight="1">
      <c r="A15" s="601">
        <v>5</v>
      </c>
      <c r="B15" s="607" t="s">
        <v>556</v>
      </c>
      <c r="C15" s="607" t="s">
        <v>557</v>
      </c>
      <c r="D15" s="607" t="s">
        <v>549</v>
      </c>
      <c r="E15" s="608"/>
      <c r="F15" s="609">
        <v>150000</v>
      </c>
      <c r="G15" s="609">
        <f t="shared" si="0"/>
        <v>150000</v>
      </c>
      <c r="H15" s="610"/>
      <c r="I15" s="611"/>
    </row>
    <row r="16" spans="1:13" ht="17.100000000000001" customHeight="1">
      <c r="A16" s="601">
        <v>6</v>
      </c>
      <c r="B16" s="607" t="s">
        <v>558</v>
      </c>
      <c r="C16" s="607" t="s">
        <v>559</v>
      </c>
      <c r="D16" s="607" t="s">
        <v>549</v>
      </c>
      <c r="E16" s="608"/>
      <c r="F16" s="609">
        <v>150000</v>
      </c>
      <c r="G16" s="609">
        <f t="shared" si="0"/>
        <v>150000</v>
      </c>
      <c r="H16" s="610"/>
      <c r="I16" s="611"/>
    </row>
    <row r="17" spans="1:9" ht="17.100000000000001" customHeight="1">
      <c r="A17" s="601">
        <v>7</v>
      </c>
      <c r="B17" s="607" t="s">
        <v>560</v>
      </c>
      <c r="C17" s="607" t="s">
        <v>561</v>
      </c>
      <c r="D17" s="607" t="s">
        <v>549</v>
      </c>
      <c r="E17" s="608"/>
      <c r="F17" s="609">
        <v>150000</v>
      </c>
      <c r="G17" s="609">
        <f t="shared" si="0"/>
        <v>150000</v>
      </c>
      <c r="H17" s="610"/>
      <c r="I17" s="611"/>
    </row>
    <row r="18" spans="1:9" ht="17.100000000000001" customHeight="1">
      <c r="A18" s="601">
        <v>8</v>
      </c>
      <c r="B18" s="607" t="s">
        <v>562</v>
      </c>
      <c r="C18" s="258" t="s">
        <v>563</v>
      </c>
      <c r="D18" s="607" t="s">
        <v>549</v>
      </c>
      <c r="E18" s="612"/>
      <c r="F18" s="609">
        <v>150000</v>
      </c>
      <c r="G18" s="609">
        <f t="shared" si="0"/>
        <v>150000</v>
      </c>
      <c r="H18" s="610"/>
      <c r="I18" s="611"/>
    </row>
    <row r="19" spans="1:9" ht="17.100000000000001" customHeight="1">
      <c r="A19" s="601">
        <v>9</v>
      </c>
      <c r="B19" s="607" t="s">
        <v>564</v>
      </c>
      <c r="C19" s="258" t="s">
        <v>565</v>
      </c>
      <c r="D19" s="607" t="s">
        <v>549</v>
      </c>
      <c r="E19" s="612"/>
      <c r="F19" s="609">
        <v>150000</v>
      </c>
      <c r="G19" s="609">
        <f t="shared" si="0"/>
        <v>150000</v>
      </c>
      <c r="H19" s="610"/>
      <c r="I19" s="611"/>
    </row>
    <row r="20" spans="1:9" ht="17.100000000000001" customHeight="1">
      <c r="A20" s="4704" t="s">
        <v>21</v>
      </c>
      <c r="B20" s="4704"/>
      <c r="C20" s="4704"/>
      <c r="D20" s="613"/>
      <c r="E20" s="614">
        <f>SUM(E11:E19)</f>
        <v>34</v>
      </c>
      <c r="F20" s="615">
        <f>SUM(F11:F19)</f>
        <v>1350000</v>
      </c>
      <c r="G20" s="615">
        <f>SUM(G11:G19)</f>
        <v>1350000</v>
      </c>
      <c r="H20" s="615"/>
      <c r="I20" s="614"/>
    </row>
    <row r="21" spans="1:9" ht="18.75" customHeight="1">
      <c r="C21" s="4703" t="s">
        <v>566</v>
      </c>
      <c r="D21" s="4703"/>
      <c r="E21" s="4703"/>
      <c r="F21" s="4703"/>
      <c r="G21" s="4703"/>
      <c r="H21" s="4703"/>
    </row>
    <row r="22" spans="1:9" ht="16.5">
      <c r="A22" s="157"/>
      <c r="B22" s="157"/>
      <c r="C22" s="157"/>
      <c r="D22" s="157"/>
      <c r="E22" s="283"/>
      <c r="F22" s="283"/>
      <c r="G22" s="616" t="s">
        <v>592</v>
      </c>
      <c r="I22" s="616"/>
    </row>
    <row r="23" spans="1:9" ht="15" customHeight="1">
      <c r="A23" s="4700" t="s">
        <v>46</v>
      </c>
      <c r="B23" s="4700"/>
      <c r="C23" s="4700" t="s">
        <v>567</v>
      </c>
      <c r="D23" s="4700"/>
      <c r="E23" s="4700" t="s">
        <v>568</v>
      </c>
      <c r="F23" s="4700"/>
      <c r="G23" s="4700" t="s">
        <v>167</v>
      </c>
      <c r="H23" s="4700"/>
      <c r="I23" s="10" t="s">
        <v>42</v>
      </c>
    </row>
    <row r="29" spans="1:9">
      <c r="G29" s="4694" t="s">
        <v>336</v>
      </c>
      <c r="H29" s="4694"/>
      <c r="I29" s="598" t="s">
        <v>337</v>
      </c>
    </row>
  </sheetData>
  <mergeCells count="21">
    <mergeCell ref="A1:I1"/>
    <mergeCell ref="A2:I2"/>
    <mergeCell ref="A4:D4"/>
    <mergeCell ref="A5:D5"/>
    <mergeCell ref="A7:I7"/>
    <mergeCell ref="G29:H29"/>
    <mergeCell ref="G9:G10"/>
    <mergeCell ref="H9:H10"/>
    <mergeCell ref="E23:F23"/>
    <mergeCell ref="F9:F10"/>
    <mergeCell ref="I9:I10"/>
    <mergeCell ref="A23:B23"/>
    <mergeCell ref="C23:D23"/>
    <mergeCell ref="C9:C10"/>
    <mergeCell ref="E9:E10"/>
    <mergeCell ref="G23:H23"/>
    <mergeCell ref="C21:H21"/>
    <mergeCell ref="A20:C20"/>
    <mergeCell ref="D9:D10"/>
    <mergeCell ref="B9:B10"/>
    <mergeCell ref="A9:A10"/>
  </mergeCells>
  <phoneticPr fontId="57" type="noConversion"/>
  <pageMargins left="0.44" right="0.19685039370078741" top="0.43307086614173229" bottom="0.47244094488188981" header="0.31496062992125984" footer="0.31496062992125984"/>
  <pageSetup paperSize="9" fitToHeight="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69"/>
  <sheetViews>
    <sheetView topLeftCell="A9" zoomScaleNormal="100" workbookViewId="0">
      <selection activeCell="M15" sqref="M15"/>
    </sheetView>
  </sheetViews>
  <sheetFormatPr defaultColWidth="9.375" defaultRowHeight="15"/>
  <cols>
    <col min="1" max="1" width="4.25" style="482" customWidth="1"/>
    <col min="2" max="2" width="5.375" style="482" hidden="1" customWidth="1"/>
    <col min="3" max="3" width="17.125" style="482" customWidth="1"/>
    <col min="4" max="4" width="6.125" style="482" customWidth="1"/>
    <col min="5" max="5" width="6.375" style="482" customWidth="1"/>
    <col min="6" max="6" width="7.125" style="482" customWidth="1"/>
    <col min="7" max="7" width="6.25" style="482" customWidth="1"/>
    <col min="8" max="8" width="7.125" style="482" customWidth="1"/>
    <col min="9" max="9" width="8.375" style="482" customWidth="1"/>
    <col min="10" max="10" width="8.75" style="482" customWidth="1"/>
    <col min="11" max="11" width="8.625" style="482" customWidth="1"/>
    <col min="12" max="12" width="6.625" style="482" customWidth="1"/>
    <col min="13" max="13" width="8.125" style="482" customWidth="1"/>
    <col min="14" max="14" width="8.375" style="482" customWidth="1"/>
    <col min="15" max="15" width="10.125" style="482" bestFit="1" customWidth="1"/>
    <col min="16" max="16384" width="9.375" style="482"/>
  </cols>
  <sheetData>
    <row r="1" spans="1:31" ht="15.75"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31" ht="15.75">
      <c r="A2" s="4710" t="s">
        <v>164</v>
      </c>
      <c r="B2" s="4710"/>
      <c r="C2" s="4710"/>
      <c r="D2" s="4710"/>
      <c r="E2" s="4710"/>
      <c r="F2" s="484"/>
      <c r="G2" s="484"/>
      <c r="H2" s="4592" t="s">
        <v>165</v>
      </c>
      <c r="I2" s="4592"/>
      <c r="J2" s="4592"/>
      <c r="K2" s="4592"/>
      <c r="L2" s="4592"/>
      <c r="M2" s="4592"/>
      <c r="N2" s="4592"/>
    </row>
    <row r="3" spans="1:31" ht="15.75">
      <c r="A3" s="4711" t="s">
        <v>324</v>
      </c>
      <c r="B3" s="4711"/>
      <c r="C3" s="4711"/>
      <c r="D3" s="4711"/>
      <c r="E3" s="4711"/>
      <c r="F3" s="484"/>
      <c r="G3" s="484"/>
      <c r="H3" s="4593" t="s">
        <v>299</v>
      </c>
      <c r="I3" s="4593"/>
      <c r="J3" s="4593"/>
      <c r="K3" s="4593"/>
      <c r="L3" s="4593"/>
      <c r="M3" s="4593"/>
      <c r="N3" s="4593"/>
    </row>
    <row r="4" spans="1:31" ht="15.75" customHeight="1">
      <c r="B4" s="483"/>
      <c r="C4" s="483"/>
      <c r="D4" s="483"/>
      <c r="E4" s="483"/>
      <c r="F4" s="483"/>
      <c r="G4" s="483"/>
      <c r="H4" s="483"/>
      <c r="I4" s="483"/>
      <c r="J4" s="484"/>
      <c r="K4" s="484"/>
      <c r="L4" s="484"/>
      <c r="M4" s="484"/>
      <c r="N4" s="484"/>
    </row>
    <row r="5" spans="1:31" ht="20.25" customHeight="1">
      <c r="A5" s="4712" t="s">
        <v>593</v>
      </c>
      <c r="B5" s="4712"/>
      <c r="C5" s="4712"/>
      <c r="D5" s="4712"/>
      <c r="E5" s="4712"/>
      <c r="F5" s="4712"/>
      <c r="G5" s="4712"/>
      <c r="H5" s="4712"/>
      <c r="I5" s="4712"/>
      <c r="J5" s="4712"/>
      <c r="K5" s="4712"/>
      <c r="L5" s="4712"/>
      <c r="M5" s="4712"/>
      <c r="N5" s="4712"/>
    </row>
    <row r="6" spans="1:31" ht="24" customHeight="1">
      <c r="A6" s="485"/>
      <c r="B6" s="485"/>
      <c r="C6" s="485"/>
      <c r="D6" s="485"/>
      <c r="E6" s="485"/>
      <c r="F6" s="485"/>
      <c r="G6" s="485"/>
      <c r="H6" s="485"/>
      <c r="I6" s="484"/>
      <c r="J6" s="484"/>
      <c r="K6" s="484"/>
      <c r="L6" s="484"/>
      <c r="M6" s="484"/>
      <c r="N6" s="484"/>
    </row>
    <row r="7" spans="1:31" ht="60" customHeight="1">
      <c r="A7" s="486" t="s">
        <v>19</v>
      </c>
      <c r="B7" s="486" t="s">
        <v>239</v>
      </c>
      <c r="C7" s="486" t="s">
        <v>20</v>
      </c>
      <c r="D7" s="487" t="s">
        <v>325</v>
      </c>
      <c r="E7" s="488" t="s">
        <v>300</v>
      </c>
      <c r="F7" s="488" t="s">
        <v>301</v>
      </c>
      <c r="G7" s="488" t="s">
        <v>302</v>
      </c>
      <c r="H7" s="488" t="s">
        <v>303</v>
      </c>
      <c r="I7" s="488" t="s">
        <v>304</v>
      </c>
      <c r="J7" s="488" t="s">
        <v>305</v>
      </c>
      <c r="K7" s="488" t="s">
        <v>306</v>
      </c>
      <c r="L7" s="488" t="s">
        <v>307</v>
      </c>
      <c r="M7" s="488" t="s">
        <v>308</v>
      </c>
      <c r="N7" s="486" t="s">
        <v>309</v>
      </c>
    </row>
    <row r="8" spans="1:31" ht="21" customHeight="1">
      <c r="A8" s="4707" t="s">
        <v>393</v>
      </c>
      <c r="B8" s="4708"/>
      <c r="C8" s="4708"/>
      <c r="D8" s="4708"/>
      <c r="E8" s="4708"/>
      <c r="F8" s="4708"/>
      <c r="G8" s="4708"/>
      <c r="H8" s="4708"/>
      <c r="I8" s="4708"/>
      <c r="J8" s="4708"/>
      <c r="K8" s="4708"/>
      <c r="L8" s="4708"/>
      <c r="M8" s="4708"/>
      <c r="N8" s="4709"/>
    </row>
    <row r="9" spans="1:31" s="490" customFormat="1" ht="25.5" customHeight="1">
      <c r="A9" s="511">
        <v>1</v>
      </c>
      <c r="B9" s="512" t="s">
        <v>242</v>
      </c>
      <c r="C9" s="489" t="s">
        <v>100</v>
      </c>
      <c r="D9" s="513" t="s">
        <v>40</v>
      </c>
      <c r="E9" s="513" t="e">
        <f>VLOOKUP(C9,#REF!,33,0)</f>
        <v>#REF!</v>
      </c>
      <c r="F9" s="514"/>
      <c r="G9" s="514"/>
      <c r="H9" s="514" t="e">
        <f>SUM(E9:G9)</f>
        <v>#REF!</v>
      </c>
      <c r="I9" s="515" t="e">
        <f>IF(H9&gt;=26,"40",IF(H9&gt;=23,"35",IF(H9&gt;=20,"30","25")))</f>
        <v>#REF!</v>
      </c>
      <c r="J9" s="516" t="s">
        <v>92</v>
      </c>
      <c r="K9" s="517">
        <f>IF(J9="A",60,IF(J9="B",50,IF(J9="C",45,IF(J9="D",40))))</f>
        <v>50</v>
      </c>
      <c r="L9" s="518" t="e">
        <f>I9+K9</f>
        <v>#REF!</v>
      </c>
      <c r="M9" s="519" t="e">
        <f>IF(L9&lt;70,"D",IF(L9&lt;=80,"C",IF(L9&gt;=95,"A","B")))</f>
        <v>#REF!</v>
      </c>
      <c r="N9" s="517"/>
      <c r="O9" s="632" t="e">
        <f>IF(H9&lt;20,25,IF(H9&lt;=22,30,IF(H9&gt;=26,"40",35)))</f>
        <v>#REF!</v>
      </c>
      <c r="P9" s="633">
        <f>IF(J9="A",60,IF(J9="B",50,IF(J9="C",45,IF(J9="d",40))))</f>
        <v>50</v>
      </c>
      <c r="Q9" s="635" t="e">
        <f>+O9+P9</f>
        <v>#REF!</v>
      </c>
      <c r="R9" s="634" t="e">
        <f>IF(Q9&lt;70,"D",IF(Q9&gt;=95,"A",IF(Q9&lt;=80,"C","B")))</f>
        <v>#REF!</v>
      </c>
      <c r="S9" s="482" t="e">
        <f>EXACT(M9,R9)</f>
        <v>#REF!</v>
      </c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</row>
    <row r="10" spans="1:31" s="490" customFormat="1" ht="25.5" customHeight="1">
      <c r="A10" s="520">
        <v>2</v>
      </c>
      <c r="B10" s="512" t="s">
        <v>241</v>
      </c>
      <c r="C10" s="489" t="s">
        <v>101</v>
      </c>
      <c r="D10" s="513" t="s">
        <v>40</v>
      </c>
      <c r="E10" s="513" t="e">
        <f>VLOOKUP(C10,#REF!,33,0)</f>
        <v>#REF!</v>
      </c>
      <c r="F10" s="514"/>
      <c r="G10" s="514"/>
      <c r="H10" s="514" t="e">
        <f>SUM(E10:G10)</f>
        <v>#REF!</v>
      </c>
      <c r="I10" s="515" t="e">
        <f t="shared" ref="I10:I56" si="0">IF(H10&gt;=26,"40",IF(H10&gt;=23,"35",IF(H10&gt;=20,"30","25")))</f>
        <v>#REF!</v>
      </c>
      <c r="J10" s="516" t="s">
        <v>52</v>
      </c>
      <c r="K10" s="517">
        <f t="shared" ref="K10:K56" si="1">IF(J10="A",60,IF(J10="B",50,IF(J10="C",45,IF(J10="D",40))))</f>
        <v>60</v>
      </c>
      <c r="L10" s="518" t="e">
        <f t="shared" ref="L10:L56" si="2">I10+K10</f>
        <v>#REF!</v>
      </c>
      <c r="M10" s="519" t="e">
        <f t="shared" ref="M10:M56" si="3">IF(L10&lt;70,"D",IF(L10&lt;=80,"C",IF(L10&gt;=95,"A","B")))</f>
        <v>#REF!</v>
      </c>
      <c r="N10" s="517"/>
      <c r="O10" s="632" t="e">
        <f t="shared" ref="O10:O56" si="4">IF(H10&lt;20,25,IF(H10&lt;=22,30,IF(H10&gt;=26,"40",35)))</f>
        <v>#REF!</v>
      </c>
      <c r="P10" s="633">
        <f t="shared" ref="P10:P56" si="5">IF(J10="A",60,IF(J10="B",50,IF(J10="C",45,IF(J10="d",40))))</f>
        <v>60</v>
      </c>
      <c r="Q10" s="635" t="e">
        <f t="shared" ref="Q10:Q56" si="6">+O10+P10</f>
        <v>#REF!</v>
      </c>
      <c r="R10" s="634" t="e">
        <f t="shared" ref="R10:R56" si="7">IF(Q10&lt;70,"D",IF(Q10&gt;=95,"A",IF(Q10&lt;=80,"C","B")))</f>
        <v>#REF!</v>
      </c>
      <c r="S10" s="482" t="e">
        <f t="shared" ref="S10:S56" si="8">EXACT(M10,R10)</f>
        <v>#REF!</v>
      </c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</row>
    <row r="11" spans="1:31" s="490" customFormat="1" ht="25.5" customHeight="1">
      <c r="A11" s="511">
        <v>3</v>
      </c>
      <c r="B11" s="512" t="s">
        <v>245</v>
      </c>
      <c r="C11" s="480" t="s">
        <v>402</v>
      </c>
      <c r="D11" s="513" t="s">
        <v>40</v>
      </c>
      <c r="E11" s="513" t="e">
        <f>VLOOKUP(C11,#REF!,33,0)</f>
        <v>#REF!</v>
      </c>
      <c r="F11" s="514"/>
      <c r="G11" s="514"/>
      <c r="H11" s="514" t="e">
        <f t="shared" ref="H11:H43" si="9">SUM(E11:G11)</f>
        <v>#REF!</v>
      </c>
      <c r="I11" s="515" t="e">
        <f t="shared" si="0"/>
        <v>#REF!</v>
      </c>
      <c r="J11" s="516" t="s">
        <v>52</v>
      </c>
      <c r="K11" s="517">
        <f t="shared" si="1"/>
        <v>60</v>
      </c>
      <c r="L11" s="518" t="e">
        <f t="shared" si="2"/>
        <v>#REF!</v>
      </c>
      <c r="M11" s="519" t="e">
        <f t="shared" si="3"/>
        <v>#REF!</v>
      </c>
      <c r="N11" s="517"/>
      <c r="O11" s="632" t="e">
        <f t="shared" si="4"/>
        <v>#REF!</v>
      </c>
      <c r="P11" s="633">
        <f t="shared" si="5"/>
        <v>60</v>
      </c>
      <c r="Q11" s="635" t="e">
        <f t="shared" si="6"/>
        <v>#REF!</v>
      </c>
      <c r="R11" s="634" t="e">
        <f t="shared" si="7"/>
        <v>#REF!</v>
      </c>
      <c r="S11" s="482" t="e">
        <f t="shared" si="8"/>
        <v>#REF!</v>
      </c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</row>
    <row r="12" spans="1:31" s="490" customFormat="1" ht="25.5" customHeight="1">
      <c r="A12" s="511">
        <v>4</v>
      </c>
      <c r="B12" s="512" t="s">
        <v>285</v>
      </c>
      <c r="C12" s="480" t="s">
        <v>278</v>
      </c>
      <c r="D12" s="513" t="s">
        <v>40</v>
      </c>
      <c r="E12" s="513" t="e">
        <f>VLOOKUP(C12,#REF!,33,0)</f>
        <v>#REF!</v>
      </c>
      <c r="F12" s="514"/>
      <c r="G12" s="514"/>
      <c r="H12" s="514" t="e">
        <f t="shared" si="9"/>
        <v>#REF!</v>
      </c>
      <c r="I12" s="515" t="e">
        <f t="shared" si="0"/>
        <v>#REF!</v>
      </c>
      <c r="J12" s="516" t="s">
        <v>52</v>
      </c>
      <c r="K12" s="517">
        <f t="shared" si="1"/>
        <v>60</v>
      </c>
      <c r="L12" s="518" t="e">
        <f t="shared" si="2"/>
        <v>#REF!</v>
      </c>
      <c r="M12" s="519" t="e">
        <f t="shared" si="3"/>
        <v>#REF!</v>
      </c>
      <c r="N12" s="517"/>
      <c r="O12" s="632" t="e">
        <f t="shared" si="4"/>
        <v>#REF!</v>
      </c>
      <c r="P12" s="633">
        <f t="shared" si="5"/>
        <v>60</v>
      </c>
      <c r="Q12" s="635" t="e">
        <f t="shared" si="6"/>
        <v>#REF!</v>
      </c>
      <c r="R12" s="634" t="e">
        <f t="shared" si="7"/>
        <v>#REF!</v>
      </c>
      <c r="S12" s="482" t="e">
        <f t="shared" si="8"/>
        <v>#REF!</v>
      </c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</row>
    <row r="13" spans="1:31" s="490" customFormat="1" ht="25.5" customHeight="1">
      <c r="A13" s="520">
        <v>5</v>
      </c>
      <c r="B13" s="512" t="s">
        <v>240</v>
      </c>
      <c r="C13" s="480" t="s">
        <v>382</v>
      </c>
      <c r="D13" s="513" t="s">
        <v>40</v>
      </c>
      <c r="E13" s="513" t="e">
        <f>VLOOKUP(C13,#REF!,33,0)</f>
        <v>#REF!</v>
      </c>
      <c r="F13" s="514"/>
      <c r="G13" s="514"/>
      <c r="H13" s="514" t="e">
        <f t="shared" si="9"/>
        <v>#REF!</v>
      </c>
      <c r="I13" s="515" t="e">
        <f t="shared" si="0"/>
        <v>#REF!</v>
      </c>
      <c r="J13" s="516" t="s">
        <v>92</v>
      </c>
      <c r="K13" s="517">
        <f t="shared" si="1"/>
        <v>50</v>
      </c>
      <c r="L13" s="518" t="e">
        <f t="shared" si="2"/>
        <v>#REF!</v>
      </c>
      <c r="M13" s="519" t="e">
        <f t="shared" si="3"/>
        <v>#REF!</v>
      </c>
      <c r="N13" s="517"/>
      <c r="O13" s="632" t="e">
        <f t="shared" si="4"/>
        <v>#REF!</v>
      </c>
      <c r="P13" s="633">
        <f t="shared" si="5"/>
        <v>50</v>
      </c>
      <c r="Q13" s="635" t="e">
        <f t="shared" si="6"/>
        <v>#REF!</v>
      </c>
      <c r="R13" s="634" t="e">
        <f t="shared" si="7"/>
        <v>#REF!</v>
      </c>
      <c r="S13" s="482" t="e">
        <f t="shared" si="8"/>
        <v>#REF!</v>
      </c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</row>
    <row r="14" spans="1:31" s="490" customFormat="1" ht="25.5" customHeight="1">
      <c r="A14" s="511">
        <v>6</v>
      </c>
      <c r="B14" s="521" t="s">
        <v>348</v>
      </c>
      <c r="C14" s="480" t="s">
        <v>266</v>
      </c>
      <c r="D14" s="513" t="s">
        <v>40</v>
      </c>
      <c r="E14" s="513" t="e">
        <f>VLOOKUP(C14,#REF!,33,0)</f>
        <v>#REF!</v>
      </c>
      <c r="F14" s="514"/>
      <c r="G14" s="514"/>
      <c r="H14" s="514" t="e">
        <f t="shared" si="9"/>
        <v>#REF!</v>
      </c>
      <c r="I14" s="515" t="e">
        <f t="shared" si="0"/>
        <v>#REF!</v>
      </c>
      <c r="J14" s="516" t="s">
        <v>52</v>
      </c>
      <c r="K14" s="517">
        <f t="shared" si="1"/>
        <v>60</v>
      </c>
      <c r="L14" s="518" t="e">
        <f t="shared" si="2"/>
        <v>#REF!</v>
      </c>
      <c r="M14" s="519" t="e">
        <f t="shared" si="3"/>
        <v>#REF!</v>
      </c>
      <c r="N14" s="517"/>
      <c r="O14" s="632" t="e">
        <f t="shared" si="4"/>
        <v>#REF!</v>
      </c>
      <c r="P14" s="633">
        <f t="shared" si="5"/>
        <v>60</v>
      </c>
      <c r="Q14" s="635" t="e">
        <f t="shared" si="6"/>
        <v>#REF!</v>
      </c>
      <c r="R14" s="634" t="e">
        <f t="shared" si="7"/>
        <v>#REF!</v>
      </c>
      <c r="S14" s="482" t="e">
        <f t="shared" si="8"/>
        <v>#REF!</v>
      </c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</row>
    <row r="15" spans="1:31" s="650" customFormat="1" ht="25.5" customHeight="1">
      <c r="A15" s="636">
        <v>7</v>
      </c>
      <c r="B15" s="637" t="s">
        <v>329</v>
      </c>
      <c r="C15" s="638" t="s">
        <v>580</v>
      </c>
      <c r="D15" s="639" t="s">
        <v>40</v>
      </c>
      <c r="E15" s="639" t="e">
        <f>VLOOKUP(C15,#REF!,33,0)</f>
        <v>#REF!</v>
      </c>
      <c r="F15" s="640"/>
      <c r="G15" s="640"/>
      <c r="H15" s="640" t="e">
        <f t="shared" si="9"/>
        <v>#REF!</v>
      </c>
      <c r="I15" s="641" t="e">
        <f t="shared" si="0"/>
        <v>#REF!</v>
      </c>
      <c r="J15" s="642" t="s">
        <v>92</v>
      </c>
      <c r="K15" s="643">
        <f t="shared" si="1"/>
        <v>50</v>
      </c>
      <c r="L15" s="644" t="e">
        <f t="shared" si="2"/>
        <v>#REF!</v>
      </c>
      <c r="M15" s="519" t="e">
        <f t="shared" si="3"/>
        <v>#REF!</v>
      </c>
      <c r="N15" s="643"/>
      <c r="O15" s="645" t="e">
        <f t="shared" si="4"/>
        <v>#REF!</v>
      </c>
      <c r="P15" s="646">
        <f t="shared" si="5"/>
        <v>50</v>
      </c>
      <c r="Q15" s="647" t="e">
        <f t="shared" si="6"/>
        <v>#REF!</v>
      </c>
      <c r="R15" s="648" t="e">
        <f t="shared" si="7"/>
        <v>#REF!</v>
      </c>
      <c r="S15" s="649" t="e">
        <f t="shared" si="8"/>
        <v>#REF!</v>
      </c>
      <c r="T15" s="649"/>
      <c r="U15" s="649"/>
      <c r="V15" s="649"/>
      <c r="W15" s="649"/>
      <c r="X15" s="649"/>
      <c r="Y15" s="649"/>
      <c r="Z15" s="649"/>
      <c r="AA15" s="649"/>
      <c r="AB15" s="649"/>
      <c r="AC15" s="649"/>
      <c r="AD15" s="649"/>
      <c r="AE15" s="649"/>
    </row>
    <row r="16" spans="1:31" s="490" customFormat="1" ht="25.5" customHeight="1">
      <c r="A16" s="520">
        <v>8</v>
      </c>
      <c r="B16" s="512" t="s">
        <v>243</v>
      </c>
      <c r="C16" s="480" t="s">
        <v>403</v>
      </c>
      <c r="D16" s="513" t="s">
        <v>40</v>
      </c>
      <c r="E16" s="513" t="e">
        <f>VLOOKUP(C16,#REF!,33,0)</f>
        <v>#REF!</v>
      </c>
      <c r="F16" s="514"/>
      <c r="G16" s="514"/>
      <c r="H16" s="514" t="e">
        <f t="shared" si="9"/>
        <v>#REF!</v>
      </c>
      <c r="I16" s="515" t="e">
        <f t="shared" si="0"/>
        <v>#REF!</v>
      </c>
      <c r="J16" s="516" t="s">
        <v>52</v>
      </c>
      <c r="K16" s="517">
        <f t="shared" si="1"/>
        <v>60</v>
      </c>
      <c r="L16" s="518" t="e">
        <f t="shared" si="2"/>
        <v>#REF!</v>
      </c>
      <c r="M16" s="519" t="s">
        <v>52</v>
      </c>
      <c r="N16" s="517"/>
      <c r="O16" s="632" t="e">
        <f t="shared" si="4"/>
        <v>#REF!</v>
      </c>
      <c r="P16" s="633">
        <f t="shared" si="5"/>
        <v>60</v>
      </c>
      <c r="Q16" s="635" t="e">
        <f t="shared" si="6"/>
        <v>#REF!</v>
      </c>
      <c r="R16" s="634" t="e">
        <f t="shared" si="7"/>
        <v>#REF!</v>
      </c>
      <c r="S16" s="482" t="e">
        <f t="shared" si="8"/>
        <v>#REF!</v>
      </c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</row>
    <row r="17" spans="1:31" s="490" customFormat="1" ht="25.5" customHeight="1">
      <c r="A17" s="511">
        <v>9</v>
      </c>
      <c r="B17" s="512" t="s">
        <v>252</v>
      </c>
      <c r="C17" s="480" t="s">
        <v>404</v>
      </c>
      <c r="D17" s="513" t="s">
        <v>40</v>
      </c>
      <c r="E17" s="513" t="e">
        <f>VLOOKUP(C17,#REF!,33,0)</f>
        <v>#REF!</v>
      </c>
      <c r="F17" s="514"/>
      <c r="G17" s="514"/>
      <c r="H17" s="514" t="e">
        <f t="shared" si="9"/>
        <v>#REF!</v>
      </c>
      <c r="I17" s="515" t="e">
        <f t="shared" si="0"/>
        <v>#REF!</v>
      </c>
      <c r="J17" s="516" t="s">
        <v>53</v>
      </c>
      <c r="K17" s="517">
        <f t="shared" si="1"/>
        <v>45</v>
      </c>
      <c r="L17" s="518" t="e">
        <f t="shared" si="2"/>
        <v>#REF!</v>
      </c>
      <c r="M17" s="519" t="e">
        <f t="shared" si="3"/>
        <v>#REF!</v>
      </c>
      <c r="N17" s="517"/>
      <c r="O17" s="632" t="e">
        <f t="shared" si="4"/>
        <v>#REF!</v>
      </c>
      <c r="P17" s="633">
        <f t="shared" si="5"/>
        <v>45</v>
      </c>
      <c r="Q17" s="635" t="e">
        <f t="shared" si="6"/>
        <v>#REF!</v>
      </c>
      <c r="R17" s="634" t="e">
        <f t="shared" si="7"/>
        <v>#REF!</v>
      </c>
      <c r="S17" s="482" t="e">
        <f t="shared" si="8"/>
        <v>#REF!</v>
      </c>
      <c r="T17" s="482"/>
      <c r="U17" s="482"/>
      <c r="V17" s="482"/>
      <c r="W17" s="482"/>
      <c r="X17" s="482"/>
      <c r="Y17" s="482"/>
      <c r="Z17" s="482"/>
      <c r="AA17" s="482"/>
      <c r="AB17" s="482"/>
      <c r="AC17" s="482"/>
      <c r="AD17" s="482"/>
      <c r="AE17" s="482"/>
    </row>
    <row r="18" spans="1:31" s="490" customFormat="1" ht="25.5" customHeight="1">
      <c r="A18" s="511">
        <v>10</v>
      </c>
      <c r="B18" s="512" t="s">
        <v>246</v>
      </c>
      <c r="C18" s="480" t="s">
        <v>254</v>
      </c>
      <c r="D18" s="513" t="s">
        <v>40</v>
      </c>
      <c r="E18" s="513" t="e">
        <f>VLOOKUP(C18,#REF!,33,0)</f>
        <v>#REF!</v>
      </c>
      <c r="F18" s="514"/>
      <c r="G18" s="514"/>
      <c r="H18" s="514" t="e">
        <f t="shared" si="9"/>
        <v>#REF!</v>
      </c>
      <c r="I18" s="515" t="e">
        <f t="shared" si="0"/>
        <v>#REF!</v>
      </c>
      <c r="J18" s="516" t="s">
        <v>52</v>
      </c>
      <c r="K18" s="517">
        <f t="shared" si="1"/>
        <v>60</v>
      </c>
      <c r="L18" s="518" t="e">
        <f t="shared" si="2"/>
        <v>#REF!</v>
      </c>
      <c r="M18" s="519" t="e">
        <f t="shared" si="3"/>
        <v>#REF!</v>
      </c>
      <c r="N18" s="517"/>
      <c r="O18" s="632" t="e">
        <f t="shared" si="4"/>
        <v>#REF!</v>
      </c>
      <c r="P18" s="633">
        <f t="shared" si="5"/>
        <v>60</v>
      </c>
      <c r="Q18" s="635" t="e">
        <f t="shared" si="6"/>
        <v>#REF!</v>
      </c>
      <c r="R18" s="634" t="e">
        <f t="shared" si="7"/>
        <v>#REF!</v>
      </c>
      <c r="S18" s="482" t="e">
        <f t="shared" si="8"/>
        <v>#REF!</v>
      </c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</row>
    <row r="19" spans="1:31" s="490" customFormat="1" ht="25.5" customHeight="1">
      <c r="A19" s="520">
        <v>11</v>
      </c>
      <c r="B19" s="512" t="s">
        <v>286</v>
      </c>
      <c r="C19" s="480" t="s">
        <v>405</v>
      </c>
      <c r="D19" s="513" t="s">
        <v>40</v>
      </c>
      <c r="E19" s="513" t="e">
        <f>VLOOKUP(C19,#REF!,33,0)</f>
        <v>#REF!</v>
      </c>
      <c r="F19" s="514"/>
      <c r="G19" s="514"/>
      <c r="H19" s="514" t="e">
        <f t="shared" si="9"/>
        <v>#REF!</v>
      </c>
      <c r="I19" s="515" t="e">
        <f t="shared" si="0"/>
        <v>#REF!</v>
      </c>
      <c r="J19" s="516" t="s">
        <v>92</v>
      </c>
      <c r="K19" s="517">
        <f t="shared" si="1"/>
        <v>50</v>
      </c>
      <c r="L19" s="518" t="e">
        <f t="shared" si="2"/>
        <v>#REF!</v>
      </c>
      <c r="M19" s="519" t="e">
        <f t="shared" si="3"/>
        <v>#REF!</v>
      </c>
      <c r="N19" s="517"/>
      <c r="O19" s="632" t="e">
        <f t="shared" si="4"/>
        <v>#REF!</v>
      </c>
      <c r="P19" s="633">
        <f t="shared" si="5"/>
        <v>50</v>
      </c>
      <c r="Q19" s="635" t="e">
        <f t="shared" si="6"/>
        <v>#REF!</v>
      </c>
      <c r="R19" s="634" t="e">
        <f t="shared" si="7"/>
        <v>#REF!</v>
      </c>
      <c r="S19" s="482" t="e">
        <f t="shared" si="8"/>
        <v>#REF!</v>
      </c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</row>
    <row r="20" spans="1:31" s="490" customFormat="1" ht="25.5" customHeight="1">
      <c r="A20" s="511">
        <v>12</v>
      </c>
      <c r="B20" s="512" t="s">
        <v>244</v>
      </c>
      <c r="C20" s="480" t="s">
        <v>271</v>
      </c>
      <c r="D20" s="513" t="s">
        <v>40</v>
      </c>
      <c r="E20" s="513" t="e">
        <f>VLOOKUP(C20,#REF!,33,0)</f>
        <v>#REF!</v>
      </c>
      <c r="F20" s="514"/>
      <c r="G20" s="514"/>
      <c r="H20" s="514" t="e">
        <f t="shared" si="9"/>
        <v>#REF!</v>
      </c>
      <c r="I20" s="515" t="e">
        <f t="shared" si="0"/>
        <v>#REF!</v>
      </c>
      <c r="J20" s="516" t="s">
        <v>52</v>
      </c>
      <c r="K20" s="517">
        <f t="shared" si="1"/>
        <v>60</v>
      </c>
      <c r="L20" s="518" t="e">
        <f t="shared" si="2"/>
        <v>#REF!</v>
      </c>
      <c r="M20" s="519" t="e">
        <f t="shared" si="3"/>
        <v>#REF!</v>
      </c>
      <c r="N20" s="517"/>
      <c r="O20" s="632" t="e">
        <f t="shared" si="4"/>
        <v>#REF!</v>
      </c>
      <c r="P20" s="633">
        <f t="shared" si="5"/>
        <v>60</v>
      </c>
      <c r="Q20" s="635" t="e">
        <f t="shared" si="6"/>
        <v>#REF!</v>
      </c>
      <c r="R20" s="634" t="e">
        <f t="shared" si="7"/>
        <v>#REF!</v>
      </c>
      <c r="S20" s="482" t="e">
        <f t="shared" si="8"/>
        <v>#REF!</v>
      </c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</row>
    <row r="21" spans="1:31" s="490" customFormat="1" ht="25.5" customHeight="1">
      <c r="A21" s="511">
        <v>13</v>
      </c>
      <c r="B21" s="512" t="s">
        <v>352</v>
      </c>
      <c r="C21" s="480" t="s">
        <v>255</v>
      </c>
      <c r="D21" s="513" t="s">
        <v>40</v>
      </c>
      <c r="E21" s="513" t="e">
        <f>VLOOKUP(C21,#REF!,33,0)</f>
        <v>#REF!</v>
      </c>
      <c r="F21" s="514"/>
      <c r="G21" s="514"/>
      <c r="H21" s="514" t="e">
        <f t="shared" si="9"/>
        <v>#REF!</v>
      </c>
      <c r="I21" s="515" t="e">
        <f t="shared" si="0"/>
        <v>#REF!</v>
      </c>
      <c r="J21" s="516" t="s">
        <v>52</v>
      </c>
      <c r="K21" s="517">
        <f t="shared" si="1"/>
        <v>60</v>
      </c>
      <c r="L21" s="518" t="e">
        <f t="shared" si="2"/>
        <v>#REF!</v>
      </c>
      <c r="M21" s="519" t="e">
        <f t="shared" si="3"/>
        <v>#REF!</v>
      </c>
      <c r="N21" s="517"/>
      <c r="O21" s="632" t="e">
        <f t="shared" si="4"/>
        <v>#REF!</v>
      </c>
      <c r="P21" s="633">
        <f t="shared" si="5"/>
        <v>60</v>
      </c>
      <c r="Q21" s="635" t="e">
        <f t="shared" si="6"/>
        <v>#REF!</v>
      </c>
      <c r="R21" s="634" t="e">
        <f t="shared" si="7"/>
        <v>#REF!</v>
      </c>
      <c r="S21" s="482" t="e">
        <f t="shared" si="8"/>
        <v>#REF!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</row>
    <row r="22" spans="1:31" s="490" customFormat="1" ht="25.5" customHeight="1">
      <c r="A22" s="520">
        <v>14</v>
      </c>
      <c r="B22" s="512" t="s">
        <v>327</v>
      </c>
      <c r="C22" s="565" t="s">
        <v>581</v>
      </c>
      <c r="D22" s="513" t="s">
        <v>40</v>
      </c>
      <c r="E22" s="513" t="e">
        <f>VLOOKUP(C22,#REF!,33,0)</f>
        <v>#REF!</v>
      </c>
      <c r="F22" s="514"/>
      <c r="G22" s="514"/>
      <c r="H22" s="514" t="e">
        <f t="shared" si="9"/>
        <v>#REF!</v>
      </c>
      <c r="I22" s="515" t="e">
        <f t="shared" si="0"/>
        <v>#REF!</v>
      </c>
      <c r="J22" s="516" t="s">
        <v>52</v>
      </c>
      <c r="K22" s="517">
        <f t="shared" si="1"/>
        <v>60</v>
      </c>
      <c r="L22" s="518" t="e">
        <f t="shared" si="2"/>
        <v>#REF!</v>
      </c>
      <c r="M22" s="519" t="e">
        <f t="shared" si="3"/>
        <v>#REF!</v>
      </c>
      <c r="N22" s="517"/>
      <c r="O22" s="632" t="e">
        <f t="shared" si="4"/>
        <v>#REF!</v>
      </c>
      <c r="P22" s="633">
        <f t="shared" si="5"/>
        <v>60</v>
      </c>
      <c r="Q22" s="635" t="e">
        <f t="shared" si="6"/>
        <v>#REF!</v>
      </c>
      <c r="R22" s="634" t="e">
        <f t="shared" si="7"/>
        <v>#REF!</v>
      </c>
      <c r="S22" s="482" t="e">
        <f t="shared" si="8"/>
        <v>#REF!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</row>
    <row r="23" spans="1:31" s="490" customFormat="1" ht="25.5" customHeight="1">
      <c r="A23" s="511">
        <v>15</v>
      </c>
      <c r="B23" s="512" t="s">
        <v>328</v>
      </c>
      <c r="C23" s="480" t="s">
        <v>406</v>
      </c>
      <c r="D23" s="513" t="s">
        <v>40</v>
      </c>
      <c r="E23" s="513" t="e">
        <f>VLOOKUP(C23,#REF!,33,0)</f>
        <v>#REF!</v>
      </c>
      <c r="F23" s="514"/>
      <c r="G23" s="514"/>
      <c r="H23" s="514" t="e">
        <f t="shared" si="9"/>
        <v>#REF!</v>
      </c>
      <c r="I23" s="515" t="e">
        <f t="shared" si="0"/>
        <v>#REF!</v>
      </c>
      <c r="J23" s="516" t="s">
        <v>92</v>
      </c>
      <c r="K23" s="517">
        <f t="shared" si="1"/>
        <v>50</v>
      </c>
      <c r="L23" s="518" t="e">
        <f t="shared" si="2"/>
        <v>#REF!</v>
      </c>
      <c r="M23" s="519" t="e">
        <f t="shared" si="3"/>
        <v>#REF!</v>
      </c>
      <c r="N23" s="517"/>
      <c r="O23" s="632" t="e">
        <f t="shared" si="4"/>
        <v>#REF!</v>
      </c>
      <c r="P23" s="633">
        <f t="shared" si="5"/>
        <v>50</v>
      </c>
      <c r="Q23" s="635" t="e">
        <f t="shared" si="6"/>
        <v>#REF!</v>
      </c>
      <c r="R23" s="634" t="e">
        <f t="shared" si="7"/>
        <v>#REF!</v>
      </c>
      <c r="S23" s="482" t="e">
        <f t="shared" si="8"/>
        <v>#REF!</v>
      </c>
      <c r="T23" s="482"/>
      <c r="U23" s="482"/>
      <c r="V23" s="482"/>
      <c r="W23" s="482"/>
      <c r="X23" s="482"/>
      <c r="Y23" s="482"/>
      <c r="Z23" s="482"/>
      <c r="AA23" s="482"/>
      <c r="AB23" s="482"/>
      <c r="AC23" s="482"/>
      <c r="AD23" s="482"/>
      <c r="AE23" s="482"/>
    </row>
    <row r="24" spans="1:31" s="490" customFormat="1" ht="25.5" customHeight="1">
      <c r="A24" s="511">
        <v>16</v>
      </c>
      <c r="B24" s="521" t="s">
        <v>326</v>
      </c>
      <c r="C24" s="480" t="s">
        <v>270</v>
      </c>
      <c r="D24" s="513" t="s">
        <v>40</v>
      </c>
      <c r="E24" s="513" t="e">
        <f>VLOOKUP(C24,#REF!,33,0)</f>
        <v>#REF!</v>
      </c>
      <c r="F24" s="514"/>
      <c r="G24" s="514"/>
      <c r="H24" s="514" t="e">
        <f t="shared" ref="H24:H30" si="10">SUM(E24:G24)</f>
        <v>#REF!</v>
      </c>
      <c r="I24" s="515" t="e">
        <f t="shared" si="0"/>
        <v>#REF!</v>
      </c>
      <c r="J24" s="516" t="s">
        <v>52</v>
      </c>
      <c r="K24" s="517">
        <f t="shared" si="1"/>
        <v>60</v>
      </c>
      <c r="L24" s="518" t="e">
        <f t="shared" si="2"/>
        <v>#REF!</v>
      </c>
      <c r="M24" s="519" t="e">
        <f t="shared" si="3"/>
        <v>#REF!</v>
      </c>
      <c r="N24" s="517"/>
      <c r="O24" s="632" t="e">
        <f t="shared" si="4"/>
        <v>#REF!</v>
      </c>
      <c r="P24" s="633">
        <f t="shared" si="5"/>
        <v>60</v>
      </c>
      <c r="Q24" s="635" t="e">
        <f t="shared" si="6"/>
        <v>#REF!</v>
      </c>
      <c r="R24" s="634" t="e">
        <f t="shared" si="7"/>
        <v>#REF!</v>
      </c>
      <c r="S24" s="482" t="e">
        <f t="shared" si="8"/>
        <v>#REF!</v>
      </c>
      <c r="T24" s="482"/>
      <c r="U24" s="482"/>
      <c r="V24" s="482"/>
      <c r="W24" s="482"/>
      <c r="X24" s="482"/>
      <c r="Y24" s="482"/>
      <c r="Z24" s="482"/>
      <c r="AA24" s="482"/>
      <c r="AB24" s="482"/>
      <c r="AC24" s="482"/>
      <c r="AD24" s="482"/>
      <c r="AE24" s="482"/>
    </row>
    <row r="25" spans="1:31" s="490" customFormat="1" ht="25.5" customHeight="1">
      <c r="A25" s="520">
        <v>17</v>
      </c>
      <c r="B25" s="512" t="s">
        <v>296</v>
      </c>
      <c r="C25" s="565" t="s">
        <v>582</v>
      </c>
      <c r="D25" s="513" t="s">
        <v>40</v>
      </c>
      <c r="E25" s="513" t="e">
        <f>VLOOKUP(C25,#REF!,33,0)</f>
        <v>#REF!</v>
      </c>
      <c r="F25" s="514"/>
      <c r="G25" s="514"/>
      <c r="H25" s="514" t="e">
        <f t="shared" si="10"/>
        <v>#REF!</v>
      </c>
      <c r="I25" s="515" t="e">
        <f t="shared" si="0"/>
        <v>#REF!</v>
      </c>
      <c r="J25" s="516" t="s">
        <v>52</v>
      </c>
      <c r="K25" s="517">
        <f t="shared" si="1"/>
        <v>60</v>
      </c>
      <c r="L25" s="518" t="e">
        <f t="shared" si="2"/>
        <v>#REF!</v>
      </c>
      <c r="M25" s="519" t="e">
        <f t="shared" si="3"/>
        <v>#REF!</v>
      </c>
      <c r="N25" s="517"/>
      <c r="O25" s="632" t="e">
        <f t="shared" si="4"/>
        <v>#REF!</v>
      </c>
      <c r="P25" s="633">
        <f t="shared" si="5"/>
        <v>60</v>
      </c>
      <c r="Q25" s="635" t="e">
        <f t="shared" si="6"/>
        <v>#REF!</v>
      </c>
      <c r="R25" s="634" t="e">
        <f t="shared" si="7"/>
        <v>#REF!</v>
      </c>
      <c r="S25" s="482" t="e">
        <f t="shared" si="8"/>
        <v>#REF!</v>
      </c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</row>
    <row r="26" spans="1:31" s="490" customFormat="1" ht="25.5" customHeight="1">
      <c r="A26" s="511">
        <v>18</v>
      </c>
      <c r="B26" s="512" t="s">
        <v>284</v>
      </c>
      <c r="C26" s="480" t="s">
        <v>283</v>
      </c>
      <c r="D26" s="513" t="s">
        <v>40</v>
      </c>
      <c r="E26" s="513" t="e">
        <f>VLOOKUP(C26,#REF!,33,0)</f>
        <v>#REF!</v>
      </c>
      <c r="F26" s="514"/>
      <c r="G26" s="514"/>
      <c r="H26" s="514" t="e">
        <f t="shared" si="10"/>
        <v>#REF!</v>
      </c>
      <c r="I26" s="515" t="e">
        <f t="shared" si="0"/>
        <v>#REF!</v>
      </c>
      <c r="J26" s="516" t="s">
        <v>52</v>
      </c>
      <c r="K26" s="517">
        <f t="shared" si="1"/>
        <v>60</v>
      </c>
      <c r="L26" s="518" t="e">
        <f t="shared" si="2"/>
        <v>#REF!</v>
      </c>
      <c r="M26" s="519" t="e">
        <f t="shared" si="3"/>
        <v>#REF!</v>
      </c>
      <c r="N26" s="517"/>
      <c r="O26" s="632" t="e">
        <f t="shared" si="4"/>
        <v>#REF!</v>
      </c>
      <c r="P26" s="633">
        <f t="shared" si="5"/>
        <v>60</v>
      </c>
      <c r="Q26" s="635" t="e">
        <f t="shared" si="6"/>
        <v>#REF!</v>
      </c>
      <c r="R26" s="634" t="e">
        <f t="shared" si="7"/>
        <v>#REF!</v>
      </c>
      <c r="S26" s="482" t="e">
        <f t="shared" si="8"/>
        <v>#REF!</v>
      </c>
      <c r="T26" s="482"/>
      <c r="U26" s="482"/>
      <c r="V26" s="482"/>
      <c r="W26" s="482"/>
      <c r="X26" s="482"/>
      <c r="Y26" s="482"/>
      <c r="Z26" s="482"/>
      <c r="AA26" s="482"/>
      <c r="AB26" s="482"/>
      <c r="AC26" s="482"/>
      <c r="AD26" s="482"/>
      <c r="AE26" s="482"/>
    </row>
    <row r="27" spans="1:31" s="490" customFormat="1" ht="25.5" customHeight="1">
      <c r="A27" s="511">
        <v>19</v>
      </c>
      <c r="B27" s="512" t="s">
        <v>294</v>
      </c>
      <c r="C27" s="480" t="s">
        <v>407</v>
      </c>
      <c r="D27" s="513" t="s">
        <v>40</v>
      </c>
      <c r="E27" s="513" t="e">
        <f>VLOOKUP(C27,#REF!,33,0)</f>
        <v>#REF!</v>
      </c>
      <c r="F27" s="514"/>
      <c r="G27" s="514"/>
      <c r="H27" s="514" t="e">
        <f t="shared" si="10"/>
        <v>#REF!</v>
      </c>
      <c r="I27" s="515" t="e">
        <f t="shared" si="0"/>
        <v>#REF!</v>
      </c>
      <c r="J27" s="516" t="s">
        <v>52</v>
      </c>
      <c r="K27" s="517">
        <f t="shared" si="1"/>
        <v>60</v>
      </c>
      <c r="L27" s="518" t="e">
        <f t="shared" si="2"/>
        <v>#REF!</v>
      </c>
      <c r="M27" s="519" t="s">
        <v>52</v>
      </c>
      <c r="N27" s="517"/>
      <c r="O27" s="632" t="e">
        <f t="shared" si="4"/>
        <v>#REF!</v>
      </c>
      <c r="P27" s="633">
        <f t="shared" si="5"/>
        <v>60</v>
      </c>
      <c r="Q27" s="635" t="e">
        <f t="shared" si="6"/>
        <v>#REF!</v>
      </c>
      <c r="R27" s="634" t="e">
        <f t="shared" si="7"/>
        <v>#REF!</v>
      </c>
      <c r="S27" s="482" t="e">
        <f t="shared" si="8"/>
        <v>#REF!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482"/>
      <c r="AD27" s="482"/>
      <c r="AE27" s="482"/>
    </row>
    <row r="28" spans="1:31" s="490" customFormat="1" ht="25.5" customHeight="1">
      <c r="A28" s="520">
        <v>20</v>
      </c>
      <c r="B28" s="512" t="s">
        <v>298</v>
      </c>
      <c r="C28" s="480" t="s">
        <v>269</v>
      </c>
      <c r="D28" s="513" t="s">
        <v>40</v>
      </c>
      <c r="E28" s="513" t="e">
        <f>VLOOKUP(C28,#REF!,33,0)</f>
        <v>#REF!</v>
      </c>
      <c r="F28" s="514"/>
      <c r="G28" s="514"/>
      <c r="H28" s="514" t="e">
        <f t="shared" si="10"/>
        <v>#REF!</v>
      </c>
      <c r="I28" s="515" t="e">
        <f t="shared" si="0"/>
        <v>#REF!</v>
      </c>
      <c r="J28" s="516" t="s">
        <v>52</v>
      </c>
      <c r="K28" s="517">
        <f t="shared" si="1"/>
        <v>60</v>
      </c>
      <c r="L28" s="518" t="e">
        <f t="shared" si="2"/>
        <v>#REF!</v>
      </c>
      <c r="M28" s="519" t="e">
        <f t="shared" si="3"/>
        <v>#REF!</v>
      </c>
      <c r="N28" s="517"/>
      <c r="O28" s="632" t="e">
        <f t="shared" si="4"/>
        <v>#REF!</v>
      </c>
      <c r="P28" s="633">
        <f t="shared" si="5"/>
        <v>60</v>
      </c>
      <c r="Q28" s="635" t="e">
        <f t="shared" si="6"/>
        <v>#REF!</v>
      </c>
      <c r="R28" s="634" t="e">
        <f t="shared" si="7"/>
        <v>#REF!</v>
      </c>
      <c r="S28" s="482" t="e">
        <f t="shared" si="8"/>
        <v>#REF!</v>
      </c>
      <c r="T28" s="482"/>
      <c r="U28" s="482"/>
      <c r="V28" s="482"/>
      <c r="W28" s="482"/>
      <c r="X28" s="482"/>
      <c r="Y28" s="482"/>
      <c r="Z28" s="482"/>
      <c r="AA28" s="482"/>
      <c r="AB28" s="482"/>
      <c r="AC28" s="482"/>
      <c r="AD28" s="482"/>
      <c r="AE28" s="482"/>
    </row>
    <row r="29" spans="1:31" s="490" customFormat="1" ht="25.5" customHeight="1">
      <c r="A29" s="511">
        <v>21</v>
      </c>
      <c r="B29" s="512" t="s">
        <v>295</v>
      </c>
      <c r="C29" s="480" t="s">
        <v>319</v>
      </c>
      <c r="D29" s="513" t="s">
        <v>40</v>
      </c>
      <c r="E29" s="513" t="e">
        <f>VLOOKUP(C29,#REF!,33,0)</f>
        <v>#REF!</v>
      </c>
      <c r="F29" s="514"/>
      <c r="G29" s="514"/>
      <c r="H29" s="514" t="e">
        <f t="shared" si="10"/>
        <v>#REF!</v>
      </c>
      <c r="I29" s="515" t="e">
        <f t="shared" si="0"/>
        <v>#REF!</v>
      </c>
      <c r="J29" s="516" t="s">
        <v>52</v>
      </c>
      <c r="K29" s="517">
        <f t="shared" si="1"/>
        <v>60</v>
      </c>
      <c r="L29" s="518" t="e">
        <f t="shared" si="2"/>
        <v>#REF!</v>
      </c>
      <c r="M29" s="519" t="e">
        <f t="shared" si="3"/>
        <v>#REF!</v>
      </c>
      <c r="N29" s="517"/>
      <c r="O29" s="632" t="e">
        <f t="shared" si="4"/>
        <v>#REF!</v>
      </c>
      <c r="P29" s="633">
        <f t="shared" si="5"/>
        <v>60</v>
      </c>
      <c r="Q29" s="635" t="e">
        <f t="shared" si="6"/>
        <v>#REF!</v>
      </c>
      <c r="R29" s="634" t="e">
        <f t="shared" si="7"/>
        <v>#REF!</v>
      </c>
      <c r="S29" s="482" t="e">
        <f t="shared" si="8"/>
        <v>#REF!</v>
      </c>
      <c r="T29" s="482"/>
      <c r="U29" s="482"/>
      <c r="V29" s="482"/>
      <c r="W29" s="482"/>
      <c r="X29" s="482"/>
      <c r="Y29" s="482"/>
      <c r="Z29" s="482"/>
      <c r="AA29" s="482"/>
      <c r="AB29" s="482"/>
      <c r="AC29" s="482"/>
      <c r="AD29" s="482"/>
      <c r="AE29" s="482"/>
    </row>
    <row r="30" spans="1:31" s="490" customFormat="1" ht="25.5" customHeight="1">
      <c r="A30" s="511">
        <v>22</v>
      </c>
      <c r="B30" s="512" t="s">
        <v>297</v>
      </c>
      <c r="C30" s="480" t="s">
        <v>320</v>
      </c>
      <c r="D30" s="513" t="s">
        <v>40</v>
      </c>
      <c r="E30" s="513" t="e">
        <f>VLOOKUP(C30,#REF!,33,0)</f>
        <v>#REF!</v>
      </c>
      <c r="F30" s="514"/>
      <c r="G30" s="514"/>
      <c r="H30" s="514" t="e">
        <f t="shared" si="10"/>
        <v>#REF!</v>
      </c>
      <c r="I30" s="515" t="e">
        <f t="shared" si="0"/>
        <v>#REF!</v>
      </c>
      <c r="J30" s="516" t="s">
        <v>92</v>
      </c>
      <c r="K30" s="517">
        <f t="shared" si="1"/>
        <v>50</v>
      </c>
      <c r="L30" s="518" t="e">
        <f t="shared" si="2"/>
        <v>#REF!</v>
      </c>
      <c r="M30" s="519" t="e">
        <f t="shared" si="3"/>
        <v>#REF!</v>
      </c>
      <c r="N30" s="517"/>
      <c r="O30" s="632" t="e">
        <f t="shared" si="4"/>
        <v>#REF!</v>
      </c>
      <c r="P30" s="633">
        <f t="shared" si="5"/>
        <v>50</v>
      </c>
      <c r="Q30" s="635" t="e">
        <f t="shared" si="6"/>
        <v>#REF!</v>
      </c>
      <c r="R30" s="634" t="e">
        <f t="shared" si="7"/>
        <v>#REF!</v>
      </c>
      <c r="S30" s="482" t="e">
        <f t="shared" si="8"/>
        <v>#REF!</v>
      </c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</row>
    <row r="31" spans="1:31" s="490" customFormat="1" ht="25.5" customHeight="1">
      <c r="A31" s="520">
        <v>23</v>
      </c>
      <c r="B31" s="512" t="s">
        <v>351</v>
      </c>
      <c r="C31" s="630" t="s">
        <v>583</v>
      </c>
      <c r="D31" s="513" t="s">
        <v>40</v>
      </c>
      <c r="E31" s="513" t="e">
        <f>VLOOKUP(C31,#REF!,33,0)</f>
        <v>#REF!</v>
      </c>
      <c r="F31" s="514"/>
      <c r="G31" s="514"/>
      <c r="H31" s="514" t="e">
        <f t="shared" si="9"/>
        <v>#REF!</v>
      </c>
      <c r="I31" s="515" t="e">
        <f t="shared" si="0"/>
        <v>#REF!</v>
      </c>
      <c r="J31" s="516" t="s">
        <v>92</v>
      </c>
      <c r="K31" s="517">
        <f t="shared" si="1"/>
        <v>50</v>
      </c>
      <c r="L31" s="518" t="e">
        <f t="shared" si="2"/>
        <v>#REF!</v>
      </c>
      <c r="M31" s="519" t="e">
        <f t="shared" si="3"/>
        <v>#REF!</v>
      </c>
      <c r="N31" s="517"/>
      <c r="O31" s="632" t="e">
        <f t="shared" si="4"/>
        <v>#REF!</v>
      </c>
      <c r="P31" s="633">
        <f t="shared" si="5"/>
        <v>50</v>
      </c>
      <c r="Q31" s="635" t="e">
        <f t="shared" si="6"/>
        <v>#REF!</v>
      </c>
      <c r="R31" s="634" t="e">
        <f t="shared" si="7"/>
        <v>#REF!</v>
      </c>
      <c r="S31" s="482" t="e">
        <f t="shared" si="8"/>
        <v>#REF!</v>
      </c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</row>
    <row r="32" spans="1:31" s="490" customFormat="1" ht="25.5" customHeight="1">
      <c r="A32" s="511">
        <v>24</v>
      </c>
      <c r="B32" s="512" t="s">
        <v>287</v>
      </c>
      <c r="C32" s="480" t="s">
        <v>408</v>
      </c>
      <c r="D32" s="513" t="s">
        <v>40</v>
      </c>
      <c r="E32" s="513" t="e">
        <f>VLOOKUP(C32,#REF!,33,0)</f>
        <v>#REF!</v>
      </c>
      <c r="F32" s="514"/>
      <c r="G32" s="514"/>
      <c r="H32" s="514" t="e">
        <f t="shared" si="9"/>
        <v>#REF!</v>
      </c>
      <c r="I32" s="515" t="e">
        <f t="shared" si="0"/>
        <v>#REF!</v>
      </c>
      <c r="J32" s="516" t="s">
        <v>92</v>
      </c>
      <c r="K32" s="517">
        <f t="shared" si="1"/>
        <v>50</v>
      </c>
      <c r="L32" s="518" t="e">
        <f t="shared" si="2"/>
        <v>#REF!</v>
      </c>
      <c r="M32" s="519" t="e">
        <f t="shared" si="3"/>
        <v>#REF!</v>
      </c>
      <c r="N32" s="517"/>
      <c r="O32" s="632" t="e">
        <f t="shared" si="4"/>
        <v>#REF!</v>
      </c>
      <c r="P32" s="633">
        <f t="shared" si="5"/>
        <v>50</v>
      </c>
      <c r="Q32" s="635" t="e">
        <f t="shared" si="6"/>
        <v>#REF!</v>
      </c>
      <c r="R32" s="634" t="e">
        <f t="shared" si="7"/>
        <v>#REF!</v>
      </c>
      <c r="S32" s="482" t="e">
        <f t="shared" si="8"/>
        <v>#REF!</v>
      </c>
      <c r="T32" s="482"/>
      <c r="U32" s="482"/>
      <c r="V32" s="482"/>
      <c r="W32" s="482"/>
      <c r="X32" s="482"/>
      <c r="Y32" s="482"/>
      <c r="Z32" s="482"/>
      <c r="AA32" s="482"/>
      <c r="AB32" s="482"/>
      <c r="AC32" s="482"/>
      <c r="AD32" s="482"/>
      <c r="AE32" s="482"/>
    </row>
    <row r="33" spans="1:31" s="490" customFormat="1" ht="25.5" customHeight="1">
      <c r="A33" s="511">
        <v>25</v>
      </c>
      <c r="B33" s="512" t="s">
        <v>288</v>
      </c>
      <c r="C33" s="480" t="s">
        <v>409</v>
      </c>
      <c r="D33" s="513" t="s">
        <v>40</v>
      </c>
      <c r="E33" s="513" t="e">
        <f>VLOOKUP(C33,#REF!,33,0)</f>
        <v>#REF!</v>
      </c>
      <c r="F33" s="514"/>
      <c r="G33" s="514"/>
      <c r="H33" s="514" t="e">
        <f t="shared" si="9"/>
        <v>#REF!</v>
      </c>
      <c r="I33" s="515" t="e">
        <f t="shared" si="0"/>
        <v>#REF!</v>
      </c>
      <c r="J33" s="516" t="s">
        <v>92</v>
      </c>
      <c r="K33" s="517">
        <f t="shared" si="1"/>
        <v>50</v>
      </c>
      <c r="L33" s="518" t="e">
        <f t="shared" si="2"/>
        <v>#REF!</v>
      </c>
      <c r="M33" s="519" t="e">
        <f t="shared" si="3"/>
        <v>#REF!</v>
      </c>
      <c r="N33" s="517"/>
      <c r="O33" s="632" t="e">
        <f t="shared" si="4"/>
        <v>#REF!</v>
      </c>
      <c r="P33" s="633">
        <f t="shared" si="5"/>
        <v>50</v>
      </c>
      <c r="Q33" s="635" t="e">
        <f t="shared" si="6"/>
        <v>#REF!</v>
      </c>
      <c r="R33" s="634" t="e">
        <f t="shared" si="7"/>
        <v>#REF!</v>
      </c>
      <c r="S33" s="482" t="e">
        <f t="shared" si="8"/>
        <v>#REF!</v>
      </c>
      <c r="T33" s="482"/>
      <c r="U33" s="482"/>
      <c r="V33" s="482"/>
      <c r="W33" s="482"/>
      <c r="X33" s="482"/>
      <c r="Y33" s="482"/>
      <c r="Z33" s="482"/>
      <c r="AA33" s="482"/>
      <c r="AB33" s="482"/>
      <c r="AC33" s="482"/>
      <c r="AD33" s="482"/>
      <c r="AE33" s="482"/>
    </row>
    <row r="34" spans="1:31" s="490" customFormat="1" ht="25.5" customHeight="1">
      <c r="A34" s="520">
        <v>26</v>
      </c>
      <c r="B34" s="512" t="s">
        <v>289</v>
      </c>
      <c r="C34" s="480" t="s">
        <v>274</v>
      </c>
      <c r="D34" s="513" t="s">
        <v>40</v>
      </c>
      <c r="E34" s="513" t="e">
        <f>VLOOKUP(C34,#REF!,33,0)</f>
        <v>#REF!</v>
      </c>
      <c r="F34" s="514"/>
      <c r="G34" s="514"/>
      <c r="H34" s="514" t="e">
        <f t="shared" si="9"/>
        <v>#REF!</v>
      </c>
      <c r="I34" s="515" t="e">
        <f t="shared" si="0"/>
        <v>#REF!</v>
      </c>
      <c r="J34" s="516" t="s">
        <v>52</v>
      </c>
      <c r="K34" s="517">
        <f t="shared" si="1"/>
        <v>60</v>
      </c>
      <c r="L34" s="518" t="e">
        <f t="shared" si="2"/>
        <v>#REF!</v>
      </c>
      <c r="M34" s="519" t="e">
        <f t="shared" si="3"/>
        <v>#REF!</v>
      </c>
      <c r="N34" s="517"/>
      <c r="O34" s="632" t="e">
        <f t="shared" si="4"/>
        <v>#REF!</v>
      </c>
      <c r="P34" s="633">
        <f t="shared" si="5"/>
        <v>60</v>
      </c>
      <c r="Q34" s="635" t="e">
        <f t="shared" si="6"/>
        <v>#REF!</v>
      </c>
      <c r="R34" s="634" t="e">
        <f t="shared" si="7"/>
        <v>#REF!</v>
      </c>
      <c r="S34" s="482" t="e">
        <f t="shared" si="8"/>
        <v>#REF!</v>
      </c>
      <c r="T34" s="482"/>
      <c r="U34" s="482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</row>
    <row r="35" spans="1:31" s="490" customFormat="1" ht="25.5" customHeight="1">
      <c r="A35" s="511">
        <v>27</v>
      </c>
      <c r="B35" s="512" t="s">
        <v>290</v>
      </c>
      <c r="C35" s="480" t="s">
        <v>410</v>
      </c>
      <c r="D35" s="513" t="s">
        <v>40</v>
      </c>
      <c r="E35" s="513" t="e">
        <f>VLOOKUP(C35,#REF!,33,0)</f>
        <v>#REF!</v>
      </c>
      <c r="F35" s="514"/>
      <c r="G35" s="514"/>
      <c r="H35" s="514" t="e">
        <f t="shared" si="9"/>
        <v>#REF!</v>
      </c>
      <c r="I35" s="515" t="e">
        <f t="shared" si="0"/>
        <v>#REF!</v>
      </c>
      <c r="J35" s="516" t="s">
        <v>92</v>
      </c>
      <c r="K35" s="517">
        <f t="shared" si="1"/>
        <v>50</v>
      </c>
      <c r="L35" s="518" t="e">
        <f t="shared" si="2"/>
        <v>#REF!</v>
      </c>
      <c r="M35" s="519" t="e">
        <f t="shared" si="3"/>
        <v>#REF!</v>
      </c>
      <c r="N35" s="517"/>
      <c r="O35" s="632" t="e">
        <f t="shared" si="4"/>
        <v>#REF!</v>
      </c>
      <c r="P35" s="633">
        <f t="shared" si="5"/>
        <v>50</v>
      </c>
      <c r="Q35" s="635" t="e">
        <f t="shared" si="6"/>
        <v>#REF!</v>
      </c>
      <c r="R35" s="634" t="e">
        <f t="shared" si="7"/>
        <v>#REF!</v>
      </c>
      <c r="S35" s="482" t="e">
        <f t="shared" si="8"/>
        <v>#REF!</v>
      </c>
      <c r="T35" s="482"/>
      <c r="U35" s="482"/>
      <c r="V35" s="482"/>
      <c r="W35" s="482"/>
      <c r="X35" s="482"/>
      <c r="Y35" s="482"/>
      <c r="Z35" s="482"/>
      <c r="AA35" s="482"/>
      <c r="AB35" s="482"/>
      <c r="AC35" s="482"/>
      <c r="AD35" s="482"/>
      <c r="AE35" s="482"/>
    </row>
    <row r="36" spans="1:31" s="490" customFormat="1" ht="25.5" customHeight="1">
      <c r="A36" s="511">
        <v>28</v>
      </c>
      <c r="B36" s="512" t="s">
        <v>331</v>
      </c>
      <c r="C36" s="480" t="s">
        <v>529</v>
      </c>
      <c r="D36" s="513" t="s">
        <v>40</v>
      </c>
      <c r="E36" s="513" t="e">
        <f>VLOOKUP(C36,#REF!,33,0)</f>
        <v>#REF!</v>
      </c>
      <c r="F36" s="514"/>
      <c r="G36" s="514"/>
      <c r="H36" s="514" t="e">
        <f t="shared" si="9"/>
        <v>#REF!</v>
      </c>
      <c r="I36" s="515" t="e">
        <f t="shared" si="0"/>
        <v>#REF!</v>
      </c>
      <c r="J36" s="516" t="s">
        <v>52</v>
      </c>
      <c r="K36" s="517">
        <f t="shared" si="1"/>
        <v>60</v>
      </c>
      <c r="L36" s="518" t="e">
        <f t="shared" si="2"/>
        <v>#REF!</v>
      </c>
      <c r="M36" s="519" t="s">
        <v>52</v>
      </c>
      <c r="N36" s="517"/>
      <c r="O36" s="632" t="e">
        <f t="shared" si="4"/>
        <v>#REF!</v>
      </c>
      <c r="P36" s="633">
        <f t="shared" si="5"/>
        <v>60</v>
      </c>
      <c r="Q36" s="635" t="e">
        <f t="shared" si="6"/>
        <v>#REF!</v>
      </c>
      <c r="R36" s="634" t="e">
        <f t="shared" si="7"/>
        <v>#REF!</v>
      </c>
      <c r="S36" s="482" t="e">
        <f t="shared" si="8"/>
        <v>#REF!</v>
      </c>
      <c r="T36" s="482"/>
      <c r="U36" s="482"/>
      <c r="V36" s="482"/>
      <c r="W36" s="482"/>
      <c r="X36" s="482"/>
      <c r="Y36" s="482"/>
      <c r="Z36" s="482"/>
      <c r="AA36" s="482"/>
      <c r="AB36" s="482"/>
      <c r="AC36" s="482"/>
      <c r="AD36" s="482"/>
      <c r="AE36" s="482"/>
    </row>
    <row r="37" spans="1:31" s="490" customFormat="1" ht="25.5" customHeight="1">
      <c r="A37" s="520">
        <v>29</v>
      </c>
      <c r="B37" s="512" t="s">
        <v>291</v>
      </c>
      <c r="C37" s="480" t="s">
        <v>526</v>
      </c>
      <c r="D37" s="513" t="s">
        <v>40</v>
      </c>
      <c r="E37" s="513" t="e">
        <f>VLOOKUP(C37,#REF!,33,0)</f>
        <v>#REF!</v>
      </c>
      <c r="F37" s="514"/>
      <c r="G37" s="514"/>
      <c r="H37" s="514" t="e">
        <f t="shared" si="9"/>
        <v>#REF!</v>
      </c>
      <c r="I37" s="515" t="e">
        <f t="shared" si="0"/>
        <v>#REF!</v>
      </c>
      <c r="J37" s="516" t="s">
        <v>52</v>
      </c>
      <c r="K37" s="517">
        <f t="shared" si="1"/>
        <v>60</v>
      </c>
      <c r="L37" s="518" t="e">
        <f t="shared" si="2"/>
        <v>#REF!</v>
      </c>
      <c r="M37" s="519" t="e">
        <f t="shared" si="3"/>
        <v>#REF!</v>
      </c>
      <c r="N37" s="517"/>
      <c r="O37" s="632" t="e">
        <f t="shared" si="4"/>
        <v>#REF!</v>
      </c>
      <c r="P37" s="633">
        <f t="shared" si="5"/>
        <v>60</v>
      </c>
      <c r="Q37" s="635" t="e">
        <f t="shared" si="6"/>
        <v>#REF!</v>
      </c>
      <c r="R37" s="634" t="e">
        <f t="shared" si="7"/>
        <v>#REF!</v>
      </c>
      <c r="S37" s="482" t="e">
        <f t="shared" si="8"/>
        <v>#REF!</v>
      </c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</row>
    <row r="38" spans="1:31" s="490" customFormat="1" ht="25.5" customHeight="1">
      <c r="A38" s="511">
        <v>30</v>
      </c>
      <c r="B38" s="512" t="s">
        <v>292</v>
      </c>
      <c r="C38" s="480" t="s">
        <v>411</v>
      </c>
      <c r="D38" s="513" t="s">
        <v>40</v>
      </c>
      <c r="E38" s="513" t="e">
        <f>VLOOKUP(C38,#REF!,33,0)</f>
        <v>#REF!</v>
      </c>
      <c r="F38" s="514"/>
      <c r="G38" s="514"/>
      <c r="H38" s="514" t="e">
        <f t="shared" si="9"/>
        <v>#REF!</v>
      </c>
      <c r="I38" s="515" t="e">
        <f t="shared" si="0"/>
        <v>#REF!</v>
      </c>
      <c r="J38" s="516" t="s">
        <v>52</v>
      </c>
      <c r="K38" s="517">
        <f t="shared" si="1"/>
        <v>60</v>
      </c>
      <c r="L38" s="518" t="e">
        <f t="shared" si="2"/>
        <v>#REF!</v>
      </c>
      <c r="M38" s="519" t="e">
        <f t="shared" si="3"/>
        <v>#REF!</v>
      </c>
      <c r="N38" s="517"/>
      <c r="O38" s="632" t="e">
        <f t="shared" si="4"/>
        <v>#REF!</v>
      </c>
      <c r="P38" s="633">
        <f t="shared" si="5"/>
        <v>60</v>
      </c>
      <c r="Q38" s="635" t="e">
        <f t="shared" si="6"/>
        <v>#REF!</v>
      </c>
      <c r="R38" s="634" t="e">
        <f t="shared" si="7"/>
        <v>#REF!</v>
      </c>
      <c r="S38" s="482" t="e">
        <f t="shared" si="8"/>
        <v>#REF!</v>
      </c>
      <c r="T38" s="482"/>
      <c r="U38" s="482"/>
      <c r="V38" s="482"/>
      <c r="W38" s="482"/>
      <c r="X38" s="482"/>
      <c r="Y38" s="482"/>
      <c r="Z38" s="482"/>
      <c r="AA38" s="482"/>
      <c r="AB38" s="482"/>
      <c r="AC38" s="482"/>
      <c r="AD38" s="482"/>
      <c r="AE38" s="482"/>
    </row>
    <row r="39" spans="1:31" s="490" customFormat="1" ht="25.5" customHeight="1">
      <c r="A39" s="511">
        <v>31</v>
      </c>
      <c r="B39" s="512" t="s">
        <v>293</v>
      </c>
      <c r="C39" s="480" t="s">
        <v>412</v>
      </c>
      <c r="D39" s="513" t="s">
        <v>40</v>
      </c>
      <c r="E39" s="513" t="e">
        <f>VLOOKUP(C39,#REF!,33,0)</f>
        <v>#REF!</v>
      </c>
      <c r="F39" s="514"/>
      <c r="G39" s="514"/>
      <c r="H39" s="514" t="e">
        <f t="shared" si="9"/>
        <v>#REF!</v>
      </c>
      <c r="I39" s="515" t="e">
        <f t="shared" si="0"/>
        <v>#REF!</v>
      </c>
      <c r="J39" s="516" t="s">
        <v>92</v>
      </c>
      <c r="K39" s="517">
        <f t="shared" si="1"/>
        <v>50</v>
      </c>
      <c r="L39" s="518" t="e">
        <f t="shared" si="2"/>
        <v>#REF!</v>
      </c>
      <c r="M39" s="519" t="e">
        <f t="shared" si="3"/>
        <v>#REF!</v>
      </c>
      <c r="N39" s="517"/>
      <c r="O39" s="632" t="e">
        <f t="shared" si="4"/>
        <v>#REF!</v>
      </c>
      <c r="P39" s="633">
        <f t="shared" si="5"/>
        <v>50</v>
      </c>
      <c r="Q39" s="635" t="e">
        <f t="shared" si="6"/>
        <v>#REF!</v>
      </c>
      <c r="R39" s="634" t="e">
        <f t="shared" si="7"/>
        <v>#REF!</v>
      </c>
      <c r="S39" s="482" t="e">
        <f t="shared" si="8"/>
        <v>#REF!</v>
      </c>
      <c r="T39" s="482"/>
      <c r="U39" s="482"/>
      <c r="V39" s="482"/>
      <c r="W39" s="482"/>
      <c r="X39" s="482"/>
      <c r="Y39" s="482"/>
      <c r="Z39" s="482"/>
      <c r="AA39" s="482"/>
      <c r="AB39" s="482"/>
      <c r="AC39" s="482"/>
      <c r="AD39" s="482"/>
      <c r="AE39" s="482"/>
    </row>
    <row r="40" spans="1:31" s="490" customFormat="1" ht="25.5" customHeight="1">
      <c r="A40" s="520">
        <v>32</v>
      </c>
      <c r="B40" s="522" t="s">
        <v>354</v>
      </c>
      <c r="C40" s="480" t="s">
        <v>413</v>
      </c>
      <c r="D40" s="513" t="s">
        <v>40</v>
      </c>
      <c r="E40" s="513" t="e">
        <f>VLOOKUP(C40,#REF!,33,0)</f>
        <v>#REF!</v>
      </c>
      <c r="F40" s="522"/>
      <c r="G40" s="514"/>
      <c r="H40" s="514" t="e">
        <f t="shared" si="9"/>
        <v>#REF!</v>
      </c>
      <c r="I40" s="515" t="e">
        <f t="shared" si="0"/>
        <v>#REF!</v>
      </c>
      <c r="J40" s="516" t="s">
        <v>52</v>
      </c>
      <c r="K40" s="517">
        <f t="shared" si="1"/>
        <v>60</v>
      </c>
      <c r="L40" s="518" t="e">
        <f t="shared" si="2"/>
        <v>#REF!</v>
      </c>
      <c r="M40" s="519" t="e">
        <f t="shared" si="3"/>
        <v>#REF!</v>
      </c>
      <c r="N40" s="517"/>
      <c r="O40" s="632" t="e">
        <f t="shared" si="4"/>
        <v>#REF!</v>
      </c>
      <c r="P40" s="633">
        <f t="shared" si="5"/>
        <v>60</v>
      </c>
      <c r="Q40" s="635" t="e">
        <f t="shared" si="6"/>
        <v>#REF!</v>
      </c>
      <c r="R40" s="634" t="e">
        <f t="shared" si="7"/>
        <v>#REF!</v>
      </c>
      <c r="S40" s="482" t="e">
        <f t="shared" si="8"/>
        <v>#REF!</v>
      </c>
      <c r="T40" s="482"/>
      <c r="U40" s="482"/>
      <c r="V40" s="482"/>
      <c r="W40" s="482"/>
      <c r="X40" s="482"/>
      <c r="Y40" s="482"/>
      <c r="Z40" s="482"/>
      <c r="AA40" s="482"/>
      <c r="AB40" s="482"/>
      <c r="AC40" s="482"/>
      <c r="AD40" s="482"/>
      <c r="AE40" s="482"/>
    </row>
    <row r="41" spans="1:31" s="490" customFormat="1" ht="25.5" customHeight="1">
      <c r="A41" s="511">
        <v>33</v>
      </c>
      <c r="B41" s="522" t="s">
        <v>349</v>
      </c>
      <c r="C41" s="480" t="s">
        <v>414</v>
      </c>
      <c r="D41" s="513" t="s">
        <v>40</v>
      </c>
      <c r="E41" s="513" t="e">
        <f>VLOOKUP(C41,#REF!,33,0)</f>
        <v>#REF!</v>
      </c>
      <c r="F41" s="522"/>
      <c r="G41" s="514"/>
      <c r="H41" s="514" t="e">
        <f t="shared" si="9"/>
        <v>#REF!</v>
      </c>
      <c r="I41" s="515" t="e">
        <f t="shared" si="0"/>
        <v>#REF!</v>
      </c>
      <c r="J41" s="516" t="s">
        <v>52</v>
      </c>
      <c r="K41" s="517">
        <f t="shared" si="1"/>
        <v>60</v>
      </c>
      <c r="L41" s="518" t="e">
        <f t="shared" si="2"/>
        <v>#REF!</v>
      </c>
      <c r="M41" s="519" t="e">
        <f t="shared" si="3"/>
        <v>#REF!</v>
      </c>
      <c r="N41" s="517"/>
      <c r="O41" s="632" t="e">
        <f t="shared" si="4"/>
        <v>#REF!</v>
      </c>
      <c r="P41" s="633">
        <f t="shared" si="5"/>
        <v>60</v>
      </c>
      <c r="Q41" s="635" t="e">
        <f t="shared" si="6"/>
        <v>#REF!</v>
      </c>
      <c r="R41" s="634" t="e">
        <f t="shared" si="7"/>
        <v>#REF!</v>
      </c>
      <c r="S41" s="482" t="e">
        <f t="shared" si="8"/>
        <v>#REF!</v>
      </c>
      <c r="T41" s="482"/>
      <c r="U41" s="482"/>
      <c r="V41" s="482"/>
      <c r="W41" s="482"/>
      <c r="X41" s="482"/>
      <c r="Y41" s="482"/>
      <c r="Z41" s="482"/>
      <c r="AA41" s="482"/>
      <c r="AB41" s="482"/>
      <c r="AC41" s="482"/>
      <c r="AD41" s="482"/>
      <c r="AE41" s="482"/>
    </row>
    <row r="42" spans="1:31" s="490" customFormat="1" ht="25.5" customHeight="1">
      <c r="A42" s="511">
        <v>34</v>
      </c>
      <c r="B42" s="522" t="s">
        <v>350</v>
      </c>
      <c r="C42" s="480" t="s">
        <v>415</v>
      </c>
      <c r="D42" s="513" t="s">
        <v>40</v>
      </c>
      <c r="E42" s="513" t="e">
        <f>VLOOKUP(C42,#REF!,33,0)</f>
        <v>#REF!</v>
      </c>
      <c r="F42" s="522"/>
      <c r="G42" s="514"/>
      <c r="H42" s="514" t="e">
        <f t="shared" si="9"/>
        <v>#REF!</v>
      </c>
      <c r="I42" s="515" t="e">
        <f t="shared" si="0"/>
        <v>#REF!</v>
      </c>
      <c r="J42" s="516" t="s">
        <v>52</v>
      </c>
      <c r="K42" s="517">
        <f t="shared" si="1"/>
        <v>60</v>
      </c>
      <c r="L42" s="518" t="e">
        <f t="shared" si="2"/>
        <v>#REF!</v>
      </c>
      <c r="M42" s="519" t="e">
        <f t="shared" si="3"/>
        <v>#REF!</v>
      </c>
      <c r="N42" s="517"/>
      <c r="O42" s="632" t="e">
        <f t="shared" si="4"/>
        <v>#REF!</v>
      </c>
      <c r="P42" s="633">
        <f t="shared" si="5"/>
        <v>60</v>
      </c>
      <c r="Q42" s="635" t="e">
        <f t="shared" si="6"/>
        <v>#REF!</v>
      </c>
      <c r="R42" s="634" t="e">
        <f t="shared" si="7"/>
        <v>#REF!</v>
      </c>
      <c r="S42" s="482" t="e">
        <f t="shared" si="8"/>
        <v>#REF!</v>
      </c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</row>
    <row r="43" spans="1:31" s="490" customFormat="1" ht="25.5" customHeight="1">
      <c r="A43" s="520">
        <v>35</v>
      </c>
      <c r="B43" s="522"/>
      <c r="C43" s="480" t="s">
        <v>416</v>
      </c>
      <c r="D43" s="513" t="s">
        <v>40</v>
      </c>
      <c r="E43" s="513" t="e">
        <f>VLOOKUP(C43,#REF!,33,0)</f>
        <v>#REF!</v>
      </c>
      <c r="F43" s="522"/>
      <c r="G43" s="514"/>
      <c r="H43" s="514" t="e">
        <f t="shared" si="9"/>
        <v>#REF!</v>
      </c>
      <c r="I43" s="515" t="e">
        <f t="shared" si="0"/>
        <v>#REF!</v>
      </c>
      <c r="J43" s="516" t="s">
        <v>52</v>
      </c>
      <c r="K43" s="517">
        <f t="shared" si="1"/>
        <v>60</v>
      </c>
      <c r="L43" s="518" t="e">
        <f t="shared" si="2"/>
        <v>#REF!</v>
      </c>
      <c r="M43" s="519" t="s">
        <v>52</v>
      </c>
      <c r="N43" s="517"/>
      <c r="O43" s="632" t="e">
        <f t="shared" si="4"/>
        <v>#REF!</v>
      </c>
      <c r="P43" s="633">
        <f t="shared" si="5"/>
        <v>60</v>
      </c>
      <c r="Q43" s="635" t="e">
        <f t="shared" si="6"/>
        <v>#REF!</v>
      </c>
      <c r="R43" s="634" t="e">
        <f t="shared" si="7"/>
        <v>#REF!</v>
      </c>
      <c r="S43" s="482" t="e">
        <f t="shared" si="8"/>
        <v>#REF!</v>
      </c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</row>
    <row r="44" spans="1:31" s="490" customFormat="1" ht="25.5" customHeight="1">
      <c r="A44" s="511">
        <v>36</v>
      </c>
      <c r="B44" s="512"/>
      <c r="C44" s="481" t="s">
        <v>378</v>
      </c>
      <c r="D44" s="513" t="s">
        <v>40</v>
      </c>
      <c r="E44" s="513" t="e">
        <f>VLOOKUP(C44,#REF!,33,0)</f>
        <v>#REF!</v>
      </c>
      <c r="F44" s="514"/>
      <c r="G44" s="514"/>
      <c r="H44" s="514" t="e">
        <f t="shared" ref="H44:H55" si="11">SUM(E44:G44)</f>
        <v>#REF!</v>
      </c>
      <c r="I44" s="515" t="e">
        <f t="shared" si="0"/>
        <v>#REF!</v>
      </c>
      <c r="J44" s="523" t="s">
        <v>52</v>
      </c>
      <c r="K44" s="517">
        <f t="shared" si="1"/>
        <v>60</v>
      </c>
      <c r="L44" s="518" t="e">
        <f t="shared" si="2"/>
        <v>#REF!</v>
      </c>
      <c r="M44" s="519" t="e">
        <f t="shared" si="3"/>
        <v>#REF!</v>
      </c>
      <c r="N44" s="517"/>
      <c r="O44" s="632" t="e">
        <f t="shared" si="4"/>
        <v>#REF!</v>
      </c>
      <c r="P44" s="633">
        <f t="shared" si="5"/>
        <v>60</v>
      </c>
      <c r="Q44" s="635" t="e">
        <f t="shared" si="6"/>
        <v>#REF!</v>
      </c>
      <c r="R44" s="634" t="e">
        <f t="shared" si="7"/>
        <v>#REF!</v>
      </c>
      <c r="S44" s="482" t="e">
        <f t="shared" si="8"/>
        <v>#REF!</v>
      </c>
      <c r="T44" s="482"/>
      <c r="U44" s="482"/>
      <c r="V44" s="482"/>
      <c r="W44" s="482"/>
      <c r="X44" s="482"/>
      <c r="Y44" s="482"/>
      <c r="Z44" s="482"/>
      <c r="AA44" s="482"/>
      <c r="AB44" s="482"/>
      <c r="AC44" s="482"/>
      <c r="AD44" s="482"/>
      <c r="AE44" s="482"/>
    </row>
    <row r="45" spans="1:31" s="490" customFormat="1" ht="25.5" customHeight="1">
      <c r="A45" s="511">
        <v>37</v>
      </c>
      <c r="B45" s="512"/>
      <c r="C45" s="481" t="s">
        <v>379</v>
      </c>
      <c r="D45" s="513" t="s">
        <v>40</v>
      </c>
      <c r="E45" s="513" t="e">
        <f>VLOOKUP(C45,#REF!,33,0)</f>
        <v>#REF!</v>
      </c>
      <c r="F45" s="514"/>
      <c r="G45" s="514"/>
      <c r="H45" s="514" t="e">
        <f t="shared" si="11"/>
        <v>#REF!</v>
      </c>
      <c r="I45" s="515" t="e">
        <f t="shared" si="0"/>
        <v>#REF!</v>
      </c>
      <c r="J45" s="523" t="s">
        <v>92</v>
      </c>
      <c r="K45" s="517">
        <f t="shared" si="1"/>
        <v>50</v>
      </c>
      <c r="L45" s="518" t="e">
        <f t="shared" si="2"/>
        <v>#REF!</v>
      </c>
      <c r="M45" s="519" t="e">
        <f t="shared" si="3"/>
        <v>#REF!</v>
      </c>
      <c r="N45" s="517"/>
      <c r="O45" s="632" t="e">
        <f t="shared" si="4"/>
        <v>#REF!</v>
      </c>
      <c r="P45" s="633">
        <f t="shared" si="5"/>
        <v>50</v>
      </c>
      <c r="Q45" s="635" t="e">
        <f t="shared" si="6"/>
        <v>#REF!</v>
      </c>
      <c r="R45" s="634" t="e">
        <f t="shared" si="7"/>
        <v>#REF!</v>
      </c>
      <c r="S45" s="482" t="e">
        <f t="shared" si="8"/>
        <v>#REF!</v>
      </c>
      <c r="T45" s="482"/>
      <c r="U45" s="482"/>
      <c r="V45" s="482"/>
      <c r="W45" s="482"/>
      <c r="X45" s="482"/>
      <c r="Y45" s="482"/>
      <c r="Z45" s="482"/>
      <c r="AA45" s="482"/>
      <c r="AB45" s="482"/>
      <c r="AC45" s="482"/>
      <c r="AD45" s="482"/>
      <c r="AE45" s="482"/>
    </row>
    <row r="46" spans="1:31" s="490" customFormat="1" ht="25.5" customHeight="1">
      <c r="A46" s="520">
        <v>38</v>
      </c>
      <c r="B46" s="512"/>
      <c r="C46" s="481" t="s">
        <v>380</v>
      </c>
      <c r="D46" s="513" t="s">
        <v>40</v>
      </c>
      <c r="E46" s="513" t="e">
        <f>VLOOKUP(C46,#REF!,33,0)</f>
        <v>#REF!</v>
      </c>
      <c r="F46" s="514"/>
      <c r="G46" s="514"/>
      <c r="H46" s="514" t="e">
        <f t="shared" si="11"/>
        <v>#REF!</v>
      </c>
      <c r="I46" s="515" t="e">
        <f t="shared" si="0"/>
        <v>#REF!</v>
      </c>
      <c r="J46" s="523" t="s">
        <v>52</v>
      </c>
      <c r="K46" s="517">
        <f t="shared" si="1"/>
        <v>60</v>
      </c>
      <c r="L46" s="518" t="e">
        <f t="shared" si="2"/>
        <v>#REF!</v>
      </c>
      <c r="M46" s="519" t="e">
        <f t="shared" si="3"/>
        <v>#REF!</v>
      </c>
      <c r="N46" s="517"/>
      <c r="O46" s="632" t="e">
        <f t="shared" si="4"/>
        <v>#REF!</v>
      </c>
      <c r="P46" s="633">
        <f t="shared" si="5"/>
        <v>60</v>
      </c>
      <c r="Q46" s="635" t="e">
        <f t="shared" si="6"/>
        <v>#REF!</v>
      </c>
      <c r="R46" s="634" t="e">
        <f t="shared" si="7"/>
        <v>#REF!</v>
      </c>
      <c r="S46" s="482" t="e">
        <f t="shared" si="8"/>
        <v>#REF!</v>
      </c>
      <c r="T46" s="482"/>
      <c r="U46" s="482"/>
      <c r="V46" s="482"/>
      <c r="W46" s="482"/>
      <c r="X46" s="482"/>
      <c r="Y46" s="482"/>
      <c r="Z46" s="482"/>
      <c r="AA46" s="482"/>
      <c r="AB46" s="482"/>
      <c r="AC46" s="482"/>
      <c r="AD46" s="482"/>
      <c r="AE46" s="482"/>
    </row>
    <row r="47" spans="1:31" s="490" customFormat="1" ht="25.5" customHeight="1">
      <c r="A47" s="511">
        <v>39</v>
      </c>
      <c r="B47" s="512"/>
      <c r="C47" s="481" t="s">
        <v>381</v>
      </c>
      <c r="D47" s="513" t="s">
        <v>40</v>
      </c>
      <c r="E47" s="513" t="e">
        <f>VLOOKUP(C47,#REF!,33,0)</f>
        <v>#REF!</v>
      </c>
      <c r="F47" s="514"/>
      <c r="G47" s="514"/>
      <c r="H47" s="514" t="e">
        <f t="shared" si="11"/>
        <v>#REF!</v>
      </c>
      <c r="I47" s="515" t="e">
        <f t="shared" si="0"/>
        <v>#REF!</v>
      </c>
      <c r="J47" s="523" t="s">
        <v>92</v>
      </c>
      <c r="K47" s="517">
        <f t="shared" si="1"/>
        <v>50</v>
      </c>
      <c r="L47" s="518" t="e">
        <f t="shared" si="2"/>
        <v>#REF!</v>
      </c>
      <c r="M47" s="519" t="e">
        <f t="shared" si="3"/>
        <v>#REF!</v>
      </c>
      <c r="N47" s="517"/>
      <c r="O47" s="632" t="e">
        <f t="shared" si="4"/>
        <v>#REF!</v>
      </c>
      <c r="P47" s="633">
        <f t="shared" si="5"/>
        <v>50</v>
      </c>
      <c r="Q47" s="635" t="e">
        <f t="shared" si="6"/>
        <v>#REF!</v>
      </c>
      <c r="R47" s="634" t="e">
        <f t="shared" si="7"/>
        <v>#REF!</v>
      </c>
      <c r="S47" s="482" t="e">
        <f t="shared" si="8"/>
        <v>#REF!</v>
      </c>
      <c r="T47" s="482"/>
      <c r="U47" s="482"/>
      <c r="V47" s="482"/>
      <c r="W47" s="482"/>
      <c r="X47" s="482"/>
      <c r="Y47" s="482"/>
      <c r="Z47" s="482"/>
      <c r="AA47" s="482"/>
      <c r="AB47" s="482"/>
      <c r="AC47" s="482"/>
      <c r="AD47" s="482"/>
      <c r="AE47" s="482"/>
    </row>
    <row r="48" spans="1:31" s="490" customFormat="1" ht="25.5" customHeight="1">
      <c r="A48" s="511">
        <v>40</v>
      </c>
      <c r="B48" s="512"/>
      <c r="C48" s="481" t="s">
        <v>533</v>
      </c>
      <c r="D48" s="513" t="s">
        <v>40</v>
      </c>
      <c r="E48" s="513" t="e">
        <f>VLOOKUP(C48,#REF!,33,0)</f>
        <v>#REF!</v>
      </c>
      <c r="F48" s="514"/>
      <c r="G48" s="514"/>
      <c r="H48" s="514" t="e">
        <f t="shared" si="11"/>
        <v>#REF!</v>
      </c>
      <c r="I48" s="515" t="e">
        <f t="shared" si="0"/>
        <v>#REF!</v>
      </c>
      <c r="J48" s="523" t="s">
        <v>92</v>
      </c>
      <c r="K48" s="517">
        <f t="shared" si="1"/>
        <v>50</v>
      </c>
      <c r="L48" s="518" t="e">
        <f t="shared" si="2"/>
        <v>#REF!</v>
      </c>
      <c r="M48" s="519" t="e">
        <f t="shared" si="3"/>
        <v>#REF!</v>
      </c>
      <c r="N48" s="517"/>
      <c r="O48" s="632" t="e">
        <f t="shared" si="4"/>
        <v>#REF!</v>
      </c>
      <c r="P48" s="633">
        <f t="shared" si="5"/>
        <v>50</v>
      </c>
      <c r="Q48" s="635" t="e">
        <f t="shared" si="6"/>
        <v>#REF!</v>
      </c>
      <c r="R48" s="634" t="e">
        <f t="shared" si="7"/>
        <v>#REF!</v>
      </c>
      <c r="S48" s="482" t="e">
        <f t="shared" si="8"/>
        <v>#REF!</v>
      </c>
      <c r="T48" s="482"/>
      <c r="U48" s="482"/>
      <c r="V48" s="482"/>
      <c r="W48" s="482"/>
      <c r="X48" s="482"/>
      <c r="Y48" s="482"/>
      <c r="Z48" s="482"/>
      <c r="AA48" s="482"/>
      <c r="AB48" s="482"/>
      <c r="AC48" s="482"/>
      <c r="AD48" s="482"/>
      <c r="AE48" s="482"/>
    </row>
    <row r="49" spans="1:31" s="490" customFormat="1" ht="25.5" customHeight="1">
      <c r="A49" s="520">
        <v>41</v>
      </c>
      <c r="B49" s="512"/>
      <c r="C49" s="481" t="s">
        <v>417</v>
      </c>
      <c r="D49" s="513" t="s">
        <v>40</v>
      </c>
      <c r="E49" s="513" t="e">
        <f>VLOOKUP(C49,#REF!,33,0)</f>
        <v>#REF!</v>
      </c>
      <c r="F49" s="514"/>
      <c r="G49" s="514"/>
      <c r="H49" s="514" t="e">
        <f t="shared" si="11"/>
        <v>#REF!</v>
      </c>
      <c r="I49" s="515" t="e">
        <f t="shared" si="0"/>
        <v>#REF!</v>
      </c>
      <c r="J49" s="523" t="s">
        <v>52</v>
      </c>
      <c r="K49" s="517">
        <f t="shared" si="1"/>
        <v>60</v>
      </c>
      <c r="L49" s="518" t="e">
        <f t="shared" si="2"/>
        <v>#REF!</v>
      </c>
      <c r="M49" s="519" t="e">
        <f t="shared" si="3"/>
        <v>#REF!</v>
      </c>
      <c r="N49" s="517"/>
      <c r="O49" s="632" t="e">
        <f t="shared" si="4"/>
        <v>#REF!</v>
      </c>
      <c r="P49" s="633">
        <f t="shared" si="5"/>
        <v>60</v>
      </c>
      <c r="Q49" s="635" t="e">
        <f t="shared" si="6"/>
        <v>#REF!</v>
      </c>
      <c r="R49" s="634" t="e">
        <f t="shared" si="7"/>
        <v>#REF!</v>
      </c>
      <c r="S49" s="482" t="e">
        <f t="shared" si="8"/>
        <v>#REF!</v>
      </c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</row>
    <row r="50" spans="1:31" s="490" customFormat="1" ht="25.5" customHeight="1">
      <c r="A50" s="511">
        <v>42</v>
      </c>
      <c r="B50" s="512"/>
      <c r="C50" s="481" t="s">
        <v>535</v>
      </c>
      <c r="D50" s="513" t="s">
        <v>40</v>
      </c>
      <c r="E50" s="513" t="e">
        <f>VLOOKUP(C50,#REF!,33,0)</f>
        <v>#REF!</v>
      </c>
      <c r="F50" s="514"/>
      <c r="G50" s="514"/>
      <c r="H50" s="514" t="e">
        <f t="shared" si="11"/>
        <v>#REF!</v>
      </c>
      <c r="I50" s="515" t="e">
        <f t="shared" si="0"/>
        <v>#REF!</v>
      </c>
      <c r="J50" s="523" t="s">
        <v>92</v>
      </c>
      <c r="K50" s="517">
        <f t="shared" si="1"/>
        <v>50</v>
      </c>
      <c r="L50" s="518" t="e">
        <f t="shared" si="2"/>
        <v>#REF!</v>
      </c>
      <c r="M50" s="519" t="e">
        <f t="shared" si="3"/>
        <v>#REF!</v>
      </c>
      <c r="N50" s="517"/>
      <c r="O50" s="632" t="e">
        <f t="shared" si="4"/>
        <v>#REF!</v>
      </c>
      <c r="P50" s="633">
        <f t="shared" si="5"/>
        <v>50</v>
      </c>
      <c r="Q50" s="635" t="e">
        <f t="shared" si="6"/>
        <v>#REF!</v>
      </c>
      <c r="R50" s="634" t="e">
        <f t="shared" si="7"/>
        <v>#REF!</v>
      </c>
      <c r="S50" s="482" t="e">
        <f t="shared" si="8"/>
        <v>#REF!</v>
      </c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</row>
    <row r="51" spans="1:31" s="490" customFormat="1" ht="25.5" customHeight="1">
      <c r="A51" s="511">
        <v>43</v>
      </c>
      <c r="B51" s="512"/>
      <c r="C51" s="562" t="s">
        <v>579</v>
      </c>
      <c r="D51" s="513" t="s">
        <v>40</v>
      </c>
      <c r="E51" s="513" t="e">
        <f>VLOOKUP(C51,#REF!,33,0)</f>
        <v>#REF!</v>
      </c>
      <c r="F51" s="514"/>
      <c r="G51" s="514"/>
      <c r="H51" s="514" t="e">
        <f t="shared" si="11"/>
        <v>#REF!</v>
      </c>
      <c r="I51" s="515" t="e">
        <f t="shared" si="0"/>
        <v>#REF!</v>
      </c>
      <c r="J51" s="523" t="s">
        <v>92</v>
      </c>
      <c r="K51" s="517">
        <f t="shared" si="1"/>
        <v>50</v>
      </c>
      <c r="L51" s="518" t="e">
        <f t="shared" si="2"/>
        <v>#REF!</v>
      </c>
      <c r="M51" s="519" t="e">
        <f t="shared" si="3"/>
        <v>#REF!</v>
      </c>
      <c r="N51" s="517"/>
      <c r="O51" s="632" t="e">
        <f t="shared" si="4"/>
        <v>#REF!</v>
      </c>
      <c r="P51" s="633">
        <f t="shared" si="5"/>
        <v>50</v>
      </c>
      <c r="Q51" s="635" t="e">
        <f t="shared" si="6"/>
        <v>#REF!</v>
      </c>
      <c r="R51" s="634" t="e">
        <f t="shared" si="7"/>
        <v>#REF!</v>
      </c>
      <c r="S51" s="482" t="e">
        <f t="shared" si="8"/>
        <v>#REF!</v>
      </c>
      <c r="T51" s="482"/>
      <c r="U51" s="482"/>
      <c r="V51" s="482"/>
      <c r="W51" s="482"/>
      <c r="X51" s="482"/>
      <c r="Y51" s="482"/>
      <c r="Z51" s="482"/>
      <c r="AA51" s="482"/>
      <c r="AB51" s="482"/>
      <c r="AC51" s="482"/>
      <c r="AD51" s="482"/>
      <c r="AE51" s="482"/>
    </row>
    <row r="52" spans="1:31" s="490" customFormat="1" ht="25.5" customHeight="1">
      <c r="A52" s="520">
        <v>44</v>
      </c>
      <c r="B52" s="522"/>
      <c r="C52" s="524" t="s">
        <v>373</v>
      </c>
      <c r="D52" s="513" t="s">
        <v>40</v>
      </c>
      <c r="E52" s="513" t="e">
        <f>VLOOKUP(C52,#REF!,33,0)</f>
        <v>#REF!</v>
      </c>
      <c r="F52" s="522"/>
      <c r="G52" s="514"/>
      <c r="H52" s="514" t="e">
        <f t="shared" si="11"/>
        <v>#REF!</v>
      </c>
      <c r="I52" s="515" t="e">
        <f t="shared" si="0"/>
        <v>#REF!</v>
      </c>
      <c r="J52" s="523" t="s">
        <v>92</v>
      </c>
      <c r="K52" s="517">
        <f t="shared" si="1"/>
        <v>50</v>
      </c>
      <c r="L52" s="518" t="e">
        <f t="shared" si="2"/>
        <v>#REF!</v>
      </c>
      <c r="M52" s="519" t="e">
        <f t="shared" si="3"/>
        <v>#REF!</v>
      </c>
      <c r="N52" s="517"/>
      <c r="O52" s="632" t="e">
        <f t="shared" si="4"/>
        <v>#REF!</v>
      </c>
      <c r="P52" s="633">
        <f t="shared" si="5"/>
        <v>50</v>
      </c>
      <c r="Q52" s="635" t="e">
        <f t="shared" si="6"/>
        <v>#REF!</v>
      </c>
      <c r="R52" s="634" t="e">
        <f t="shared" si="7"/>
        <v>#REF!</v>
      </c>
      <c r="S52" s="482" t="e">
        <f t="shared" si="8"/>
        <v>#REF!</v>
      </c>
      <c r="T52" s="482"/>
      <c r="U52" s="482"/>
      <c r="V52" s="482"/>
      <c r="W52" s="482"/>
      <c r="X52" s="482"/>
      <c r="Y52" s="482"/>
      <c r="Z52" s="482"/>
      <c r="AA52" s="482"/>
      <c r="AB52" s="482"/>
      <c r="AC52" s="482"/>
      <c r="AD52" s="482"/>
      <c r="AE52" s="482"/>
    </row>
    <row r="53" spans="1:31" s="490" customFormat="1" ht="25.5" customHeight="1">
      <c r="A53" s="511">
        <v>45</v>
      </c>
      <c r="B53" s="522"/>
      <c r="C53" s="562" t="s">
        <v>578</v>
      </c>
      <c r="D53" s="513" t="s">
        <v>40</v>
      </c>
      <c r="E53" s="513" t="e">
        <f>VLOOKUP(C53,#REF!,33,0)</f>
        <v>#REF!</v>
      </c>
      <c r="F53" s="522"/>
      <c r="G53" s="514"/>
      <c r="H53" s="514" t="e">
        <f t="shared" si="11"/>
        <v>#REF!</v>
      </c>
      <c r="I53" s="515" t="e">
        <f t="shared" si="0"/>
        <v>#REF!</v>
      </c>
      <c r="J53" s="523" t="s">
        <v>92</v>
      </c>
      <c r="K53" s="517">
        <f t="shared" si="1"/>
        <v>50</v>
      </c>
      <c r="L53" s="518" t="e">
        <f t="shared" si="2"/>
        <v>#REF!</v>
      </c>
      <c r="M53" s="519" t="e">
        <f t="shared" si="3"/>
        <v>#REF!</v>
      </c>
      <c r="N53" s="517"/>
      <c r="O53" s="632" t="e">
        <f t="shared" si="4"/>
        <v>#REF!</v>
      </c>
      <c r="P53" s="633">
        <f t="shared" si="5"/>
        <v>50</v>
      </c>
      <c r="Q53" s="635" t="e">
        <f t="shared" si="6"/>
        <v>#REF!</v>
      </c>
      <c r="R53" s="634" t="e">
        <f t="shared" si="7"/>
        <v>#REF!</v>
      </c>
      <c r="S53" s="482" t="e">
        <f t="shared" si="8"/>
        <v>#REF!</v>
      </c>
      <c r="T53" s="482"/>
      <c r="U53" s="482"/>
      <c r="V53" s="482"/>
      <c r="W53" s="482"/>
      <c r="X53" s="482"/>
      <c r="Y53" s="482"/>
      <c r="Z53" s="482"/>
      <c r="AA53" s="482"/>
      <c r="AB53" s="482"/>
      <c r="AC53" s="482"/>
      <c r="AD53" s="482"/>
      <c r="AE53" s="482"/>
    </row>
    <row r="54" spans="1:31" ht="25.5" customHeight="1">
      <c r="A54" s="511">
        <v>46</v>
      </c>
      <c r="B54" s="522"/>
      <c r="C54" s="481" t="s">
        <v>401</v>
      </c>
      <c r="D54" s="513" t="s">
        <v>40</v>
      </c>
      <c r="E54" s="513" t="e">
        <f>VLOOKUP(C54,#REF!,33,0)</f>
        <v>#REF!</v>
      </c>
      <c r="F54" s="522"/>
      <c r="G54" s="514"/>
      <c r="H54" s="514" t="e">
        <f t="shared" si="11"/>
        <v>#REF!</v>
      </c>
      <c r="I54" s="515" t="e">
        <f t="shared" si="0"/>
        <v>#REF!</v>
      </c>
      <c r="J54" s="523" t="s">
        <v>52</v>
      </c>
      <c r="K54" s="517">
        <f t="shared" si="1"/>
        <v>60</v>
      </c>
      <c r="L54" s="518" t="e">
        <f t="shared" si="2"/>
        <v>#REF!</v>
      </c>
      <c r="M54" s="519" t="e">
        <f t="shared" si="3"/>
        <v>#REF!</v>
      </c>
      <c r="N54" s="517"/>
      <c r="O54" s="632" t="e">
        <f t="shared" si="4"/>
        <v>#REF!</v>
      </c>
      <c r="P54" s="633">
        <f t="shared" si="5"/>
        <v>60</v>
      </c>
      <c r="Q54" s="635" t="e">
        <f t="shared" si="6"/>
        <v>#REF!</v>
      </c>
      <c r="R54" s="634" t="e">
        <f t="shared" si="7"/>
        <v>#REF!</v>
      </c>
      <c r="S54" s="482" t="e">
        <f t="shared" si="8"/>
        <v>#REF!</v>
      </c>
    </row>
    <row r="55" spans="1:31" ht="25.5" customHeight="1">
      <c r="A55" s="520">
        <v>47</v>
      </c>
      <c r="B55" s="522"/>
      <c r="C55" s="481" t="s">
        <v>400</v>
      </c>
      <c r="D55" s="513" t="s">
        <v>40</v>
      </c>
      <c r="E55" s="513" t="e">
        <f>VLOOKUP(C55,#REF!,33,0)</f>
        <v>#REF!</v>
      </c>
      <c r="F55" s="522"/>
      <c r="G55" s="514"/>
      <c r="H55" s="514" t="e">
        <f t="shared" si="11"/>
        <v>#REF!</v>
      </c>
      <c r="I55" s="515" t="e">
        <f t="shared" si="0"/>
        <v>#REF!</v>
      </c>
      <c r="J55" s="523" t="s">
        <v>52</v>
      </c>
      <c r="K55" s="517">
        <f t="shared" si="1"/>
        <v>60</v>
      </c>
      <c r="L55" s="518" t="e">
        <f t="shared" si="2"/>
        <v>#REF!</v>
      </c>
      <c r="M55" s="519" t="e">
        <f t="shared" si="3"/>
        <v>#REF!</v>
      </c>
      <c r="N55" s="517"/>
      <c r="O55" s="632" t="e">
        <f t="shared" si="4"/>
        <v>#REF!</v>
      </c>
      <c r="P55" s="633">
        <f t="shared" si="5"/>
        <v>60</v>
      </c>
      <c r="Q55" s="635" t="e">
        <f t="shared" si="6"/>
        <v>#REF!</v>
      </c>
      <c r="R55" s="634" t="e">
        <f t="shared" si="7"/>
        <v>#REF!</v>
      </c>
      <c r="S55" s="482" t="e">
        <f t="shared" si="8"/>
        <v>#REF!</v>
      </c>
    </row>
    <row r="56" spans="1:31" ht="25.5" customHeight="1">
      <c r="A56" s="511">
        <v>48</v>
      </c>
      <c r="B56" s="576"/>
      <c r="C56" s="574" t="s">
        <v>481</v>
      </c>
      <c r="D56" s="513" t="s">
        <v>40</v>
      </c>
      <c r="E56" s="513" t="e">
        <f>VLOOKUP(C56,#REF!,33,0)</f>
        <v>#REF!</v>
      </c>
      <c r="F56" s="522"/>
      <c r="G56" s="514"/>
      <c r="H56" s="514" t="e">
        <f>SUM(E56:G56)</f>
        <v>#REF!</v>
      </c>
      <c r="I56" s="515" t="e">
        <f t="shared" si="0"/>
        <v>#REF!</v>
      </c>
      <c r="J56" s="523" t="s">
        <v>92</v>
      </c>
      <c r="K56" s="517">
        <f t="shared" si="1"/>
        <v>50</v>
      </c>
      <c r="L56" s="518" t="e">
        <f t="shared" si="2"/>
        <v>#REF!</v>
      </c>
      <c r="M56" s="519" t="e">
        <f t="shared" si="3"/>
        <v>#REF!</v>
      </c>
      <c r="N56" s="577"/>
      <c r="O56" s="632" t="e">
        <f t="shared" si="4"/>
        <v>#REF!</v>
      </c>
      <c r="P56" s="633">
        <f t="shared" si="5"/>
        <v>50</v>
      </c>
      <c r="Q56" s="635" t="e">
        <f t="shared" si="6"/>
        <v>#REF!</v>
      </c>
      <c r="R56" s="634" t="e">
        <f t="shared" si="7"/>
        <v>#REF!</v>
      </c>
      <c r="S56" s="482" t="e">
        <f t="shared" si="8"/>
        <v>#REF!</v>
      </c>
    </row>
    <row r="57" spans="1:31" ht="21" customHeight="1">
      <c r="A57" s="491"/>
      <c r="B57" s="491"/>
      <c r="C57" s="4716" t="s">
        <v>310</v>
      </c>
      <c r="D57" s="4716"/>
      <c r="E57" s="492" t="s">
        <v>311</v>
      </c>
      <c r="F57" s="492"/>
      <c r="G57" s="492"/>
      <c r="H57" s="492"/>
      <c r="I57" s="4716" t="s">
        <v>50</v>
      </c>
      <c r="J57" s="4716"/>
      <c r="K57" s="493" t="s">
        <v>311</v>
      </c>
      <c r="L57" s="4717" t="s">
        <v>312</v>
      </c>
      <c r="M57" s="4717"/>
      <c r="N57" s="493"/>
    </row>
    <row r="58" spans="1:31" ht="21" customHeight="1">
      <c r="A58" s="494"/>
      <c r="B58" s="494"/>
      <c r="C58" s="4718" t="s">
        <v>313</v>
      </c>
      <c r="D58" s="4718"/>
      <c r="E58" s="495">
        <v>50</v>
      </c>
      <c r="F58" s="495"/>
      <c r="G58" s="495"/>
      <c r="H58" s="495"/>
      <c r="I58" s="4718" t="s">
        <v>313</v>
      </c>
      <c r="J58" s="4718"/>
      <c r="K58" s="460">
        <v>50</v>
      </c>
      <c r="L58" s="496" t="s">
        <v>314</v>
      </c>
      <c r="M58" s="497"/>
      <c r="N58" s="459"/>
    </row>
    <row r="59" spans="1:31" ht="21" customHeight="1">
      <c r="A59" s="494"/>
      <c r="B59" s="494"/>
      <c r="C59" s="4718" t="s">
        <v>315</v>
      </c>
      <c r="D59" s="4718"/>
      <c r="E59" s="495">
        <v>45</v>
      </c>
      <c r="F59" s="495"/>
      <c r="G59" s="495"/>
      <c r="H59" s="495"/>
      <c r="I59" s="4718" t="s">
        <v>315</v>
      </c>
      <c r="J59" s="4718"/>
      <c r="K59" s="460">
        <v>45</v>
      </c>
      <c r="L59" s="496" t="s">
        <v>316</v>
      </c>
      <c r="M59" s="498"/>
      <c r="N59" s="459"/>
    </row>
    <row r="60" spans="1:31" ht="21" customHeight="1">
      <c r="A60" s="494"/>
      <c r="B60" s="494"/>
      <c r="C60" s="4718" t="s">
        <v>317</v>
      </c>
      <c r="D60" s="4718"/>
      <c r="E60" s="495">
        <v>40</v>
      </c>
      <c r="F60" s="495"/>
      <c r="G60" s="495"/>
      <c r="H60" s="495"/>
      <c r="I60" s="4718" t="s">
        <v>317</v>
      </c>
      <c r="J60" s="4718"/>
      <c r="K60" s="460">
        <v>40</v>
      </c>
      <c r="L60" s="496" t="s">
        <v>323</v>
      </c>
      <c r="M60" s="496"/>
      <c r="N60" s="459"/>
    </row>
    <row r="61" spans="1:31" ht="21" customHeight="1">
      <c r="A61" s="494"/>
      <c r="B61" s="494"/>
      <c r="C61" s="4721" t="s">
        <v>313</v>
      </c>
      <c r="D61" s="4721"/>
      <c r="E61" s="4722">
        <f>J61/44*100</f>
        <v>9.0909090909090917</v>
      </c>
      <c r="F61" s="4722"/>
      <c r="G61" s="4722"/>
      <c r="H61" s="4722"/>
      <c r="I61" s="4722"/>
      <c r="J61" s="499">
        <f>COUNTIF($M$9:$M$55,"A")</f>
        <v>4</v>
      </c>
      <c r="K61" s="500" t="s">
        <v>237</v>
      </c>
      <c r="L61" s="4723" t="s">
        <v>539</v>
      </c>
      <c r="M61" s="4723"/>
      <c r="N61" s="4723"/>
    </row>
    <row r="62" spans="1:31" ht="21" customHeight="1">
      <c r="A62" s="494"/>
      <c r="B62" s="494"/>
      <c r="C62" s="4718" t="s">
        <v>315</v>
      </c>
      <c r="D62" s="4718"/>
      <c r="E62" s="4726">
        <f>J62/44*100</f>
        <v>0</v>
      </c>
      <c r="F62" s="4726"/>
      <c r="G62" s="4726"/>
      <c r="H62" s="4726"/>
      <c r="I62" s="4726"/>
      <c r="J62" s="501">
        <f>COUNTIF($M$9:$M$55,"B")</f>
        <v>0</v>
      </c>
      <c r="K62" s="502" t="s">
        <v>237</v>
      </c>
      <c r="L62" s="4724"/>
      <c r="M62" s="4724"/>
      <c r="N62" s="4724"/>
    </row>
    <row r="63" spans="1:31" ht="21" customHeight="1">
      <c r="A63" s="494"/>
      <c r="B63" s="494"/>
      <c r="C63" s="4727" t="s">
        <v>317</v>
      </c>
      <c r="D63" s="4727"/>
      <c r="E63" s="4728">
        <f>J63/44*100</f>
        <v>0</v>
      </c>
      <c r="F63" s="4728"/>
      <c r="G63" s="4728"/>
      <c r="H63" s="4728"/>
      <c r="I63" s="4728"/>
      <c r="J63" s="503">
        <f>COUNTIF($M$9:$M$55,"C")</f>
        <v>0</v>
      </c>
      <c r="K63" s="504" t="s">
        <v>237</v>
      </c>
      <c r="L63" s="4725"/>
      <c r="M63" s="4725"/>
      <c r="N63" s="4725"/>
    </row>
    <row r="64" spans="1:31" ht="9" customHeight="1">
      <c r="A64" s="494"/>
      <c r="B64" s="494"/>
      <c r="C64" s="505"/>
      <c r="D64" s="505"/>
      <c r="E64" s="494"/>
      <c r="F64" s="494"/>
      <c r="G64" s="494"/>
      <c r="H64" s="494"/>
      <c r="I64" s="494"/>
      <c r="J64" s="494"/>
      <c r="K64" s="494"/>
      <c r="L64" s="494"/>
      <c r="M64" s="494"/>
      <c r="N64" s="494"/>
    </row>
    <row r="65" spans="1:14" ht="13.5" customHeight="1">
      <c r="A65" s="494"/>
      <c r="B65" s="494"/>
      <c r="C65" s="494"/>
      <c r="D65" s="506"/>
      <c r="E65" s="506"/>
      <c r="F65" s="506"/>
      <c r="G65" s="506"/>
      <c r="H65" s="506"/>
      <c r="I65" s="506"/>
      <c r="J65" s="4714" t="s">
        <v>594</v>
      </c>
      <c r="K65" s="4714"/>
      <c r="L65" s="4714"/>
      <c r="M65" s="4714"/>
      <c r="N65" s="4714"/>
    </row>
    <row r="66" spans="1:14" ht="8.25" customHeight="1">
      <c r="A66" s="494"/>
      <c r="B66" s="494"/>
      <c r="C66" s="506"/>
      <c r="D66" s="507"/>
      <c r="E66" s="507"/>
      <c r="F66" s="507"/>
      <c r="G66" s="507"/>
      <c r="H66" s="507"/>
      <c r="I66" s="508"/>
      <c r="J66" s="508"/>
      <c r="K66" s="494"/>
      <c r="L66" s="494"/>
      <c r="M66" s="494"/>
      <c r="N66" s="494"/>
    </row>
    <row r="67" spans="1:14" ht="13.5" customHeight="1">
      <c r="A67" s="4715" t="s">
        <v>330</v>
      </c>
      <c r="B67" s="4715"/>
      <c r="C67" s="4715"/>
      <c r="D67" s="4715"/>
      <c r="E67" s="509"/>
      <c r="F67" s="4715" t="s">
        <v>167</v>
      </c>
      <c r="G67" s="4715"/>
      <c r="H67" s="4715"/>
      <c r="I67" s="4715"/>
      <c r="J67" s="4715"/>
      <c r="L67" s="4719" t="s">
        <v>370</v>
      </c>
      <c r="M67" s="4720"/>
      <c r="N67" s="510"/>
    </row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ht="13.5" customHeight="1"/>
    <row r="74" spans="1:14" ht="13.5" customHeight="1"/>
    <row r="75" spans="1:14" ht="13.5" customHeight="1"/>
    <row r="76" spans="1:14" ht="13.5" customHeight="1">
      <c r="I76" s="4713"/>
      <c r="J76" s="4713"/>
      <c r="K76" s="4713"/>
      <c r="L76" s="4713"/>
      <c r="M76" s="4713"/>
      <c r="N76" s="4713"/>
    </row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9" ht="8.25" customHeight="1"/>
  </sheetData>
  <mergeCells count="28">
    <mergeCell ref="E61:I61"/>
    <mergeCell ref="L61:N63"/>
    <mergeCell ref="C62:D62"/>
    <mergeCell ref="E62:I62"/>
    <mergeCell ref="C63:D63"/>
    <mergeCell ref="E63:I63"/>
    <mergeCell ref="I76:K76"/>
    <mergeCell ref="L76:N76"/>
    <mergeCell ref="J65:N65"/>
    <mergeCell ref="F67:J67"/>
    <mergeCell ref="C57:D57"/>
    <mergeCell ref="I57:J57"/>
    <mergeCell ref="L57:M57"/>
    <mergeCell ref="C60:D60"/>
    <mergeCell ref="I60:J60"/>
    <mergeCell ref="C58:D58"/>
    <mergeCell ref="L67:M67"/>
    <mergeCell ref="I58:J58"/>
    <mergeCell ref="C59:D59"/>
    <mergeCell ref="I59:J59"/>
    <mergeCell ref="A67:D67"/>
    <mergeCell ref="C61:D61"/>
    <mergeCell ref="A8:N8"/>
    <mergeCell ref="A2:E2"/>
    <mergeCell ref="A3:E3"/>
    <mergeCell ref="H2:N2"/>
    <mergeCell ref="H3:N3"/>
    <mergeCell ref="A5:N5"/>
  </mergeCells>
  <phoneticPr fontId="57" type="noConversion"/>
  <pageMargins left="0.35" right="0.2" top="0.25" bottom="0.25" header="0.3" footer="0.3"/>
  <pageSetup scale="9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31" workbookViewId="0">
      <selection activeCell="O13" sqref="O13"/>
    </sheetView>
  </sheetViews>
  <sheetFormatPr defaultColWidth="9.375" defaultRowHeight="12.75"/>
  <cols>
    <col min="1" max="1" width="4.375" style="117" customWidth="1"/>
    <col min="2" max="2" width="6.75" style="117" customWidth="1"/>
    <col min="3" max="3" width="7.875" style="117" customWidth="1"/>
    <col min="4" max="4" width="7.25" style="117" bestFit="1" customWidth="1"/>
    <col min="5" max="6" width="7.875" style="117" customWidth="1"/>
    <col min="7" max="7" width="4.875" style="117" bestFit="1" customWidth="1"/>
    <col min="8" max="8" width="7.875" style="117" customWidth="1"/>
    <col min="9" max="9" width="9.375" style="117" customWidth="1"/>
    <col min="10" max="10" width="7.875" style="117" customWidth="1"/>
    <col min="11" max="11" width="8.375" style="57" customWidth="1"/>
    <col min="12" max="12" width="9" style="57" customWidth="1"/>
    <col min="13" max="13" width="8.75" style="117" customWidth="1"/>
    <col min="14" max="14" width="9.375" style="117" bestFit="1" customWidth="1"/>
    <col min="15" max="16384" width="9.375" style="117"/>
  </cols>
  <sheetData>
    <row r="1" spans="1:14" s="131" customFormat="1">
      <c r="A1" s="4683" t="s">
        <v>164</v>
      </c>
      <c r="B1" s="4683"/>
      <c r="C1" s="4683"/>
      <c r="D1" s="4683"/>
      <c r="E1" s="4683"/>
      <c r="G1" s="4683" t="s">
        <v>165</v>
      </c>
      <c r="H1" s="4683"/>
      <c r="I1" s="4683"/>
      <c r="J1" s="4683"/>
      <c r="K1" s="4683"/>
      <c r="L1" s="4683"/>
      <c r="M1" s="4683"/>
    </row>
    <row r="2" spans="1:14" s="131" customFormat="1">
      <c r="A2" s="4683" t="s">
        <v>114</v>
      </c>
      <c r="B2" s="4683"/>
      <c r="C2" s="4683"/>
      <c r="D2" s="4683"/>
      <c r="E2" s="4683"/>
      <c r="G2" s="4683" t="s">
        <v>55</v>
      </c>
      <c r="H2" s="4683"/>
      <c r="I2" s="4683"/>
      <c r="J2" s="4683"/>
      <c r="K2" s="4683"/>
      <c r="L2" s="4683"/>
      <c r="M2" s="4683"/>
    </row>
    <row r="3" spans="1:14" s="131" customFormat="1">
      <c r="K3" s="57"/>
      <c r="L3" s="57"/>
      <c r="M3" s="117"/>
    </row>
    <row r="4" spans="1:14" s="131" customFormat="1" ht="15.75">
      <c r="A4" s="4155" t="s">
        <v>223</v>
      </c>
      <c r="B4" s="4155"/>
      <c r="C4" s="4155"/>
      <c r="D4" s="4155"/>
      <c r="E4" s="4155"/>
      <c r="F4" s="4155"/>
      <c r="G4" s="4155"/>
      <c r="H4" s="4155"/>
      <c r="I4" s="4155"/>
      <c r="J4" s="4155"/>
      <c r="K4" s="4155"/>
      <c r="L4" s="4155"/>
      <c r="M4" s="4155"/>
    </row>
    <row r="5" spans="1:14" s="131" customFormat="1">
      <c r="A5" s="4683" t="s">
        <v>226</v>
      </c>
      <c r="B5" s="4683"/>
      <c r="C5" s="4683"/>
      <c r="D5" s="4683"/>
      <c r="E5" s="4683"/>
      <c r="F5" s="4683"/>
      <c r="G5" s="4683"/>
      <c r="H5" s="4683"/>
      <c r="I5" s="4683"/>
      <c r="J5" s="4683"/>
      <c r="K5" s="4683"/>
      <c r="L5" s="4683"/>
      <c r="M5" s="4683"/>
    </row>
    <row r="6" spans="1:14" s="131" customFormat="1" ht="9" customHeight="1">
      <c r="A6" s="166"/>
      <c r="B6" s="166"/>
      <c r="C6" s="166"/>
      <c r="D6" s="166"/>
      <c r="E6" s="166"/>
      <c r="K6" s="221"/>
      <c r="L6" s="221"/>
    </row>
    <row r="7" spans="1:14" s="131" customFormat="1" ht="23.25" customHeight="1">
      <c r="A7" s="4638" t="s">
        <v>1</v>
      </c>
      <c r="B7" s="4638" t="s">
        <v>210</v>
      </c>
      <c r="C7" s="4734" t="s">
        <v>211</v>
      </c>
      <c r="D7" s="4735"/>
      <c r="E7" s="4735"/>
      <c r="F7" s="4638" t="s">
        <v>212</v>
      </c>
      <c r="G7" s="4638"/>
      <c r="H7" s="4638"/>
      <c r="I7" s="4638" t="s">
        <v>213</v>
      </c>
      <c r="J7" s="4638"/>
      <c r="K7" s="4638"/>
      <c r="L7" s="4736" t="s">
        <v>214</v>
      </c>
      <c r="M7" s="4638" t="s">
        <v>215</v>
      </c>
    </row>
    <row r="8" spans="1:14" s="131" customFormat="1" ht="71.25" customHeight="1">
      <c r="A8" s="4729"/>
      <c r="B8" s="4729"/>
      <c r="C8" s="167" t="s">
        <v>216</v>
      </c>
      <c r="D8" s="167" t="s">
        <v>217</v>
      </c>
      <c r="E8" s="167" t="s">
        <v>218</v>
      </c>
      <c r="F8" s="167" t="s">
        <v>216</v>
      </c>
      <c r="G8" s="167" t="s">
        <v>217</v>
      </c>
      <c r="H8" s="167" t="s">
        <v>219</v>
      </c>
      <c r="I8" s="167" t="s">
        <v>216</v>
      </c>
      <c r="J8" s="167" t="s">
        <v>217</v>
      </c>
      <c r="K8" s="222" t="s">
        <v>219</v>
      </c>
      <c r="L8" s="4737"/>
      <c r="M8" s="4729"/>
    </row>
    <row r="9" spans="1:14" s="118" customFormat="1" ht="19.5" customHeight="1">
      <c r="A9" s="168">
        <v>1</v>
      </c>
      <c r="B9" s="169">
        <v>42614</v>
      </c>
      <c r="C9" s="168"/>
      <c r="D9" s="170"/>
      <c r="E9" s="170"/>
      <c r="F9" s="171"/>
      <c r="G9" s="168"/>
      <c r="H9" s="171"/>
      <c r="I9" s="172" t="e">
        <f>#REF!</f>
        <v>#REF!</v>
      </c>
      <c r="J9" s="168">
        <v>40</v>
      </c>
      <c r="K9" s="171" t="e">
        <f>I9*J9%</f>
        <v>#REF!</v>
      </c>
      <c r="L9" s="223" t="e">
        <f t="shared" ref="L9:L38" si="0">E9+H9+K9</f>
        <v>#REF!</v>
      </c>
      <c r="M9" s="168"/>
      <c r="N9" s="173"/>
    </row>
    <row r="10" spans="1:14" s="118" customFormat="1" ht="19.5" customHeight="1">
      <c r="A10" s="174">
        <v>2</v>
      </c>
      <c r="B10" s="175">
        <v>42615</v>
      </c>
      <c r="C10" s="174"/>
      <c r="D10" s="176"/>
      <c r="E10" s="176"/>
      <c r="F10" s="177"/>
      <c r="G10" s="174"/>
      <c r="H10" s="177"/>
      <c r="I10" s="178" t="e">
        <f>#REF!</f>
        <v>#REF!</v>
      </c>
      <c r="J10" s="174">
        <v>40</v>
      </c>
      <c r="K10" s="177" t="e">
        <f>I10*J10%</f>
        <v>#REF!</v>
      </c>
      <c r="L10" s="224" t="e">
        <f t="shared" si="0"/>
        <v>#REF!</v>
      </c>
      <c r="M10" s="174"/>
      <c r="N10" s="173"/>
    </row>
    <row r="11" spans="1:14" s="118" customFormat="1" ht="19.5" customHeight="1">
      <c r="A11" s="174">
        <v>3</v>
      </c>
      <c r="B11" s="175">
        <v>42616</v>
      </c>
      <c r="C11" s="174"/>
      <c r="D11" s="176"/>
      <c r="E11" s="176"/>
      <c r="F11" s="177"/>
      <c r="G11" s="174"/>
      <c r="H11" s="177"/>
      <c r="I11" s="178"/>
      <c r="J11" s="174"/>
      <c r="K11" s="177">
        <f t="shared" ref="K11:K36" si="1">I11*J11%</f>
        <v>0</v>
      </c>
      <c r="L11" s="224">
        <f t="shared" si="0"/>
        <v>0</v>
      </c>
      <c r="M11" s="226" t="s">
        <v>228</v>
      </c>
      <c r="N11" s="173"/>
    </row>
    <row r="12" spans="1:14" s="118" customFormat="1" ht="19.5" customHeight="1">
      <c r="A12" s="174">
        <v>4</v>
      </c>
      <c r="B12" s="175">
        <v>42617</v>
      </c>
      <c r="C12" s="174"/>
      <c r="D12" s="176"/>
      <c r="E12" s="176"/>
      <c r="F12" s="177"/>
      <c r="G12" s="174"/>
      <c r="H12" s="177"/>
      <c r="I12" s="178"/>
      <c r="J12" s="174"/>
      <c r="K12" s="177">
        <f t="shared" si="1"/>
        <v>0</v>
      </c>
      <c r="L12" s="224">
        <f t="shared" si="0"/>
        <v>0</v>
      </c>
      <c r="M12" s="226" t="s">
        <v>228</v>
      </c>
      <c r="N12" s="173"/>
    </row>
    <row r="13" spans="1:14" s="118" customFormat="1" ht="19.5" customHeight="1">
      <c r="A13" s="174">
        <v>5</v>
      </c>
      <c r="B13" s="175">
        <v>42618</v>
      </c>
      <c r="C13" s="174"/>
      <c r="D13" s="176"/>
      <c r="E13" s="176"/>
      <c r="F13" s="177"/>
      <c r="G13" s="174"/>
      <c r="H13" s="177"/>
      <c r="I13" s="178"/>
      <c r="J13" s="174"/>
      <c r="K13" s="177">
        <f t="shared" si="1"/>
        <v>0</v>
      </c>
      <c r="L13" s="224">
        <f t="shared" si="0"/>
        <v>0</v>
      </c>
      <c r="M13" s="226" t="s">
        <v>228</v>
      </c>
      <c r="N13" s="173"/>
    </row>
    <row r="14" spans="1:14" s="118" customFormat="1" ht="19.5" customHeight="1">
      <c r="A14" s="174">
        <v>6</v>
      </c>
      <c r="B14" s="175">
        <v>42619</v>
      </c>
      <c r="C14" s="174"/>
      <c r="D14" s="176"/>
      <c r="E14" s="176"/>
      <c r="F14" s="177"/>
      <c r="G14" s="174"/>
      <c r="H14" s="177"/>
      <c r="I14" s="178"/>
      <c r="J14" s="174"/>
      <c r="K14" s="177">
        <f t="shared" si="1"/>
        <v>0</v>
      </c>
      <c r="L14" s="224">
        <f t="shared" si="0"/>
        <v>0</v>
      </c>
      <c r="M14" s="226" t="s">
        <v>228</v>
      </c>
      <c r="N14" s="173"/>
    </row>
    <row r="15" spans="1:14" s="118" customFormat="1" ht="19.5" customHeight="1">
      <c r="A15" s="174">
        <v>7</v>
      </c>
      <c r="B15" s="175">
        <v>42620</v>
      </c>
      <c r="C15" s="174"/>
      <c r="D15" s="176"/>
      <c r="E15" s="176"/>
      <c r="F15" s="177"/>
      <c r="G15" s="174"/>
      <c r="H15" s="177"/>
      <c r="I15" s="178"/>
      <c r="J15" s="174"/>
      <c r="K15" s="177">
        <f t="shared" si="1"/>
        <v>0</v>
      </c>
      <c r="L15" s="224">
        <f t="shared" si="0"/>
        <v>0</v>
      </c>
      <c r="M15" s="226" t="s">
        <v>228</v>
      </c>
      <c r="N15" s="173"/>
    </row>
    <row r="16" spans="1:14" s="118" customFormat="1" ht="19.5" customHeight="1">
      <c r="A16" s="174">
        <v>8</v>
      </c>
      <c r="B16" s="175">
        <v>42621</v>
      </c>
      <c r="C16" s="174"/>
      <c r="D16" s="176"/>
      <c r="E16" s="176"/>
      <c r="F16" s="177"/>
      <c r="G16" s="174"/>
      <c r="H16" s="177"/>
      <c r="I16" s="178" t="e">
        <f>#REF!</f>
        <v>#REF!</v>
      </c>
      <c r="J16" s="174">
        <v>40</v>
      </c>
      <c r="K16" s="177" t="e">
        <f t="shared" si="1"/>
        <v>#REF!</v>
      </c>
      <c r="L16" s="224" t="e">
        <f t="shared" si="0"/>
        <v>#REF!</v>
      </c>
      <c r="M16" s="226"/>
      <c r="N16" s="173"/>
    </row>
    <row r="17" spans="1:14" s="118" customFormat="1" ht="19.5" customHeight="1">
      <c r="A17" s="174">
        <v>9</v>
      </c>
      <c r="B17" s="175">
        <v>42622</v>
      </c>
      <c r="C17" s="174"/>
      <c r="D17" s="176"/>
      <c r="E17" s="176"/>
      <c r="F17" s="177"/>
      <c r="G17" s="174"/>
      <c r="H17" s="177"/>
      <c r="I17" s="178" t="e">
        <f>#REF!</f>
        <v>#REF!</v>
      </c>
      <c r="J17" s="174">
        <v>40</v>
      </c>
      <c r="K17" s="177" t="e">
        <f t="shared" si="1"/>
        <v>#REF!</v>
      </c>
      <c r="L17" s="224" t="e">
        <f t="shared" si="0"/>
        <v>#REF!</v>
      </c>
      <c r="M17" s="226"/>
      <c r="N17" s="173"/>
    </row>
    <row r="18" spans="1:14" s="118" customFormat="1" ht="19.5" customHeight="1">
      <c r="A18" s="174">
        <v>10</v>
      </c>
      <c r="B18" s="175">
        <v>42623</v>
      </c>
      <c r="C18" s="174"/>
      <c r="D18" s="176"/>
      <c r="E18" s="176"/>
      <c r="F18" s="177"/>
      <c r="G18" s="174"/>
      <c r="H18" s="177"/>
      <c r="I18" s="178" t="e">
        <f>#REF!</f>
        <v>#REF!</v>
      </c>
      <c r="J18" s="174">
        <v>40</v>
      </c>
      <c r="K18" s="177" t="e">
        <f t="shared" si="1"/>
        <v>#REF!</v>
      </c>
      <c r="L18" s="224" t="e">
        <f t="shared" si="0"/>
        <v>#REF!</v>
      </c>
      <c r="M18" s="226"/>
      <c r="N18" s="173"/>
    </row>
    <row r="19" spans="1:14" s="118" customFormat="1" ht="19.5" customHeight="1">
      <c r="A19" s="174">
        <v>11</v>
      </c>
      <c r="B19" s="175">
        <v>42624</v>
      </c>
      <c r="C19" s="174"/>
      <c r="D19" s="176"/>
      <c r="E19" s="176"/>
      <c r="F19" s="177"/>
      <c r="G19" s="174"/>
      <c r="H19" s="177"/>
      <c r="I19" s="178" t="e">
        <f>#REF!</f>
        <v>#REF!</v>
      </c>
      <c r="J19" s="174"/>
      <c r="K19" s="177" t="e">
        <f t="shared" si="1"/>
        <v>#REF!</v>
      </c>
      <c r="L19" s="224" t="e">
        <f t="shared" si="0"/>
        <v>#REF!</v>
      </c>
      <c r="M19" s="226" t="s">
        <v>229</v>
      </c>
      <c r="N19" s="173"/>
    </row>
    <row r="20" spans="1:14" s="118" customFormat="1" ht="19.5" customHeight="1">
      <c r="A20" s="174">
        <v>12</v>
      </c>
      <c r="B20" s="175">
        <v>42625</v>
      </c>
      <c r="C20" s="174"/>
      <c r="D20" s="176"/>
      <c r="E20" s="176"/>
      <c r="F20" s="177"/>
      <c r="G20" s="174"/>
      <c r="H20" s="177"/>
      <c r="I20" s="178"/>
      <c r="J20" s="174"/>
      <c r="K20" s="177">
        <f t="shared" si="1"/>
        <v>0</v>
      </c>
      <c r="L20" s="224">
        <f t="shared" si="0"/>
        <v>0</v>
      </c>
      <c r="M20" s="226" t="s">
        <v>228</v>
      </c>
      <c r="N20" s="173"/>
    </row>
    <row r="21" spans="1:14" s="118" customFormat="1" ht="19.5" customHeight="1">
      <c r="A21" s="174">
        <v>13</v>
      </c>
      <c r="B21" s="175">
        <v>42626</v>
      </c>
      <c r="C21" s="174"/>
      <c r="D21" s="174"/>
      <c r="E21" s="174"/>
      <c r="F21" s="177"/>
      <c r="G21" s="174"/>
      <c r="H21" s="177"/>
      <c r="I21" s="178"/>
      <c r="J21" s="174"/>
      <c r="K21" s="177">
        <f t="shared" si="1"/>
        <v>0</v>
      </c>
      <c r="L21" s="224">
        <f t="shared" si="0"/>
        <v>0</v>
      </c>
      <c r="M21" s="226" t="s">
        <v>228</v>
      </c>
      <c r="N21" s="173"/>
    </row>
    <row r="22" spans="1:14" s="118" customFormat="1" ht="19.5" customHeight="1">
      <c r="A22" s="174">
        <v>14</v>
      </c>
      <c r="B22" s="175">
        <v>42627</v>
      </c>
      <c r="C22" s="174"/>
      <c r="D22" s="174"/>
      <c r="E22" s="174"/>
      <c r="F22" s="177"/>
      <c r="G22" s="174"/>
      <c r="H22" s="177"/>
      <c r="I22" s="178" t="e">
        <f>#REF!</f>
        <v>#REF!</v>
      </c>
      <c r="J22" s="174">
        <v>40</v>
      </c>
      <c r="K22" s="177" t="e">
        <f t="shared" si="1"/>
        <v>#REF!</v>
      </c>
      <c r="L22" s="224" t="e">
        <f t="shared" si="0"/>
        <v>#REF!</v>
      </c>
      <c r="M22" s="226"/>
      <c r="N22" s="173"/>
    </row>
    <row r="23" spans="1:14" s="118" customFormat="1" ht="19.5" customHeight="1">
      <c r="A23" s="174">
        <v>15</v>
      </c>
      <c r="B23" s="175">
        <v>42628</v>
      </c>
      <c r="C23" s="174"/>
      <c r="D23" s="174"/>
      <c r="E23" s="174"/>
      <c r="F23" s="177"/>
      <c r="G23" s="174"/>
      <c r="H23" s="177"/>
      <c r="I23" s="178" t="e">
        <f>#REF!</f>
        <v>#REF!</v>
      </c>
      <c r="J23" s="174">
        <v>40</v>
      </c>
      <c r="K23" s="177" t="e">
        <f>I23*J23%</f>
        <v>#REF!</v>
      </c>
      <c r="L23" s="224" t="e">
        <f>E23+H23+K23</f>
        <v>#REF!</v>
      </c>
      <c r="M23" s="226"/>
      <c r="N23" s="173"/>
    </row>
    <row r="24" spans="1:14" s="118" customFormat="1" ht="19.5" customHeight="1">
      <c r="A24" s="174">
        <v>16</v>
      </c>
      <c r="B24" s="175">
        <v>42629</v>
      </c>
      <c r="C24" s="174"/>
      <c r="D24" s="174"/>
      <c r="E24" s="174"/>
      <c r="F24" s="177"/>
      <c r="G24" s="174"/>
      <c r="H24" s="177"/>
      <c r="I24" s="178" t="e">
        <f>#REF!</f>
        <v>#REF!</v>
      </c>
      <c r="J24" s="174">
        <v>40</v>
      </c>
      <c r="K24" s="177" t="e">
        <f>I24*J24%</f>
        <v>#REF!</v>
      </c>
      <c r="L24" s="224" t="e">
        <f>E24+H24+K24</f>
        <v>#REF!</v>
      </c>
      <c r="M24" s="226"/>
      <c r="N24" s="173"/>
    </row>
    <row r="25" spans="1:14" s="118" customFormat="1" ht="19.5" customHeight="1">
      <c r="A25" s="174">
        <v>17</v>
      </c>
      <c r="B25" s="175">
        <v>42630</v>
      </c>
      <c r="C25" s="174"/>
      <c r="D25" s="174"/>
      <c r="E25" s="174"/>
      <c r="F25" s="177"/>
      <c r="G25" s="174"/>
      <c r="H25" s="177"/>
      <c r="I25" s="178" t="e">
        <f>#REF!</f>
        <v>#REF!</v>
      </c>
      <c r="J25" s="174">
        <v>40</v>
      </c>
      <c r="K25" s="177" t="e">
        <f>I25*J25%</f>
        <v>#REF!</v>
      </c>
      <c r="L25" s="224" t="e">
        <f>E25+H25+K25</f>
        <v>#REF!</v>
      </c>
      <c r="M25" s="174"/>
      <c r="N25" s="173"/>
    </row>
    <row r="26" spans="1:14" s="118" customFormat="1" ht="19.5" customHeight="1">
      <c r="A26" s="174">
        <v>18</v>
      </c>
      <c r="B26" s="175">
        <v>42631</v>
      </c>
      <c r="C26" s="174"/>
      <c r="D26" s="174"/>
      <c r="E26" s="174"/>
      <c r="F26" s="177"/>
      <c r="G26" s="174"/>
      <c r="H26" s="177"/>
      <c r="I26" s="178" t="e">
        <f>#REF!</f>
        <v>#REF!</v>
      </c>
      <c r="J26" s="174">
        <v>40</v>
      </c>
      <c r="K26" s="177" t="e">
        <f>I26*J26%</f>
        <v>#REF!</v>
      </c>
      <c r="L26" s="224" t="e">
        <f>E26+H26+K26</f>
        <v>#REF!</v>
      </c>
      <c r="M26" s="174"/>
      <c r="N26" s="173"/>
    </row>
    <row r="27" spans="1:14" s="118" customFormat="1" ht="19.5" customHeight="1">
      <c r="A27" s="174">
        <v>19</v>
      </c>
      <c r="B27" s="175">
        <v>42632</v>
      </c>
      <c r="C27" s="174"/>
      <c r="D27" s="174"/>
      <c r="E27" s="174"/>
      <c r="F27" s="177"/>
      <c r="G27" s="174"/>
      <c r="H27" s="177"/>
      <c r="I27" s="178" t="e">
        <f>#REF!</f>
        <v>#REF!</v>
      </c>
      <c r="J27" s="174">
        <v>40</v>
      </c>
      <c r="K27" s="177" t="e">
        <f>I27*J27%</f>
        <v>#REF!</v>
      </c>
      <c r="L27" s="224" t="e">
        <f>E27+H27+K27</f>
        <v>#REF!</v>
      </c>
      <c r="M27" s="174"/>
      <c r="N27" s="173"/>
    </row>
    <row r="28" spans="1:14" s="118" customFormat="1" ht="19.5" customHeight="1">
      <c r="A28" s="174">
        <v>20</v>
      </c>
      <c r="B28" s="175">
        <v>42633</v>
      </c>
      <c r="C28" s="174"/>
      <c r="D28" s="174"/>
      <c r="E28" s="174"/>
      <c r="F28" s="177"/>
      <c r="G28" s="174"/>
      <c r="H28" s="177"/>
      <c r="I28" s="178" t="e">
        <f>#REF!</f>
        <v>#REF!</v>
      </c>
      <c r="J28" s="174">
        <v>40</v>
      </c>
      <c r="K28" s="177" t="e">
        <f t="shared" si="1"/>
        <v>#REF!</v>
      </c>
      <c r="L28" s="224" t="e">
        <f t="shared" si="0"/>
        <v>#REF!</v>
      </c>
      <c r="M28" s="174"/>
      <c r="N28" s="173"/>
    </row>
    <row r="29" spans="1:14" s="118" customFormat="1" ht="19.5" customHeight="1">
      <c r="A29" s="174">
        <v>21</v>
      </c>
      <c r="B29" s="175">
        <v>42634</v>
      </c>
      <c r="C29" s="174"/>
      <c r="D29" s="174"/>
      <c r="E29" s="174"/>
      <c r="F29" s="177"/>
      <c r="G29" s="174"/>
      <c r="H29" s="177"/>
      <c r="I29" s="178" t="e">
        <f>#REF!</f>
        <v>#REF!</v>
      </c>
      <c r="J29" s="174">
        <v>40</v>
      </c>
      <c r="K29" s="177" t="e">
        <f t="shared" si="1"/>
        <v>#REF!</v>
      </c>
      <c r="L29" s="224" t="e">
        <f t="shared" si="0"/>
        <v>#REF!</v>
      </c>
      <c r="M29" s="174"/>
      <c r="N29" s="173"/>
    </row>
    <row r="30" spans="1:14" s="118" customFormat="1" ht="19.5" customHeight="1">
      <c r="A30" s="174">
        <v>22</v>
      </c>
      <c r="B30" s="175">
        <v>42635</v>
      </c>
      <c r="C30" s="174"/>
      <c r="D30" s="174"/>
      <c r="E30" s="174"/>
      <c r="F30" s="177"/>
      <c r="G30" s="174"/>
      <c r="H30" s="177"/>
      <c r="I30" s="179"/>
      <c r="J30" s="174"/>
      <c r="K30" s="177">
        <f t="shared" si="1"/>
        <v>0</v>
      </c>
      <c r="L30" s="224">
        <f t="shared" si="0"/>
        <v>0</v>
      </c>
      <c r="M30" s="226" t="s">
        <v>228</v>
      </c>
      <c r="N30" s="173"/>
    </row>
    <row r="31" spans="1:14" s="118" customFormat="1" ht="19.5" customHeight="1">
      <c r="A31" s="174">
        <v>23</v>
      </c>
      <c r="B31" s="175">
        <v>42636</v>
      </c>
      <c r="C31" s="174"/>
      <c r="D31" s="174"/>
      <c r="E31" s="174"/>
      <c r="F31" s="177"/>
      <c r="G31" s="174"/>
      <c r="H31" s="177"/>
      <c r="I31" s="179" t="e">
        <f>#REF!</f>
        <v>#REF!</v>
      </c>
      <c r="J31" s="174">
        <v>40</v>
      </c>
      <c r="K31" s="177" t="e">
        <f t="shared" si="1"/>
        <v>#REF!</v>
      </c>
      <c r="L31" s="224" t="e">
        <f t="shared" si="0"/>
        <v>#REF!</v>
      </c>
      <c r="M31" s="174"/>
      <c r="N31" s="173"/>
    </row>
    <row r="32" spans="1:14" s="118" customFormat="1" ht="19.5" customHeight="1">
      <c r="A32" s="174">
        <v>24</v>
      </c>
      <c r="B32" s="175">
        <v>42637</v>
      </c>
      <c r="C32" s="174"/>
      <c r="D32" s="174"/>
      <c r="E32" s="174"/>
      <c r="F32" s="177"/>
      <c r="G32" s="174"/>
      <c r="H32" s="177"/>
      <c r="I32" s="178" t="e">
        <f>#REF!</f>
        <v>#REF!</v>
      </c>
      <c r="J32" s="174">
        <v>40</v>
      </c>
      <c r="K32" s="177" t="e">
        <f t="shared" si="1"/>
        <v>#REF!</v>
      </c>
      <c r="L32" s="224" t="e">
        <f t="shared" si="0"/>
        <v>#REF!</v>
      </c>
      <c r="M32" s="174"/>
      <c r="N32" s="173"/>
    </row>
    <row r="33" spans="1:14" s="118" customFormat="1" ht="19.5" customHeight="1">
      <c r="A33" s="174">
        <v>25</v>
      </c>
      <c r="B33" s="175">
        <v>42638</v>
      </c>
      <c r="C33" s="174"/>
      <c r="D33" s="174"/>
      <c r="E33" s="174"/>
      <c r="F33" s="177"/>
      <c r="G33" s="174"/>
      <c r="H33" s="177"/>
      <c r="I33" s="178" t="e">
        <f>#REF!</f>
        <v>#REF!</v>
      </c>
      <c r="J33" s="174">
        <v>40</v>
      </c>
      <c r="K33" s="177" t="e">
        <f>I33*J33%</f>
        <v>#REF!</v>
      </c>
      <c r="L33" s="224" t="e">
        <f>E33+H33+K33</f>
        <v>#REF!</v>
      </c>
      <c r="M33" s="174"/>
      <c r="N33" s="173"/>
    </row>
    <row r="34" spans="1:14" s="118" customFormat="1" ht="19.5" customHeight="1">
      <c r="A34" s="174">
        <v>26</v>
      </c>
      <c r="B34" s="175">
        <v>42639</v>
      </c>
      <c r="C34" s="174"/>
      <c r="D34" s="174"/>
      <c r="E34" s="174"/>
      <c r="F34" s="177"/>
      <c r="G34" s="174"/>
      <c r="H34" s="177"/>
      <c r="I34" s="178" t="e">
        <f>#REF!</f>
        <v>#REF!</v>
      </c>
      <c r="J34" s="174">
        <v>40</v>
      </c>
      <c r="K34" s="177" t="e">
        <f>I34*J34%</f>
        <v>#REF!</v>
      </c>
      <c r="L34" s="224" t="e">
        <f>E34+H34+K34</f>
        <v>#REF!</v>
      </c>
      <c r="M34" s="174"/>
      <c r="N34" s="173"/>
    </row>
    <row r="35" spans="1:14" s="118" customFormat="1" ht="19.5" customHeight="1">
      <c r="A35" s="174">
        <v>27</v>
      </c>
      <c r="B35" s="175">
        <v>42640</v>
      </c>
      <c r="C35" s="174"/>
      <c r="D35" s="174"/>
      <c r="E35" s="174"/>
      <c r="F35" s="177"/>
      <c r="G35" s="174"/>
      <c r="H35" s="177"/>
      <c r="I35" s="178" t="e">
        <f>#REF!</f>
        <v>#REF!</v>
      </c>
      <c r="J35" s="174">
        <v>41</v>
      </c>
      <c r="K35" s="177" t="e">
        <f>I35*J35%</f>
        <v>#REF!</v>
      </c>
      <c r="L35" s="224" t="e">
        <f>E35+H35+K35</f>
        <v>#REF!</v>
      </c>
      <c r="M35" s="174"/>
      <c r="N35" s="173"/>
    </row>
    <row r="36" spans="1:14" s="118" customFormat="1" ht="19.5" customHeight="1">
      <c r="A36" s="174">
        <v>28</v>
      </c>
      <c r="B36" s="175">
        <v>42641</v>
      </c>
      <c r="C36" s="174"/>
      <c r="D36" s="174"/>
      <c r="E36" s="174"/>
      <c r="F36" s="177"/>
      <c r="G36" s="174"/>
      <c r="H36" s="177"/>
      <c r="I36" s="178" t="e">
        <f>#REF!</f>
        <v>#REF!</v>
      </c>
      <c r="J36" s="174"/>
      <c r="K36" s="177" t="e">
        <f t="shared" si="1"/>
        <v>#REF!</v>
      </c>
      <c r="L36" s="224" t="e">
        <f t="shared" si="0"/>
        <v>#REF!</v>
      </c>
      <c r="M36" s="226" t="s">
        <v>230</v>
      </c>
      <c r="N36" s="173"/>
    </row>
    <row r="37" spans="1:14" s="118" customFormat="1" ht="19.5" customHeight="1">
      <c r="A37" s="174">
        <v>29</v>
      </c>
      <c r="B37" s="175">
        <v>42642</v>
      </c>
      <c r="C37" s="174"/>
      <c r="D37" s="174"/>
      <c r="E37" s="174"/>
      <c r="F37" s="177"/>
      <c r="G37" s="174"/>
      <c r="H37" s="177"/>
      <c r="I37" s="178" t="e">
        <f>#REF!</f>
        <v>#REF!</v>
      </c>
      <c r="J37" s="174"/>
      <c r="K37" s="177" t="e">
        <f>I37*J37%</f>
        <v>#REF!</v>
      </c>
      <c r="L37" s="224" t="e">
        <f t="shared" si="0"/>
        <v>#REF!</v>
      </c>
      <c r="M37" s="226" t="s">
        <v>230</v>
      </c>
      <c r="N37" s="173"/>
    </row>
    <row r="38" spans="1:14" s="118" customFormat="1" ht="19.5" customHeight="1">
      <c r="A38" s="174">
        <v>30</v>
      </c>
      <c r="B38" s="175">
        <v>42643</v>
      </c>
      <c r="C38" s="180"/>
      <c r="D38" s="180"/>
      <c r="E38" s="180"/>
      <c r="F38" s="181"/>
      <c r="G38" s="180"/>
      <c r="H38" s="181"/>
      <c r="I38" s="182" t="e">
        <f>#REF!</f>
        <v>#REF!</v>
      </c>
      <c r="J38" s="180"/>
      <c r="K38" s="177" t="e">
        <f>I38*J38%</f>
        <v>#REF!</v>
      </c>
      <c r="L38" s="224" t="e">
        <f t="shared" si="0"/>
        <v>#REF!</v>
      </c>
      <c r="M38" s="226" t="s">
        <v>230</v>
      </c>
      <c r="N38" s="173"/>
    </row>
    <row r="39" spans="1:14" s="118" customFormat="1" ht="19.5" customHeight="1">
      <c r="A39" s="4731" t="s">
        <v>21</v>
      </c>
      <c r="B39" s="4732"/>
      <c r="C39" s="183">
        <f>SUM(C9:C38)</f>
        <v>0</v>
      </c>
      <c r="D39" s="183"/>
      <c r="E39" s="183">
        <f>SUM(E9:E38)</f>
        <v>0</v>
      </c>
      <c r="F39" s="183">
        <f>SUM(F9:F38)</f>
        <v>0</v>
      </c>
      <c r="G39" s="183"/>
      <c r="H39" s="183">
        <f>SUM(H9:H38)</f>
        <v>0</v>
      </c>
      <c r="I39" s="184" t="e">
        <f>SUM(I9:I38)</f>
        <v>#REF!</v>
      </c>
      <c r="J39" s="183"/>
      <c r="K39" s="183" t="e">
        <f>SUM(K9:K38)</f>
        <v>#REF!</v>
      </c>
      <c r="L39" s="183" t="e">
        <f>SUM(L9:L38)</f>
        <v>#REF!</v>
      </c>
      <c r="M39" s="185"/>
      <c r="N39" s="186"/>
    </row>
    <row r="41" spans="1:14">
      <c r="J41" s="4733" t="s">
        <v>227</v>
      </c>
      <c r="K41" s="4733"/>
      <c r="L41" s="4733"/>
      <c r="M41" s="4733"/>
    </row>
    <row r="42" spans="1:14">
      <c r="A42" s="4683" t="s">
        <v>167</v>
      </c>
      <c r="B42" s="4683"/>
      <c r="C42" s="4683"/>
      <c r="D42" s="4683"/>
      <c r="E42" s="4683"/>
      <c r="F42" s="4683" t="s">
        <v>220</v>
      </c>
      <c r="G42" s="4683"/>
      <c r="H42" s="4683"/>
      <c r="I42" s="4683"/>
      <c r="J42" s="4683" t="s">
        <v>168</v>
      </c>
      <c r="K42" s="4683"/>
      <c r="L42" s="4683"/>
      <c r="M42" s="4683"/>
    </row>
    <row r="43" spans="1:14">
      <c r="J43" s="118"/>
      <c r="K43" s="225"/>
      <c r="L43" s="225"/>
      <c r="M43" s="118"/>
    </row>
    <row r="44" spans="1:14">
      <c r="J44" s="118"/>
      <c r="K44" s="225"/>
      <c r="L44" s="225"/>
      <c r="M44" s="118"/>
    </row>
    <row r="45" spans="1:14">
      <c r="A45" s="131"/>
      <c r="B45" s="131"/>
      <c r="C45" s="131"/>
      <c r="D45" s="131"/>
      <c r="E45" s="131"/>
      <c r="F45" s="4683"/>
      <c r="G45" s="4683"/>
      <c r="H45" s="4683"/>
      <c r="I45" s="4683"/>
      <c r="J45" s="131"/>
      <c r="K45" s="221"/>
      <c r="L45" s="221"/>
      <c r="M45" s="131"/>
    </row>
    <row r="46" spans="1:14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221"/>
      <c r="L46" s="221"/>
      <c r="M46" s="131"/>
    </row>
    <row r="49" spans="1:13" s="134" customFormat="1" ht="13.5">
      <c r="A49" s="4730" t="s">
        <v>94</v>
      </c>
      <c r="B49" s="4730"/>
      <c r="C49" s="4730"/>
      <c r="D49" s="4730"/>
      <c r="E49" s="4730"/>
      <c r="F49" s="4730" t="s">
        <v>96</v>
      </c>
      <c r="G49" s="4730"/>
      <c r="H49" s="4730"/>
      <c r="I49" s="4730"/>
      <c r="J49" s="4730" t="s">
        <v>98</v>
      </c>
      <c r="K49" s="4730"/>
      <c r="L49" s="4730"/>
      <c r="M49" s="4730"/>
    </row>
  </sheetData>
  <mergeCells count="22">
    <mergeCell ref="M7:M8"/>
    <mergeCell ref="A7:A8"/>
    <mergeCell ref="B7:B8"/>
    <mergeCell ref="A42:E42"/>
    <mergeCell ref="A49:E49"/>
    <mergeCell ref="F49:I49"/>
    <mergeCell ref="J49:M49"/>
    <mergeCell ref="A39:B39"/>
    <mergeCell ref="J41:M41"/>
    <mergeCell ref="J42:M42"/>
    <mergeCell ref="F42:I42"/>
    <mergeCell ref="F45:I45"/>
    <mergeCell ref="C7:E7"/>
    <mergeCell ref="F7:H7"/>
    <mergeCell ref="I7:K7"/>
    <mergeCell ref="L7:L8"/>
    <mergeCell ref="A1:E1"/>
    <mergeCell ref="G1:M1"/>
    <mergeCell ref="A2:E2"/>
    <mergeCell ref="G2:M2"/>
    <mergeCell ref="A5:M5"/>
    <mergeCell ref="A4:M4"/>
  </mergeCells>
  <phoneticPr fontId="57" type="noConversion"/>
  <pageMargins left="0.28000000000000003" right="0.2" top="0.54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B111"/>
  <sheetViews>
    <sheetView topLeftCell="A67" zoomScale="70" zoomScaleNormal="70" workbookViewId="0">
      <selection activeCell="S65" sqref="S65:S66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customWidth="1"/>
    <col min="5" max="5" width="12.625" style="280" bestFit="1" customWidth="1"/>
    <col min="6" max="6" width="17.875" style="280" customWidth="1"/>
    <col min="7" max="7" width="12.25" style="156" customWidth="1"/>
    <col min="8" max="8" width="10.125" style="156" customWidth="1"/>
    <col min="9" max="9" width="8.875" style="156" customWidth="1"/>
    <col min="10" max="10" width="12.25" style="156" hidden="1" customWidth="1"/>
    <col min="11" max="11" width="16.75" style="1620" customWidth="1"/>
    <col min="12" max="12" width="19" style="156" customWidth="1"/>
    <col min="13" max="13" width="16.125" style="156" customWidth="1"/>
    <col min="14" max="14" width="17.375" style="156" customWidth="1"/>
    <col min="15" max="15" width="0.125" style="156" hidden="1" customWidth="1"/>
    <col min="16" max="16" width="19.625" style="156" customWidth="1"/>
    <col min="17" max="17" width="9.75" style="156" hidden="1" customWidth="1"/>
    <col min="18" max="18" width="13.75" style="156" hidden="1" customWidth="1"/>
    <col min="19" max="19" width="16.75" style="156" customWidth="1"/>
    <col min="20" max="20" width="13.25" style="156" customWidth="1"/>
    <col min="21" max="21" width="19.25" style="156" bestFit="1" customWidth="1"/>
    <col min="22" max="22" width="13.375" style="156" customWidth="1"/>
    <col min="23" max="23" width="18.25" style="156" customWidth="1"/>
    <col min="24" max="24" width="16.125" style="156" customWidth="1"/>
    <col min="25" max="25" width="16.25" style="156" bestFit="1" customWidth="1"/>
    <col min="26" max="26" width="14.625" style="156" customWidth="1"/>
    <col min="27" max="27" width="15" style="156" customWidth="1"/>
    <col min="28" max="28" width="20.25" style="156" customWidth="1"/>
    <col min="29" max="16384" width="9.375" style="156"/>
  </cols>
  <sheetData>
    <row r="1" spans="1:27" ht="16.5" customHeight="1">
      <c r="A1" s="3949" t="s">
        <v>574</v>
      </c>
      <c r="B1" s="3949"/>
      <c r="C1" s="3949"/>
      <c r="D1" s="3949"/>
      <c r="E1" s="3949"/>
      <c r="F1" s="3949"/>
      <c r="G1" s="1532"/>
      <c r="H1" s="1532"/>
      <c r="I1" s="1532"/>
      <c r="J1" s="1532"/>
      <c r="K1" s="1532"/>
      <c r="L1" s="3945" t="s">
        <v>165</v>
      </c>
      <c r="M1" s="3945"/>
      <c r="N1" s="3945"/>
      <c r="O1" s="3945"/>
      <c r="P1" s="3945"/>
      <c r="Q1" s="3945"/>
      <c r="R1" s="3945"/>
      <c r="S1" s="3945"/>
      <c r="T1" s="3945"/>
    </row>
    <row r="2" spans="1:27" ht="17.25" customHeight="1">
      <c r="A2" s="3945" t="s">
        <v>541</v>
      </c>
      <c r="B2" s="3945"/>
      <c r="C2" s="3945"/>
      <c r="D2" s="3945"/>
      <c r="E2" s="3945"/>
      <c r="F2" s="3945"/>
      <c r="G2" s="1533"/>
      <c r="H2" s="1533"/>
      <c r="I2" s="1533"/>
      <c r="J2" s="1533"/>
      <c r="K2" s="1533"/>
      <c r="L2" s="3945" t="s">
        <v>171</v>
      </c>
      <c r="M2" s="3945"/>
      <c r="N2" s="3945"/>
      <c r="O2" s="3945"/>
      <c r="P2" s="3945"/>
      <c r="Q2" s="3945"/>
      <c r="R2" s="3945"/>
      <c r="S2" s="3945"/>
      <c r="T2" s="3945"/>
    </row>
    <row r="3" spans="1:27" ht="18" customHeight="1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1617"/>
      <c r="L3" s="693"/>
      <c r="M3" s="693"/>
      <c r="N3" s="693"/>
      <c r="O3" s="693"/>
      <c r="P3" s="693"/>
      <c r="Q3" s="693"/>
      <c r="R3" s="693"/>
      <c r="S3" s="693"/>
      <c r="T3" s="693"/>
    </row>
    <row r="4" spans="1:27" ht="18.75">
      <c r="A4" s="3951" t="s">
        <v>1174</v>
      </c>
      <c r="B4" s="3951"/>
      <c r="C4" s="3951"/>
      <c r="D4" s="3951"/>
      <c r="E4" s="3951"/>
      <c r="F4" s="3951"/>
      <c r="G4" s="3951"/>
      <c r="H4" s="3951"/>
      <c r="I4" s="3951"/>
      <c r="J4" s="3951"/>
      <c r="K4" s="3951"/>
      <c r="L4" s="3951"/>
      <c r="M4" s="3951"/>
      <c r="N4" s="3951"/>
      <c r="O4" s="3951"/>
      <c r="P4" s="3951"/>
      <c r="Q4" s="3951"/>
      <c r="R4" s="3951"/>
      <c r="S4" s="3951"/>
      <c r="T4" s="3951"/>
    </row>
    <row r="5" spans="1:27" ht="18.75">
      <c r="A5" s="3951"/>
      <c r="B5" s="3951"/>
      <c r="C5" s="3951"/>
      <c r="D5" s="3951"/>
      <c r="E5" s="3951"/>
      <c r="F5" s="3951"/>
      <c r="G5" s="3951"/>
      <c r="H5" s="3951"/>
      <c r="I5" s="3951"/>
      <c r="J5" s="3951"/>
      <c r="K5" s="3951"/>
      <c r="L5" s="3951"/>
      <c r="M5" s="3951"/>
      <c r="N5" s="3951"/>
      <c r="O5" s="3951"/>
      <c r="P5" s="3951"/>
      <c r="Q5" s="3951"/>
      <c r="R5" s="3951"/>
      <c r="S5" s="3951"/>
      <c r="T5" s="3951"/>
    </row>
    <row r="6" spans="1:27" ht="18.75">
      <c r="A6" s="1378"/>
      <c r="B6" s="1378"/>
      <c r="C6" s="1388" t="s">
        <v>847</v>
      </c>
      <c r="D6" s="1388"/>
      <c r="E6" s="4738">
        <v>21555</v>
      </c>
      <c r="F6" s="4738"/>
      <c r="G6" s="1378"/>
      <c r="H6" s="1378"/>
      <c r="I6" s="1378"/>
      <c r="J6" s="1378"/>
      <c r="K6" s="1616"/>
      <c r="L6" s="1378"/>
      <c r="M6" s="1378"/>
      <c r="N6" s="1378"/>
      <c r="O6" s="1378"/>
      <c r="P6" s="1378"/>
      <c r="Q6" s="1378"/>
      <c r="R6" s="1378"/>
      <c r="S6" s="1378"/>
      <c r="T6" s="1378"/>
    </row>
    <row r="7" spans="1:27" ht="21" customHeight="1">
      <c r="C7" s="1389" t="s">
        <v>848</v>
      </c>
      <c r="D7" s="1390"/>
      <c r="E7" s="4745">
        <v>0.98939999999999995</v>
      </c>
      <c r="F7" s="4745"/>
    </row>
    <row r="8" spans="1:27" ht="19.5" customHeight="1">
      <c r="C8" s="1389" t="s">
        <v>894</v>
      </c>
      <c r="D8" s="1390"/>
      <c r="E8" s="4066">
        <v>670.65</v>
      </c>
      <c r="F8" s="4066"/>
    </row>
    <row r="9" spans="1:27" ht="15" customHeight="1">
      <c r="A9" s="4138" t="s">
        <v>1</v>
      </c>
      <c r="B9" s="4138" t="s">
        <v>2</v>
      </c>
      <c r="C9" s="4138"/>
      <c r="D9" s="799"/>
      <c r="E9" s="4138" t="s">
        <v>5</v>
      </c>
      <c r="F9" s="4283" t="s">
        <v>853</v>
      </c>
      <c r="G9" s="4138" t="s">
        <v>6</v>
      </c>
      <c r="H9" s="4138"/>
      <c r="I9" s="4138"/>
      <c r="J9" s="4138"/>
      <c r="K9" s="4138"/>
      <c r="L9" s="4138"/>
      <c r="M9" s="4138"/>
      <c r="N9" s="4138" t="s">
        <v>233</v>
      </c>
      <c r="O9" s="4138" t="s">
        <v>8</v>
      </c>
      <c r="P9" s="4139" t="s">
        <v>61</v>
      </c>
      <c r="Q9" s="4139" t="s">
        <v>11</v>
      </c>
      <c r="R9" s="4139" t="s">
        <v>12</v>
      </c>
      <c r="S9" s="4139" t="s">
        <v>16</v>
      </c>
      <c r="T9" s="4139" t="s">
        <v>17</v>
      </c>
    </row>
    <row r="10" spans="1:27" ht="66.75" customHeight="1">
      <c r="A10" s="4138"/>
      <c r="B10" s="799" t="s">
        <v>3</v>
      </c>
      <c r="C10" s="799" t="s">
        <v>4</v>
      </c>
      <c r="D10" s="799" t="s">
        <v>239</v>
      </c>
      <c r="E10" s="4138"/>
      <c r="F10" s="4285"/>
      <c r="G10" s="779" t="s">
        <v>50</v>
      </c>
      <c r="H10" s="779" t="s">
        <v>707</v>
      </c>
      <c r="I10" s="799" t="s">
        <v>623</v>
      </c>
      <c r="J10" s="779" t="s">
        <v>799</v>
      </c>
      <c r="K10" s="800" t="s">
        <v>15</v>
      </c>
      <c r="L10" s="779" t="s">
        <v>56</v>
      </c>
      <c r="M10" s="779" t="s">
        <v>57</v>
      </c>
      <c r="N10" s="4138"/>
      <c r="O10" s="4138"/>
      <c r="P10" s="4139"/>
      <c r="Q10" s="4138"/>
      <c r="R10" s="4138"/>
      <c r="S10" s="4138"/>
      <c r="T10" s="4138"/>
      <c r="AA10" s="798">
        <f>20*100</f>
        <v>2000</v>
      </c>
    </row>
    <row r="11" spans="1:27" s="801" customFormat="1" ht="15.75" customHeight="1">
      <c r="A11" s="799">
        <v>1</v>
      </c>
      <c r="B11" s="799">
        <v>2</v>
      </c>
      <c r="C11" s="799">
        <v>3</v>
      </c>
      <c r="D11" s="799">
        <v>4</v>
      </c>
      <c r="E11" s="799">
        <v>5</v>
      </c>
      <c r="F11" s="799"/>
      <c r="G11" s="799">
        <v>6</v>
      </c>
      <c r="H11" s="799">
        <v>7</v>
      </c>
      <c r="I11" s="799">
        <v>8</v>
      </c>
      <c r="J11" s="799"/>
      <c r="K11" s="1619">
        <v>9</v>
      </c>
      <c r="L11" s="799">
        <v>11</v>
      </c>
      <c r="M11" s="799">
        <v>12</v>
      </c>
      <c r="N11" s="799">
        <v>13</v>
      </c>
      <c r="O11" s="799">
        <v>14</v>
      </c>
      <c r="P11" s="799">
        <v>16</v>
      </c>
      <c r="Q11" s="799">
        <v>17</v>
      </c>
      <c r="R11" s="799">
        <v>18</v>
      </c>
      <c r="S11" s="799">
        <v>19</v>
      </c>
      <c r="T11" s="799">
        <v>20</v>
      </c>
    </row>
    <row r="12" spans="1:27" s="1692" customFormat="1" ht="17.25" customHeight="1">
      <c r="A12" s="1685" t="s">
        <v>738</v>
      </c>
      <c r="B12" s="4742" t="s">
        <v>321</v>
      </c>
      <c r="C12" s="4742"/>
      <c r="D12" s="1686"/>
      <c r="E12" s="1687"/>
      <c r="F12" s="1687"/>
      <c r="G12" s="1688" t="e">
        <f t="shared" ref="G12" si="0">SUM(G13:G49)</f>
        <v>#N/A</v>
      </c>
      <c r="H12" s="1689"/>
      <c r="I12" s="1689"/>
      <c r="J12" s="1689"/>
      <c r="K12" s="1690"/>
      <c r="L12" s="1689" t="e">
        <f t="shared" ref="L12:R12" si="1">SUM(L13:L49)</f>
        <v>#N/A</v>
      </c>
      <c r="M12" s="1689" t="e">
        <f t="shared" si="1"/>
        <v>#N/A</v>
      </c>
      <c r="N12" s="1689" t="e">
        <f t="shared" si="1"/>
        <v>#N/A</v>
      </c>
      <c r="O12" s="1689">
        <f t="shared" si="1"/>
        <v>0</v>
      </c>
      <c r="P12" s="1689" t="e">
        <f t="shared" si="1"/>
        <v>#N/A</v>
      </c>
      <c r="Q12" s="1689">
        <f t="shared" si="1"/>
        <v>0</v>
      </c>
      <c r="R12" s="1689">
        <f t="shared" si="1"/>
        <v>0</v>
      </c>
      <c r="S12" s="1689" t="e">
        <f>SUM(S13:S49)</f>
        <v>#N/A</v>
      </c>
      <c r="T12" s="1691"/>
      <c r="U12" s="1692" t="e">
        <f>+'BẢNG LƯƠNG KT'!#REF!</f>
        <v>#REF!</v>
      </c>
      <c r="V12" s="1693" t="e">
        <f>+U12-S12</f>
        <v>#REF!</v>
      </c>
    </row>
    <row r="13" spans="1:27" s="810" customFormat="1" ht="17.25" customHeight="1">
      <c r="A13" s="1580">
        <v>1</v>
      </c>
      <c r="B13" s="1581" t="s">
        <v>195</v>
      </c>
      <c r="C13" s="1611">
        <f>'Chấm công công nhân'!L12</f>
        <v>0</v>
      </c>
      <c r="D13" s="1582"/>
      <c r="E13" s="1580" t="s">
        <v>40</v>
      </c>
      <c r="F13" s="1580" t="s">
        <v>272</v>
      </c>
      <c r="G13" s="1583" t="e">
        <f>VLOOKUP(C13,'BẢNG LƯƠNG KT'!C17:G52,4,0)</f>
        <v>#N/A</v>
      </c>
      <c r="H13" s="1584">
        <v>25000</v>
      </c>
      <c r="I13" s="1580" t="s">
        <v>247</v>
      </c>
      <c r="J13" s="1580"/>
      <c r="K13" s="1677" t="e">
        <f>+G13*H13</f>
        <v>#N/A</v>
      </c>
      <c r="L13" s="1585" t="e">
        <f>+VLOOKUP(C13,'BẢNG LƯƠNG KT'!C17:L52,10,0)</f>
        <v>#N/A</v>
      </c>
      <c r="M13" s="1585" t="e">
        <f>VLOOKUP(C13,'BẢNG LƯƠNG KT'!C17:S17,15,0)</f>
        <v>#N/A</v>
      </c>
      <c r="N13" s="1585" t="e">
        <f>SUM(K13:M13)</f>
        <v>#N/A</v>
      </c>
      <c r="O13" s="1585"/>
      <c r="P13" s="1585" t="e">
        <f>N13</f>
        <v>#N/A</v>
      </c>
      <c r="Q13" s="1585"/>
      <c r="R13" s="1585"/>
      <c r="S13" s="1585" t="e">
        <f>+P13-Q13-R13</f>
        <v>#N/A</v>
      </c>
      <c r="T13" s="1586"/>
    </row>
    <row r="14" spans="1:27" s="810" customFormat="1" ht="17.25" customHeight="1">
      <c r="A14" s="1587">
        <v>2</v>
      </c>
      <c r="B14" s="1588" t="s">
        <v>420</v>
      </c>
      <c r="C14" s="1611" t="str">
        <f>'Chấm công công nhân'!L13</f>
        <v>Vắt Đi</v>
      </c>
      <c r="D14" s="1589"/>
      <c r="E14" s="1587" t="s">
        <v>40</v>
      </c>
      <c r="F14" s="1587" t="s">
        <v>272</v>
      </c>
      <c r="G14" s="1590" t="e">
        <f>VLOOKUP(C14,'BẢNG LƯƠNG KT'!C18:G55,4,0)</f>
        <v>#N/A</v>
      </c>
      <c r="H14" s="1591">
        <v>25000</v>
      </c>
      <c r="I14" s="1587" t="s">
        <v>247</v>
      </c>
      <c r="J14" s="1587"/>
      <c r="K14" s="1677" t="e">
        <f t="shared" ref="K14:K49" si="2">+G14*H14</f>
        <v>#N/A</v>
      </c>
      <c r="L14" s="1585" t="e">
        <f>+VLOOKUP(C14,'BẢNG LƯƠNG KT'!C18:L55,10,0)</f>
        <v>#N/A</v>
      </c>
      <c r="M14" s="1585" t="e">
        <f>VLOOKUP(C14,'BẢNG LƯƠNG KT'!C18:S18,15,0)</f>
        <v>#N/A</v>
      </c>
      <c r="N14" s="1585" t="e">
        <f t="shared" ref="N14:N49" si="3">SUM(K14:M14)</f>
        <v>#N/A</v>
      </c>
      <c r="O14" s="1592"/>
      <c r="P14" s="1592" t="e">
        <f t="shared" ref="P14:P16" si="4">N14</f>
        <v>#N/A</v>
      </c>
      <c r="Q14" s="1592"/>
      <c r="R14" s="1592"/>
      <c r="S14" s="1592" t="e">
        <f t="shared" ref="S14:S49" si="5">+P14-Q14-R14</f>
        <v>#N/A</v>
      </c>
      <c r="T14" s="1593"/>
    </row>
    <row r="15" spans="1:27" s="810" customFormat="1" ht="22.5" customHeight="1">
      <c r="A15" s="1587">
        <v>3</v>
      </c>
      <c r="B15" s="1588" t="s">
        <v>427</v>
      </c>
      <c r="C15" s="1611" t="str">
        <f>'Chấm công công nhân'!L14</f>
        <v>Mẹ Leo</v>
      </c>
      <c r="D15" s="1589"/>
      <c r="E15" s="1587" t="s">
        <v>40</v>
      </c>
      <c r="F15" s="1587" t="s">
        <v>272</v>
      </c>
      <c r="G15" s="1590" t="e">
        <f>VLOOKUP(C15,'BẢNG LƯƠNG KT'!C19:G56,4,0)</f>
        <v>#N/A</v>
      </c>
      <c r="H15" s="1591">
        <v>25000</v>
      </c>
      <c r="I15" s="1587" t="s">
        <v>247</v>
      </c>
      <c r="J15" s="1587"/>
      <c r="K15" s="1677" t="e">
        <f t="shared" si="2"/>
        <v>#N/A</v>
      </c>
      <c r="L15" s="1585" t="e">
        <f>+VLOOKUP(C15,'BẢNG LƯƠNG KT'!C19:L56,10,0)</f>
        <v>#N/A</v>
      </c>
      <c r="M15" s="1585" t="e">
        <f>VLOOKUP(C15,'BẢNG LƯƠNG KT'!C19:S19,15,0)</f>
        <v>#N/A</v>
      </c>
      <c r="N15" s="1585" t="e">
        <f t="shared" si="3"/>
        <v>#N/A</v>
      </c>
      <c r="O15" s="1592"/>
      <c r="P15" s="1592" t="e">
        <f t="shared" si="4"/>
        <v>#N/A</v>
      </c>
      <c r="Q15" s="1592"/>
      <c r="R15" s="1592"/>
      <c r="S15" s="1592" t="e">
        <f t="shared" si="5"/>
        <v>#N/A</v>
      </c>
      <c r="T15" s="1593"/>
      <c r="X15" s="893"/>
    </row>
    <row r="16" spans="1:27" s="810" customFormat="1" ht="22.5" customHeight="1">
      <c r="A16" s="1587">
        <v>4</v>
      </c>
      <c r="B16" s="1588" t="s">
        <v>425</v>
      </c>
      <c r="C16" s="1611" t="str">
        <f>'Chấm công công nhân'!L15</f>
        <v xml:space="preserve">Thảo Ken </v>
      </c>
      <c r="D16" s="1589"/>
      <c r="E16" s="1587" t="s">
        <v>40</v>
      </c>
      <c r="F16" s="1587" t="s">
        <v>272</v>
      </c>
      <c r="G16" s="1590" t="e">
        <f>VLOOKUP(C16,'BẢNG LƯƠNG KT'!C20:G57,4,0)</f>
        <v>#N/A</v>
      </c>
      <c r="H16" s="1591">
        <v>25000</v>
      </c>
      <c r="I16" s="1587" t="s">
        <v>247</v>
      </c>
      <c r="J16" s="1587"/>
      <c r="K16" s="1677" t="e">
        <f t="shared" si="2"/>
        <v>#N/A</v>
      </c>
      <c r="L16" s="1585" t="e">
        <f>+VLOOKUP(C16,'BẢNG LƯƠNG KT'!C20:L57,10,0)</f>
        <v>#N/A</v>
      </c>
      <c r="M16" s="1585" t="e">
        <f>VLOOKUP(C16,'BẢNG LƯƠNG KT'!C20:S20,15,0)</f>
        <v>#N/A</v>
      </c>
      <c r="N16" s="1585" t="e">
        <f t="shared" si="3"/>
        <v>#N/A</v>
      </c>
      <c r="O16" s="1592"/>
      <c r="P16" s="1592" t="e">
        <f t="shared" si="4"/>
        <v>#N/A</v>
      </c>
      <c r="Q16" s="1592"/>
      <c r="R16" s="1592"/>
      <c r="S16" s="1592" t="e">
        <f t="shared" si="5"/>
        <v>#N/A</v>
      </c>
      <c r="T16" s="1593"/>
      <c r="X16" s="893"/>
    </row>
    <row r="17" spans="1:24" s="810" customFormat="1" ht="22.5" customHeight="1">
      <c r="A17" s="1587">
        <v>5</v>
      </c>
      <c r="B17" s="1588"/>
      <c r="C17" s="1611" t="str">
        <f>'Chấm công công nhân'!L16</f>
        <v>Thảo Phút</v>
      </c>
      <c r="D17" s="1589"/>
      <c r="E17" s="1587" t="s">
        <v>40</v>
      </c>
      <c r="F17" s="1587" t="s">
        <v>272</v>
      </c>
      <c r="G17" s="1590" t="e">
        <f>VLOOKUP(C17,'BẢNG LƯƠNG KT'!C21:G58,4,0)</f>
        <v>#N/A</v>
      </c>
      <c r="H17" s="1591">
        <v>25000</v>
      </c>
      <c r="I17" s="1587" t="s">
        <v>247</v>
      </c>
      <c r="J17" s="1587"/>
      <c r="K17" s="1677" t="e">
        <f t="shared" si="2"/>
        <v>#N/A</v>
      </c>
      <c r="L17" s="1585" t="e">
        <f>+VLOOKUP(C17,'BẢNG LƯƠNG KT'!C21:L58,10,0)</f>
        <v>#N/A</v>
      </c>
      <c r="M17" s="1585" t="e">
        <f>VLOOKUP(C17,'BẢNG LƯƠNG KT'!C21:S21,15,0)</f>
        <v>#N/A</v>
      </c>
      <c r="N17" s="1585" t="e">
        <f t="shared" si="3"/>
        <v>#N/A</v>
      </c>
      <c r="O17" s="1592"/>
      <c r="P17" s="1592" t="e">
        <f t="shared" ref="P17:P49" si="6">N17</f>
        <v>#N/A</v>
      </c>
      <c r="Q17" s="1592"/>
      <c r="R17" s="1592"/>
      <c r="S17" s="1592" t="e">
        <f t="shared" si="5"/>
        <v>#N/A</v>
      </c>
      <c r="T17" s="1593"/>
      <c r="X17" s="893"/>
    </row>
    <row r="18" spans="1:24" s="810" customFormat="1" ht="22.5" customHeight="1">
      <c r="A18" s="1587">
        <v>6</v>
      </c>
      <c r="B18" s="1588"/>
      <c r="C18" s="1611" t="str">
        <f>'Chấm công công nhân'!L17</f>
        <v>Thảo Mằn</v>
      </c>
      <c r="D18" s="1589"/>
      <c r="E18" s="1587" t="s">
        <v>40</v>
      </c>
      <c r="F18" s="1587" t="s">
        <v>272</v>
      </c>
      <c r="G18" s="1590" t="e">
        <f>VLOOKUP(C18,'BẢNG LƯƠNG KT'!C22:G59,4,0)</f>
        <v>#N/A</v>
      </c>
      <c r="H18" s="1591">
        <v>25000</v>
      </c>
      <c r="I18" s="1587" t="s">
        <v>247</v>
      </c>
      <c r="J18" s="1587"/>
      <c r="K18" s="1677" t="e">
        <f t="shared" si="2"/>
        <v>#N/A</v>
      </c>
      <c r="L18" s="1585" t="e">
        <f>+VLOOKUP(C18,'BẢNG LƯƠNG KT'!C22:L59,10,0)</f>
        <v>#N/A</v>
      </c>
      <c r="M18" s="1585" t="e">
        <f>VLOOKUP(C18,'BẢNG LƯƠNG KT'!C22:S22,15,0)</f>
        <v>#N/A</v>
      </c>
      <c r="N18" s="1585" t="e">
        <f t="shared" si="3"/>
        <v>#N/A</v>
      </c>
      <c r="O18" s="1592"/>
      <c r="P18" s="1592" t="e">
        <f t="shared" si="6"/>
        <v>#N/A</v>
      </c>
      <c r="Q18" s="1592"/>
      <c r="R18" s="1592"/>
      <c r="S18" s="1592" t="e">
        <f t="shared" si="5"/>
        <v>#N/A</v>
      </c>
      <c r="T18" s="1593"/>
      <c r="X18" s="893"/>
    </row>
    <row r="19" spans="1:24" s="810" customFormat="1" ht="22.5" customHeight="1">
      <c r="A19" s="1587">
        <v>7</v>
      </c>
      <c r="B19" s="1588"/>
      <c r="C19" s="1611" t="str">
        <f>'Chấm công công nhân'!L18</f>
        <v>Nàng Chay</v>
      </c>
      <c r="D19" s="1589"/>
      <c r="E19" s="1587" t="s">
        <v>40</v>
      </c>
      <c r="F19" s="1587" t="s">
        <v>272</v>
      </c>
      <c r="G19" s="1590" t="e">
        <f>VLOOKUP(C19,'BẢNG LƯƠNG KT'!C23:G60,4,0)</f>
        <v>#N/A</v>
      </c>
      <c r="H19" s="1591">
        <v>25000</v>
      </c>
      <c r="I19" s="1587" t="s">
        <v>247</v>
      </c>
      <c r="J19" s="1587"/>
      <c r="K19" s="1677" t="e">
        <f t="shared" si="2"/>
        <v>#N/A</v>
      </c>
      <c r="L19" s="1585" t="e">
        <f>+VLOOKUP(C19,'BẢNG LƯƠNG KT'!C23:L60,10,0)</f>
        <v>#N/A</v>
      </c>
      <c r="M19" s="1585" t="e">
        <f>VLOOKUP(C19,'BẢNG LƯƠNG KT'!C23:S23,15,0)</f>
        <v>#N/A</v>
      </c>
      <c r="N19" s="1585" t="e">
        <f t="shared" si="3"/>
        <v>#N/A</v>
      </c>
      <c r="O19" s="1592"/>
      <c r="P19" s="1592" t="e">
        <f t="shared" si="6"/>
        <v>#N/A</v>
      </c>
      <c r="Q19" s="1592"/>
      <c r="R19" s="1592"/>
      <c r="S19" s="1592" t="e">
        <f t="shared" si="5"/>
        <v>#N/A</v>
      </c>
      <c r="T19" s="1593"/>
      <c r="X19" s="893"/>
    </row>
    <row r="20" spans="1:24" s="810" customFormat="1" ht="22.5" customHeight="1">
      <c r="A20" s="1587">
        <v>8</v>
      </c>
      <c r="B20" s="1588"/>
      <c r="C20" s="1611" t="str">
        <f>'Chấm công công nhân'!L19</f>
        <v>Thảo Sắp</v>
      </c>
      <c r="D20" s="1589"/>
      <c r="E20" s="1587" t="s">
        <v>40</v>
      </c>
      <c r="F20" s="1587" t="s">
        <v>272</v>
      </c>
      <c r="G20" s="1590" t="e">
        <f>VLOOKUP(C20,'BẢNG LƯƠNG KT'!C24:G61,4,0)</f>
        <v>#N/A</v>
      </c>
      <c r="H20" s="1591">
        <v>25000</v>
      </c>
      <c r="I20" s="1587" t="s">
        <v>247</v>
      </c>
      <c r="J20" s="1587"/>
      <c r="K20" s="1677" t="e">
        <f t="shared" si="2"/>
        <v>#N/A</v>
      </c>
      <c r="L20" s="1585" t="e">
        <f>+VLOOKUP(C20,'BẢNG LƯƠNG KT'!C24:L61,10,0)</f>
        <v>#N/A</v>
      </c>
      <c r="M20" s="1585" t="e">
        <f>VLOOKUP(C20,'BẢNG LƯƠNG KT'!C24:S24,15,0)</f>
        <v>#N/A</v>
      </c>
      <c r="N20" s="1585" t="e">
        <f t="shared" si="3"/>
        <v>#N/A</v>
      </c>
      <c r="O20" s="1592"/>
      <c r="P20" s="1592" t="e">
        <f t="shared" si="6"/>
        <v>#N/A</v>
      </c>
      <c r="Q20" s="1592"/>
      <c r="R20" s="1592"/>
      <c r="S20" s="1592" t="e">
        <f t="shared" si="5"/>
        <v>#N/A</v>
      </c>
      <c r="T20" s="1593"/>
      <c r="X20" s="893"/>
    </row>
    <row r="21" spans="1:24" s="810" customFormat="1" ht="22.5" customHeight="1">
      <c r="A21" s="1587">
        <v>9</v>
      </c>
      <c r="B21" s="1588"/>
      <c r="C21" s="1611" t="str">
        <f>'Chấm công công nhân'!L20</f>
        <v>Thảo Say</v>
      </c>
      <c r="D21" s="1589"/>
      <c r="E21" s="1587" t="s">
        <v>40</v>
      </c>
      <c r="F21" s="1587" t="s">
        <v>272</v>
      </c>
      <c r="G21" s="1590" t="e">
        <f>VLOOKUP(C21,'BẢNG LƯƠNG KT'!C25:G62,4,0)</f>
        <v>#N/A</v>
      </c>
      <c r="H21" s="1591">
        <v>25000</v>
      </c>
      <c r="I21" s="1587" t="s">
        <v>247</v>
      </c>
      <c r="J21" s="1587"/>
      <c r="K21" s="1677" t="e">
        <f t="shared" si="2"/>
        <v>#N/A</v>
      </c>
      <c r="L21" s="1585" t="e">
        <f>+VLOOKUP(C21,'BẢNG LƯƠNG KT'!C25:L62,10,0)</f>
        <v>#N/A</v>
      </c>
      <c r="M21" s="1585" t="e">
        <f>VLOOKUP(C21,'BẢNG LƯƠNG KT'!C25:S25,15,0)</f>
        <v>#N/A</v>
      </c>
      <c r="N21" s="1585" t="e">
        <f t="shared" si="3"/>
        <v>#N/A</v>
      </c>
      <c r="O21" s="1592"/>
      <c r="P21" s="1592" t="e">
        <f t="shared" si="6"/>
        <v>#N/A</v>
      </c>
      <c r="Q21" s="1592"/>
      <c r="R21" s="1592"/>
      <c r="S21" s="1592" t="e">
        <f t="shared" si="5"/>
        <v>#N/A</v>
      </c>
      <c r="T21" s="1593"/>
      <c r="X21" s="893"/>
    </row>
    <row r="22" spans="1:24" s="810" customFormat="1" ht="22.5" customHeight="1">
      <c r="A22" s="1587">
        <v>10</v>
      </c>
      <c r="B22" s="1588"/>
      <c r="C22" s="1611" t="str">
        <f>'Chấm công công nhân'!L21</f>
        <v>Thảo Cợt</v>
      </c>
      <c r="D22" s="1589"/>
      <c r="E22" s="1587" t="s">
        <v>40</v>
      </c>
      <c r="F22" s="1587" t="s">
        <v>272</v>
      </c>
      <c r="G22" s="1590" t="e">
        <f>VLOOKUP(C22,'BẢNG LƯƠNG KT'!C26:G63,4,0)</f>
        <v>#N/A</v>
      </c>
      <c r="H22" s="1591">
        <v>25000</v>
      </c>
      <c r="I22" s="1587" t="s">
        <v>247</v>
      </c>
      <c r="J22" s="1587"/>
      <c r="K22" s="1677" t="e">
        <f t="shared" si="2"/>
        <v>#N/A</v>
      </c>
      <c r="L22" s="1585" t="e">
        <f>+VLOOKUP(C22,'BẢNG LƯƠNG KT'!C26:L63,10,0)</f>
        <v>#N/A</v>
      </c>
      <c r="M22" s="1585" t="e">
        <f>VLOOKUP(C22,'BẢNG LƯƠNG KT'!C26:S26,15,0)</f>
        <v>#N/A</v>
      </c>
      <c r="N22" s="1585" t="e">
        <f t="shared" si="3"/>
        <v>#N/A</v>
      </c>
      <c r="O22" s="1592"/>
      <c r="P22" s="1592" t="e">
        <f t="shared" si="6"/>
        <v>#N/A</v>
      </c>
      <c r="Q22" s="1592"/>
      <c r="R22" s="1592"/>
      <c r="S22" s="1592" t="e">
        <f t="shared" si="5"/>
        <v>#N/A</v>
      </c>
      <c r="T22" s="1593"/>
      <c r="X22" s="893"/>
    </row>
    <row r="23" spans="1:24" s="810" customFormat="1" ht="22.5" customHeight="1">
      <c r="A23" s="1587">
        <v>11</v>
      </c>
      <c r="B23" s="1588"/>
      <c r="C23" s="1611" t="str">
        <f>'Chấm công công nhân'!L22</f>
        <v>Thảo Hôm</v>
      </c>
      <c r="D23" s="1589"/>
      <c r="E23" s="1587" t="s">
        <v>40</v>
      </c>
      <c r="F23" s="1587" t="s">
        <v>272</v>
      </c>
      <c r="G23" s="1590" t="e">
        <f>VLOOKUP(C23,'BẢNG LƯƠNG KT'!C27:G64,4,0)</f>
        <v>#N/A</v>
      </c>
      <c r="H23" s="1591">
        <v>25000</v>
      </c>
      <c r="I23" s="1587" t="s">
        <v>247</v>
      </c>
      <c r="J23" s="1587"/>
      <c r="K23" s="1677" t="e">
        <f t="shared" si="2"/>
        <v>#N/A</v>
      </c>
      <c r="L23" s="1585" t="e">
        <f>+VLOOKUP(C23,'BẢNG LƯƠNG KT'!C27:L64,10,0)</f>
        <v>#N/A</v>
      </c>
      <c r="M23" s="1585" t="e">
        <f>VLOOKUP(C23,'BẢNG LƯƠNG KT'!C27:S27,15,0)</f>
        <v>#N/A</v>
      </c>
      <c r="N23" s="1585" t="e">
        <f t="shared" si="3"/>
        <v>#N/A</v>
      </c>
      <c r="O23" s="1592"/>
      <c r="P23" s="1592" t="e">
        <f t="shared" si="6"/>
        <v>#N/A</v>
      </c>
      <c r="Q23" s="1592"/>
      <c r="R23" s="1592"/>
      <c r="S23" s="1592" t="e">
        <f t="shared" si="5"/>
        <v>#N/A</v>
      </c>
      <c r="T23" s="1593"/>
      <c r="X23" s="893"/>
    </row>
    <row r="24" spans="1:24" s="810" customFormat="1" ht="22.5" customHeight="1">
      <c r="A24" s="1587">
        <v>12</v>
      </c>
      <c r="B24" s="1588"/>
      <c r="C24" s="1611" t="str">
        <f>'Chấm công công nhân'!L23</f>
        <v xml:space="preserve">Thảo Khăm  </v>
      </c>
      <c r="D24" s="1589"/>
      <c r="E24" s="1587" t="s">
        <v>40</v>
      </c>
      <c r="F24" s="1587" t="s">
        <v>272</v>
      </c>
      <c r="G24" s="1590" t="e">
        <f>VLOOKUP(C24,'BẢNG LƯƠNG KT'!C28:G65,4,0)</f>
        <v>#N/A</v>
      </c>
      <c r="H24" s="1591">
        <v>25000</v>
      </c>
      <c r="I24" s="1587" t="s">
        <v>247</v>
      </c>
      <c r="J24" s="1587"/>
      <c r="K24" s="1677" t="e">
        <f t="shared" si="2"/>
        <v>#N/A</v>
      </c>
      <c r="L24" s="1585" t="e">
        <f>+VLOOKUP(C24,'BẢNG LƯƠNG KT'!C28:L65,10,0)</f>
        <v>#N/A</v>
      </c>
      <c r="M24" s="1585" t="e">
        <f>VLOOKUP(C24,'BẢNG LƯƠNG KT'!C28:S28,15,0)</f>
        <v>#N/A</v>
      </c>
      <c r="N24" s="1585" t="e">
        <f t="shared" si="3"/>
        <v>#N/A</v>
      </c>
      <c r="O24" s="1592"/>
      <c r="P24" s="1592" t="e">
        <f t="shared" si="6"/>
        <v>#N/A</v>
      </c>
      <c r="Q24" s="1592"/>
      <c r="R24" s="1592"/>
      <c r="S24" s="1592" t="e">
        <f t="shared" si="5"/>
        <v>#N/A</v>
      </c>
      <c r="T24" s="1593"/>
      <c r="X24" s="893"/>
    </row>
    <row r="25" spans="1:24" s="810" customFormat="1" ht="22.5" customHeight="1">
      <c r="A25" s="1587">
        <v>13</v>
      </c>
      <c r="B25" s="1588" t="s">
        <v>196</v>
      </c>
      <c r="C25" s="1611" t="str">
        <f>'Chấm công công nhân'!L24</f>
        <v>Thảo Hăm</v>
      </c>
      <c r="D25" s="1589"/>
      <c r="E25" s="1587" t="s">
        <v>40</v>
      </c>
      <c r="F25" s="1587" t="s">
        <v>272</v>
      </c>
      <c r="G25" s="1590" t="e">
        <f>VLOOKUP(C25,'BẢNG LƯƠNG KT'!C29:G66,4,0)</f>
        <v>#N/A</v>
      </c>
      <c r="H25" s="1591">
        <v>25000</v>
      </c>
      <c r="I25" s="1587" t="s">
        <v>247</v>
      </c>
      <c r="J25" s="1587"/>
      <c r="K25" s="1677" t="e">
        <f t="shared" si="2"/>
        <v>#N/A</v>
      </c>
      <c r="L25" s="1585" t="e">
        <f>+VLOOKUP(C25,'BẢNG LƯƠNG KT'!C29:L66,10,0)</f>
        <v>#N/A</v>
      </c>
      <c r="M25" s="1585" t="e">
        <f>VLOOKUP(C25,'BẢNG LƯƠNG KT'!C29:S29,15,0)</f>
        <v>#N/A</v>
      </c>
      <c r="N25" s="1585" t="e">
        <f t="shared" si="3"/>
        <v>#N/A</v>
      </c>
      <c r="O25" s="1592"/>
      <c r="P25" s="1592" t="e">
        <f t="shared" si="6"/>
        <v>#N/A</v>
      </c>
      <c r="Q25" s="1592"/>
      <c r="R25" s="1592"/>
      <c r="S25" s="1592" t="e">
        <f t="shared" si="5"/>
        <v>#N/A</v>
      </c>
      <c r="T25" s="1593"/>
      <c r="X25" s="893"/>
    </row>
    <row r="26" spans="1:24" s="810" customFormat="1" ht="22.5" customHeight="1">
      <c r="A26" s="1587">
        <v>14</v>
      </c>
      <c r="B26" s="1588" t="s">
        <v>429</v>
      </c>
      <c r="C26" s="1611" t="str">
        <f>'Chấm công công nhân'!L25</f>
        <v>Nang Lon</v>
      </c>
      <c r="D26" s="1589"/>
      <c r="E26" s="1587" t="s">
        <v>40</v>
      </c>
      <c r="F26" s="1587" t="s">
        <v>272</v>
      </c>
      <c r="G26" s="1590" t="e">
        <f>VLOOKUP(C26,'BẢNG LƯƠNG KT'!C30:G67,4,0)</f>
        <v>#N/A</v>
      </c>
      <c r="H26" s="1591">
        <v>25000</v>
      </c>
      <c r="I26" s="1587" t="s">
        <v>247</v>
      </c>
      <c r="J26" s="1587"/>
      <c r="K26" s="1677" t="e">
        <f t="shared" si="2"/>
        <v>#N/A</v>
      </c>
      <c r="L26" s="1585" t="e">
        <f>+VLOOKUP(C26,'BẢNG LƯƠNG KT'!C30:L67,10,0)</f>
        <v>#N/A</v>
      </c>
      <c r="M26" s="1585" t="e">
        <f>VLOOKUP(C26,'BẢNG LƯƠNG KT'!C30:S30,15,0)</f>
        <v>#N/A</v>
      </c>
      <c r="N26" s="1585" t="e">
        <f t="shared" si="3"/>
        <v>#N/A</v>
      </c>
      <c r="O26" s="1592"/>
      <c r="P26" s="1592" t="e">
        <f t="shared" si="6"/>
        <v>#N/A</v>
      </c>
      <c r="Q26" s="1592"/>
      <c r="R26" s="1592"/>
      <c r="S26" s="1592" t="e">
        <f t="shared" si="5"/>
        <v>#N/A</v>
      </c>
      <c r="T26" s="1593"/>
    </row>
    <row r="27" spans="1:24" s="810" customFormat="1" ht="22.5" customHeight="1">
      <c r="A27" s="1587">
        <v>15</v>
      </c>
      <c r="B27" s="1588" t="s">
        <v>431</v>
      </c>
      <c r="C27" s="1611" t="str">
        <f>'Chấm công công nhân'!L26</f>
        <v>Thảo Pheng</v>
      </c>
      <c r="D27" s="1589"/>
      <c r="E27" s="1587" t="s">
        <v>40</v>
      </c>
      <c r="F27" s="1587" t="s">
        <v>272</v>
      </c>
      <c r="G27" s="1590" t="e">
        <f>VLOOKUP(C27,'BẢNG LƯƠNG KT'!C31:G68,4,0)</f>
        <v>#N/A</v>
      </c>
      <c r="H27" s="1591">
        <v>25000</v>
      </c>
      <c r="I27" s="1587" t="s">
        <v>247</v>
      </c>
      <c r="J27" s="1587"/>
      <c r="K27" s="1677" t="e">
        <f t="shared" si="2"/>
        <v>#N/A</v>
      </c>
      <c r="L27" s="1585" t="e">
        <f>+VLOOKUP(C27,'BẢNG LƯƠNG KT'!C31:L68,10,0)</f>
        <v>#N/A</v>
      </c>
      <c r="M27" s="1585" t="e">
        <f>VLOOKUP(C27,'BẢNG LƯƠNG KT'!C31:S31,15,0)</f>
        <v>#N/A</v>
      </c>
      <c r="N27" s="1585" t="e">
        <f t="shared" si="3"/>
        <v>#N/A</v>
      </c>
      <c r="O27" s="1592"/>
      <c r="P27" s="1592" t="e">
        <f t="shared" si="6"/>
        <v>#N/A</v>
      </c>
      <c r="Q27" s="1592"/>
      <c r="R27" s="1592"/>
      <c r="S27" s="1592" t="e">
        <f t="shared" si="5"/>
        <v>#N/A</v>
      </c>
      <c r="T27" s="1593"/>
    </row>
    <row r="28" spans="1:24" s="810" customFormat="1" ht="22.5" customHeight="1">
      <c r="A28" s="1587">
        <v>16</v>
      </c>
      <c r="B28" s="1588" t="s">
        <v>433</v>
      </c>
      <c r="C28" s="1611" t="str">
        <f>'Chấm công công nhân'!L27</f>
        <v>Thảo kok</v>
      </c>
      <c r="D28" s="1589"/>
      <c r="E28" s="1587" t="s">
        <v>40</v>
      </c>
      <c r="F28" s="1587" t="s">
        <v>272</v>
      </c>
      <c r="G28" s="1590" t="e">
        <f>VLOOKUP(C28,'BẢNG LƯƠNG KT'!C32:G69,4,0)</f>
        <v>#N/A</v>
      </c>
      <c r="H28" s="1591">
        <v>25000</v>
      </c>
      <c r="I28" s="1587" t="s">
        <v>247</v>
      </c>
      <c r="J28" s="1587"/>
      <c r="K28" s="1677" t="e">
        <f t="shared" si="2"/>
        <v>#N/A</v>
      </c>
      <c r="L28" s="1585" t="e">
        <f>+VLOOKUP(C28,'BẢNG LƯƠNG KT'!C32:L69,10,0)</f>
        <v>#N/A</v>
      </c>
      <c r="M28" s="1585" t="e">
        <f>VLOOKUP(C28,'BẢNG LƯƠNG KT'!C32:S32,15,0)</f>
        <v>#N/A</v>
      </c>
      <c r="N28" s="1585" t="e">
        <f t="shared" si="3"/>
        <v>#N/A</v>
      </c>
      <c r="O28" s="1592"/>
      <c r="P28" s="1592" t="e">
        <f t="shared" si="6"/>
        <v>#N/A</v>
      </c>
      <c r="Q28" s="1592"/>
      <c r="R28" s="1592"/>
      <c r="S28" s="1592" t="e">
        <f t="shared" si="5"/>
        <v>#N/A</v>
      </c>
      <c r="T28" s="1593"/>
    </row>
    <row r="29" spans="1:24" s="810" customFormat="1" ht="22.5" customHeight="1">
      <c r="A29" s="1587">
        <v>17</v>
      </c>
      <c r="B29" s="1602" t="s">
        <v>434</v>
      </c>
      <c r="C29" s="1611" t="str">
        <f>'Chấm công công nhân'!L28</f>
        <v>Nàng Sút Chay</v>
      </c>
      <c r="D29" s="1589"/>
      <c r="E29" s="1587" t="s">
        <v>40</v>
      </c>
      <c r="F29" s="1587" t="s">
        <v>272</v>
      </c>
      <c r="G29" s="1590" t="e">
        <f>VLOOKUP(C29,'BẢNG LƯƠNG KT'!C33:G70,4,0)</f>
        <v>#N/A</v>
      </c>
      <c r="H29" s="1591">
        <v>25000</v>
      </c>
      <c r="I29" s="1587" t="s">
        <v>247</v>
      </c>
      <c r="J29" s="1587"/>
      <c r="K29" s="1677" t="e">
        <f t="shared" si="2"/>
        <v>#N/A</v>
      </c>
      <c r="L29" s="1585" t="e">
        <f>+VLOOKUP(C29,'BẢNG LƯƠNG KT'!C33:L70,10,0)</f>
        <v>#N/A</v>
      </c>
      <c r="M29" s="1585" t="e">
        <f>VLOOKUP(C29,'BẢNG LƯƠNG KT'!C33:S33,15,0)</f>
        <v>#N/A</v>
      </c>
      <c r="N29" s="1585" t="e">
        <f t="shared" si="3"/>
        <v>#N/A</v>
      </c>
      <c r="O29" s="1592"/>
      <c r="P29" s="1592" t="e">
        <f t="shared" si="6"/>
        <v>#N/A</v>
      </c>
      <c r="Q29" s="1592"/>
      <c r="R29" s="1592"/>
      <c r="S29" s="1592" t="e">
        <f t="shared" si="5"/>
        <v>#N/A</v>
      </c>
      <c r="T29" s="1593"/>
      <c r="X29" s="893"/>
    </row>
    <row r="30" spans="1:24" s="810" customFormat="1" ht="22.5" customHeight="1">
      <c r="A30" s="1587">
        <v>18</v>
      </c>
      <c r="B30" s="1602" t="s">
        <v>422</v>
      </c>
      <c r="C30" s="1611" t="str">
        <f>'Chấm công công nhân'!L29</f>
        <v>Thảo Khăm Phay</v>
      </c>
      <c r="D30" s="1589"/>
      <c r="E30" s="1587" t="s">
        <v>40</v>
      </c>
      <c r="F30" s="1587" t="s">
        <v>272</v>
      </c>
      <c r="G30" s="1590" t="e">
        <f>VLOOKUP(C30,'BẢNG LƯƠNG KT'!C34:G70,4,0)</f>
        <v>#N/A</v>
      </c>
      <c r="H30" s="1591">
        <v>25000</v>
      </c>
      <c r="I30" s="1587" t="s">
        <v>247</v>
      </c>
      <c r="J30" s="1587"/>
      <c r="K30" s="1677" t="e">
        <f t="shared" si="2"/>
        <v>#N/A</v>
      </c>
      <c r="L30" s="1585" t="e">
        <f>+VLOOKUP(C30,'BẢNG LƯƠNG KT'!C34:L70,10,0)</f>
        <v>#N/A</v>
      </c>
      <c r="M30" s="1585" t="e">
        <f>VLOOKUP(C30,'BẢNG LƯƠNG KT'!C34:S34,15,0)</f>
        <v>#N/A</v>
      </c>
      <c r="N30" s="1585" t="e">
        <f t="shared" si="3"/>
        <v>#N/A</v>
      </c>
      <c r="O30" s="1592"/>
      <c r="P30" s="1592" t="e">
        <f t="shared" si="6"/>
        <v>#N/A</v>
      </c>
      <c r="Q30" s="1592"/>
      <c r="R30" s="1592"/>
      <c r="S30" s="1592" t="e">
        <f t="shared" si="5"/>
        <v>#N/A</v>
      </c>
      <c r="T30" s="1593"/>
      <c r="X30" s="893"/>
    </row>
    <row r="31" spans="1:24" s="810" customFormat="1" ht="22.5" customHeight="1">
      <c r="A31" s="1587">
        <v>19</v>
      </c>
      <c r="B31" s="1602" t="s">
        <v>458</v>
      </c>
      <c r="C31" s="1611" t="str">
        <f>'Chấm công công nhân'!L30</f>
        <v>Thảo Sớm</v>
      </c>
      <c r="D31" s="1589"/>
      <c r="E31" s="1587" t="s">
        <v>40</v>
      </c>
      <c r="F31" s="1587" t="s">
        <v>272</v>
      </c>
      <c r="G31" s="1590" t="e">
        <f>VLOOKUP(C31,'BẢNG LƯƠNG KT'!C35:G76,4,0)</f>
        <v>#N/A</v>
      </c>
      <c r="H31" s="1591">
        <v>25000</v>
      </c>
      <c r="I31" s="1587" t="s">
        <v>247</v>
      </c>
      <c r="J31" s="1587"/>
      <c r="K31" s="1677" t="e">
        <f t="shared" si="2"/>
        <v>#N/A</v>
      </c>
      <c r="L31" s="1585" t="e">
        <f>+VLOOKUP(C31,'BẢNG LƯƠNG KT'!C35:L76,10,0)</f>
        <v>#N/A</v>
      </c>
      <c r="M31" s="1585" t="e">
        <f>VLOOKUP(C31,'BẢNG LƯƠNG KT'!C35:S35,15,0)</f>
        <v>#N/A</v>
      </c>
      <c r="N31" s="1585" t="e">
        <f t="shared" si="3"/>
        <v>#N/A</v>
      </c>
      <c r="O31" s="1592"/>
      <c r="P31" s="1592" t="e">
        <f t="shared" si="6"/>
        <v>#N/A</v>
      </c>
      <c r="Q31" s="1592"/>
      <c r="R31" s="1592"/>
      <c r="S31" s="1592" t="e">
        <f t="shared" si="5"/>
        <v>#N/A</v>
      </c>
      <c r="T31" s="1593"/>
      <c r="X31" s="893"/>
    </row>
    <row r="32" spans="1:24" s="810" customFormat="1" ht="22.5" customHeight="1">
      <c r="A32" s="1587">
        <v>20</v>
      </c>
      <c r="B32" s="1588" t="s">
        <v>460</v>
      </c>
      <c r="C32" s="1611" t="str">
        <f>'Chấm công công nhân'!L31</f>
        <v>Pha Xúc</v>
      </c>
      <c r="D32" s="1589"/>
      <c r="E32" s="1587" t="s">
        <v>40</v>
      </c>
      <c r="F32" s="1587" t="s">
        <v>272</v>
      </c>
      <c r="G32" s="1590" t="e">
        <f>VLOOKUP(C32,'BẢNG LƯƠNG KT'!C36:G77,4,0)</f>
        <v>#N/A</v>
      </c>
      <c r="H32" s="1591">
        <v>25000</v>
      </c>
      <c r="I32" s="1587" t="s">
        <v>247</v>
      </c>
      <c r="J32" s="1587"/>
      <c r="K32" s="1677" t="e">
        <f t="shared" si="2"/>
        <v>#N/A</v>
      </c>
      <c r="L32" s="1585" t="e">
        <f>+VLOOKUP(C32,'BẢNG LƯƠNG KT'!C36:L77,10,0)</f>
        <v>#N/A</v>
      </c>
      <c r="M32" s="1585" t="e">
        <f>VLOOKUP(C32,'BẢNG LƯƠNG KT'!C36:S36,15,0)</f>
        <v>#N/A</v>
      </c>
      <c r="N32" s="1585" t="e">
        <f t="shared" si="3"/>
        <v>#N/A</v>
      </c>
      <c r="O32" s="1592"/>
      <c r="P32" s="1592" t="e">
        <f t="shared" si="6"/>
        <v>#N/A</v>
      </c>
      <c r="Q32" s="1592"/>
      <c r="R32" s="1592"/>
      <c r="S32" s="1592" t="e">
        <f t="shared" si="5"/>
        <v>#N/A</v>
      </c>
      <c r="T32" s="1593"/>
    </row>
    <row r="33" spans="1:25" s="810" customFormat="1" ht="22.5" customHeight="1">
      <c r="A33" s="1587">
        <v>21</v>
      </c>
      <c r="B33" s="1602" t="s">
        <v>462</v>
      </c>
      <c r="C33" s="1611" t="str">
        <f>'Chấm công công nhân'!L32</f>
        <v>Nàng Phon</v>
      </c>
      <c r="D33" s="1589"/>
      <c r="E33" s="1587" t="s">
        <v>40</v>
      </c>
      <c r="F33" s="1587" t="s">
        <v>272</v>
      </c>
      <c r="G33" s="1590" t="e">
        <f>VLOOKUP(C33,'BẢNG LƯƠNG KT'!C37:G78,4,0)</f>
        <v>#N/A</v>
      </c>
      <c r="H33" s="1591">
        <v>25000</v>
      </c>
      <c r="I33" s="1587" t="s">
        <v>247</v>
      </c>
      <c r="J33" s="1587"/>
      <c r="K33" s="1677" t="e">
        <f t="shared" si="2"/>
        <v>#N/A</v>
      </c>
      <c r="L33" s="1585" t="e">
        <f>+VLOOKUP(C33,'BẢNG LƯƠNG KT'!C37:L78,10,0)</f>
        <v>#N/A</v>
      </c>
      <c r="M33" s="1585" t="e">
        <f>VLOOKUP(C33,'BẢNG LƯƠNG KT'!C37:S37,15,0)</f>
        <v>#N/A</v>
      </c>
      <c r="N33" s="1585" t="e">
        <f t="shared" si="3"/>
        <v>#N/A</v>
      </c>
      <c r="O33" s="1592"/>
      <c r="P33" s="1592" t="e">
        <f t="shared" si="6"/>
        <v>#N/A</v>
      </c>
      <c r="Q33" s="1592"/>
      <c r="R33" s="1592"/>
      <c r="S33" s="1592" t="e">
        <f t="shared" si="5"/>
        <v>#N/A</v>
      </c>
      <c r="T33" s="1593"/>
    </row>
    <row r="34" spans="1:25" s="810" customFormat="1" ht="22.5" customHeight="1">
      <c r="A34" s="1587">
        <v>22</v>
      </c>
      <c r="B34" s="1602" t="s">
        <v>467</v>
      </c>
      <c r="C34" s="1611" t="str">
        <f>'Chấm công công nhân'!L33</f>
        <v>Thảo Chăn</v>
      </c>
      <c r="D34" s="1589"/>
      <c r="E34" s="1587" t="s">
        <v>40</v>
      </c>
      <c r="F34" s="1587" t="s">
        <v>272</v>
      </c>
      <c r="G34" s="1590" t="e">
        <f>VLOOKUP(C34,'BẢNG LƯƠNG KT'!C38:G79,4,0)</f>
        <v>#N/A</v>
      </c>
      <c r="H34" s="1591">
        <v>25000</v>
      </c>
      <c r="I34" s="1587" t="s">
        <v>247</v>
      </c>
      <c r="J34" s="1587"/>
      <c r="K34" s="1677" t="e">
        <f t="shared" si="2"/>
        <v>#N/A</v>
      </c>
      <c r="L34" s="1585" t="e">
        <f>+VLOOKUP(C34,'BẢNG LƯƠNG KT'!C38:L79,10,0)</f>
        <v>#N/A</v>
      </c>
      <c r="M34" s="1585" t="e">
        <f>VLOOKUP(C34,'BẢNG LƯƠNG KT'!C38:S38,15,0)</f>
        <v>#N/A</v>
      </c>
      <c r="N34" s="1585" t="e">
        <f t="shared" si="3"/>
        <v>#N/A</v>
      </c>
      <c r="O34" s="1592"/>
      <c r="P34" s="1592" t="e">
        <f t="shared" si="6"/>
        <v>#N/A</v>
      </c>
      <c r="Q34" s="1592"/>
      <c r="R34" s="1592"/>
      <c r="S34" s="1592" t="e">
        <f t="shared" si="5"/>
        <v>#N/A</v>
      </c>
      <c r="T34" s="1593"/>
    </row>
    <row r="35" spans="1:25" s="810" customFormat="1" ht="22.5" customHeight="1">
      <c r="A35" s="1587">
        <v>23</v>
      </c>
      <c r="B35" s="1602" t="s">
        <v>468</v>
      </c>
      <c r="C35" s="1611" t="str">
        <f>'Chấm công công nhân'!L34</f>
        <v>Thong La</v>
      </c>
      <c r="D35" s="1589"/>
      <c r="E35" s="1587" t="s">
        <v>40</v>
      </c>
      <c r="F35" s="1587" t="s">
        <v>272</v>
      </c>
      <c r="G35" s="1590" t="e">
        <f>VLOOKUP(C35,'BẢNG LƯƠNG KT'!C39:G80,4,0)</f>
        <v>#N/A</v>
      </c>
      <c r="H35" s="1591">
        <v>25000</v>
      </c>
      <c r="I35" s="1587" t="s">
        <v>247</v>
      </c>
      <c r="J35" s="1587"/>
      <c r="K35" s="1677" t="e">
        <f t="shared" si="2"/>
        <v>#N/A</v>
      </c>
      <c r="L35" s="1585" t="e">
        <f>+VLOOKUP(C35,'BẢNG LƯƠNG KT'!C39:L80,10,0)</f>
        <v>#N/A</v>
      </c>
      <c r="M35" s="1585" t="e">
        <f>VLOOKUP(C35,'BẢNG LƯƠNG KT'!C39:S39,15,0)</f>
        <v>#N/A</v>
      </c>
      <c r="N35" s="1585" t="e">
        <f t="shared" si="3"/>
        <v>#N/A</v>
      </c>
      <c r="O35" s="1592"/>
      <c r="P35" s="1592" t="e">
        <f t="shared" si="6"/>
        <v>#N/A</v>
      </c>
      <c r="Q35" s="1592"/>
      <c r="R35" s="1592"/>
      <c r="S35" s="1592" t="e">
        <f t="shared" si="5"/>
        <v>#N/A</v>
      </c>
      <c r="T35" s="1593"/>
    </row>
    <row r="36" spans="1:25" s="810" customFormat="1" ht="22.5" customHeight="1">
      <c r="A36" s="1587">
        <v>24</v>
      </c>
      <c r="B36" s="1602" t="s">
        <v>470</v>
      </c>
      <c r="C36" s="1611" t="str">
        <f>'Chấm công công nhân'!L35</f>
        <v>Thảo Cum Pha</v>
      </c>
      <c r="D36" s="1589"/>
      <c r="E36" s="1587" t="s">
        <v>40</v>
      </c>
      <c r="F36" s="1587" t="s">
        <v>272</v>
      </c>
      <c r="G36" s="1590" t="e">
        <f>VLOOKUP(C36,'BẢNG LƯƠNG KT'!C40:G81,4,0)</f>
        <v>#N/A</v>
      </c>
      <c r="H36" s="1591">
        <v>25000</v>
      </c>
      <c r="I36" s="1587" t="s">
        <v>247</v>
      </c>
      <c r="J36" s="1587"/>
      <c r="K36" s="1677" t="e">
        <f t="shared" si="2"/>
        <v>#N/A</v>
      </c>
      <c r="L36" s="1585" t="e">
        <f>+VLOOKUP(C36,'BẢNG LƯƠNG KT'!C40:L81,10,0)</f>
        <v>#N/A</v>
      </c>
      <c r="M36" s="1585" t="e">
        <f>VLOOKUP(C36,'BẢNG LƯƠNG KT'!C40:S40,15,0)</f>
        <v>#N/A</v>
      </c>
      <c r="N36" s="1585" t="e">
        <f t="shared" si="3"/>
        <v>#N/A</v>
      </c>
      <c r="O36" s="1592"/>
      <c r="P36" s="1592" t="e">
        <f t="shared" si="6"/>
        <v>#N/A</v>
      </c>
      <c r="Q36" s="1592"/>
      <c r="R36" s="1592"/>
      <c r="S36" s="1592" t="e">
        <f t="shared" si="5"/>
        <v>#N/A</v>
      </c>
      <c r="T36" s="1593"/>
    </row>
    <row r="37" spans="1:25" s="810" customFormat="1" ht="22.5" customHeight="1">
      <c r="A37" s="1587">
        <v>25</v>
      </c>
      <c r="B37" s="1602" t="s">
        <v>420</v>
      </c>
      <c r="C37" s="1611" t="str">
        <f>'Chấm công công nhân'!L36</f>
        <v>T Ô Vên</v>
      </c>
      <c r="D37" s="1589"/>
      <c r="E37" s="1587" t="s">
        <v>40</v>
      </c>
      <c r="F37" s="1587" t="s">
        <v>272</v>
      </c>
      <c r="G37" s="1590" t="e">
        <f>VLOOKUP(C37,'BẢNG LƯƠNG KT'!C41:G82,4,0)</f>
        <v>#N/A</v>
      </c>
      <c r="H37" s="1591">
        <v>25000</v>
      </c>
      <c r="I37" s="1587" t="s">
        <v>247</v>
      </c>
      <c r="J37" s="1587"/>
      <c r="K37" s="1677" t="e">
        <f t="shared" si="2"/>
        <v>#N/A</v>
      </c>
      <c r="L37" s="1585" t="e">
        <f>+VLOOKUP(C37,'BẢNG LƯƠNG KT'!C41:L82,10,0)</f>
        <v>#N/A</v>
      </c>
      <c r="M37" s="1585" t="e">
        <f>VLOOKUP(C37,'BẢNG LƯƠNG KT'!C41:S41,15,0)</f>
        <v>#N/A</v>
      </c>
      <c r="N37" s="1585" t="e">
        <f t="shared" si="3"/>
        <v>#N/A</v>
      </c>
      <c r="O37" s="1592"/>
      <c r="P37" s="1592" t="e">
        <f t="shared" si="6"/>
        <v>#N/A</v>
      </c>
      <c r="Q37" s="1592"/>
      <c r="R37" s="1592"/>
      <c r="S37" s="1592" t="e">
        <f t="shared" si="5"/>
        <v>#N/A</v>
      </c>
      <c r="T37" s="1593"/>
    </row>
    <row r="38" spans="1:25" s="810" customFormat="1" ht="22.5" customHeight="1">
      <c r="A38" s="1587">
        <v>26</v>
      </c>
      <c r="B38" s="1602" t="s">
        <v>436</v>
      </c>
      <c r="C38" s="1611" t="str">
        <f>'Chấm công công nhân'!L37</f>
        <v>Nàng Lam</v>
      </c>
      <c r="D38" s="1589"/>
      <c r="E38" s="1587" t="s">
        <v>40</v>
      </c>
      <c r="F38" s="1587" t="s">
        <v>272</v>
      </c>
      <c r="G38" s="1590" t="e">
        <f>VLOOKUP(C38,'BẢNG LƯƠNG KT'!C42:G83,4,0)</f>
        <v>#N/A</v>
      </c>
      <c r="H38" s="1591">
        <v>25000</v>
      </c>
      <c r="I38" s="1587" t="s">
        <v>247</v>
      </c>
      <c r="J38" s="1587"/>
      <c r="K38" s="1677" t="e">
        <f t="shared" si="2"/>
        <v>#N/A</v>
      </c>
      <c r="L38" s="1585" t="e">
        <f>+VLOOKUP(C38,'BẢNG LƯƠNG KT'!C42:L83,10,0)</f>
        <v>#N/A</v>
      </c>
      <c r="M38" s="1585" t="e">
        <f>VLOOKUP(C38,'BẢNG LƯƠNG KT'!C42:S42,15,0)</f>
        <v>#N/A</v>
      </c>
      <c r="N38" s="1585" t="e">
        <f t="shared" si="3"/>
        <v>#N/A</v>
      </c>
      <c r="O38" s="1592"/>
      <c r="P38" s="1592" t="e">
        <f t="shared" si="6"/>
        <v>#N/A</v>
      </c>
      <c r="Q38" s="1592"/>
      <c r="R38" s="1592"/>
      <c r="S38" s="1592" t="e">
        <f t="shared" si="5"/>
        <v>#N/A</v>
      </c>
      <c r="T38" s="1593"/>
      <c r="Y38" s="810">
        <v>673</v>
      </c>
    </row>
    <row r="39" spans="1:25" s="810" customFormat="1" ht="22.5" customHeight="1">
      <c r="A39" s="1587">
        <v>27</v>
      </c>
      <c r="B39" s="1602" t="s">
        <v>473</v>
      </c>
      <c r="C39" s="1611" t="str">
        <f>'Chấm công công nhân'!L38</f>
        <v>Nàng Hđao</v>
      </c>
      <c r="D39" s="1589"/>
      <c r="E39" s="1587" t="s">
        <v>40</v>
      </c>
      <c r="F39" s="1587" t="s">
        <v>272</v>
      </c>
      <c r="G39" s="1590" t="e">
        <f>VLOOKUP(C39,'BẢNG LƯƠNG KT'!C43:G83,4,0)</f>
        <v>#N/A</v>
      </c>
      <c r="H39" s="1591">
        <v>25000</v>
      </c>
      <c r="I39" s="1587" t="s">
        <v>247</v>
      </c>
      <c r="J39" s="1587"/>
      <c r="K39" s="1677" t="e">
        <f t="shared" si="2"/>
        <v>#N/A</v>
      </c>
      <c r="L39" s="1585" t="e">
        <f>+VLOOKUP(C39,'BẢNG LƯƠNG KT'!C43:L83,10,0)</f>
        <v>#N/A</v>
      </c>
      <c r="M39" s="1585" t="e">
        <f>VLOOKUP(C39,'BẢNG LƯƠNG KT'!C43:S43,15,0)</f>
        <v>#N/A</v>
      </c>
      <c r="N39" s="1585" t="e">
        <f t="shared" si="3"/>
        <v>#N/A</v>
      </c>
      <c r="O39" s="1592"/>
      <c r="P39" s="1592" t="e">
        <f t="shared" si="6"/>
        <v>#N/A</v>
      </c>
      <c r="Q39" s="1592"/>
      <c r="R39" s="1592"/>
      <c r="S39" s="1592" t="e">
        <f t="shared" si="5"/>
        <v>#N/A</v>
      </c>
      <c r="T39" s="1593"/>
      <c r="Y39" s="810">
        <v>569</v>
      </c>
    </row>
    <row r="40" spans="1:25" s="810" customFormat="1" ht="22.5" customHeight="1">
      <c r="A40" s="1587">
        <v>28</v>
      </c>
      <c r="B40" s="1602" t="s">
        <v>454</v>
      </c>
      <c r="C40" s="1611" t="str">
        <f>'Chấm công công nhân'!L39</f>
        <v>Thảo Tong</v>
      </c>
      <c r="D40" s="1589"/>
      <c r="E40" s="1587" t="s">
        <v>40</v>
      </c>
      <c r="F40" s="1587" t="s">
        <v>272</v>
      </c>
      <c r="G40" s="1590">
        <f>VLOOKUP(C40,'BẢNG LƯƠNG KT'!C39:G80,4,0)</f>
        <v>0</v>
      </c>
      <c r="H40" s="1591">
        <v>25000</v>
      </c>
      <c r="I40" s="1587" t="s">
        <v>247</v>
      </c>
      <c r="J40" s="1587"/>
      <c r="K40" s="1677">
        <f t="shared" si="2"/>
        <v>0</v>
      </c>
      <c r="L40" s="1585" t="e">
        <f>+VLOOKUP(C40,'BẢNG LƯƠNG KT'!C44:L83,10,0)</f>
        <v>#N/A</v>
      </c>
      <c r="M40" s="1585" t="e">
        <f>VLOOKUP(C40,'BẢNG LƯƠNG KT'!C44:S44,15,0)</f>
        <v>#N/A</v>
      </c>
      <c r="N40" s="1585" t="e">
        <f t="shared" si="3"/>
        <v>#N/A</v>
      </c>
      <c r="O40" s="1592"/>
      <c r="P40" s="1592" t="e">
        <f t="shared" ref="P40:P44" si="7">N40</f>
        <v>#N/A</v>
      </c>
      <c r="Q40" s="1592"/>
      <c r="R40" s="1592"/>
      <c r="S40" s="1592" t="e">
        <f t="shared" ref="S40:S44" si="8">+P40-Q40-R40</f>
        <v>#N/A</v>
      </c>
      <c r="T40" s="1593"/>
      <c r="Y40" s="810">
        <v>304</v>
      </c>
    </row>
    <row r="41" spans="1:25" s="810" customFormat="1" ht="22.5" customHeight="1">
      <c r="A41" s="1587">
        <v>29</v>
      </c>
      <c r="B41" s="1602" t="s">
        <v>464</v>
      </c>
      <c r="C41" s="1611" t="str">
        <f>'Chấm công công nhân'!L40</f>
        <v>Thảo Khốc</v>
      </c>
      <c r="D41" s="1589"/>
      <c r="E41" s="1587" t="s">
        <v>40</v>
      </c>
      <c r="F41" s="1587" t="s">
        <v>272</v>
      </c>
      <c r="G41" s="1590">
        <f>VLOOKUP(C41,'BẢNG LƯƠNG KT'!C40:G83,4,0)</f>
        <v>0</v>
      </c>
      <c r="H41" s="1591">
        <v>25000</v>
      </c>
      <c r="I41" s="1587" t="s">
        <v>247</v>
      </c>
      <c r="J41" s="1587"/>
      <c r="K41" s="1677">
        <f t="shared" si="2"/>
        <v>0</v>
      </c>
      <c r="L41" s="1585" t="e">
        <f>+VLOOKUP(C41,'BẢNG LƯƠNG KT'!C45:L83,10,0)</f>
        <v>#N/A</v>
      </c>
      <c r="M41" s="1585" t="e">
        <f>VLOOKUP(C41,'BẢNG LƯƠNG KT'!C45:S45,15,0)</f>
        <v>#N/A</v>
      </c>
      <c r="N41" s="1585" t="e">
        <f t="shared" si="3"/>
        <v>#N/A</v>
      </c>
      <c r="O41" s="1592"/>
      <c r="P41" s="1592" t="e">
        <f t="shared" si="7"/>
        <v>#N/A</v>
      </c>
      <c r="Q41" s="1592"/>
      <c r="R41" s="1592"/>
      <c r="S41" s="1592" t="e">
        <f t="shared" si="8"/>
        <v>#N/A</v>
      </c>
      <c r="T41" s="1593"/>
      <c r="Y41" s="810">
        <v>395</v>
      </c>
    </row>
    <row r="42" spans="1:25" s="810" customFormat="1" ht="22.5" customHeight="1">
      <c r="A42" s="1587">
        <v>30</v>
      </c>
      <c r="B42" s="1602" t="s">
        <v>466</v>
      </c>
      <c r="C42" s="1611" t="str">
        <f>'Chấm công công nhân'!L41</f>
        <v>Thảo Sợt</v>
      </c>
      <c r="D42" s="1589"/>
      <c r="E42" s="1587" t="s">
        <v>40</v>
      </c>
      <c r="F42" s="1587" t="s">
        <v>272</v>
      </c>
      <c r="G42" s="1590">
        <f>VLOOKUP(C42,'BẢNG LƯƠNG KT'!C41:G83,4,0)</f>
        <v>0</v>
      </c>
      <c r="H42" s="1591">
        <v>25000</v>
      </c>
      <c r="I42" s="1587" t="s">
        <v>247</v>
      </c>
      <c r="J42" s="1587"/>
      <c r="K42" s="1677">
        <f t="shared" si="2"/>
        <v>0</v>
      </c>
      <c r="L42" s="1585" t="e">
        <f>+VLOOKUP(C42,'BẢNG LƯƠNG KT'!C46:L83,10,0)</f>
        <v>#N/A</v>
      </c>
      <c r="M42" s="1585" t="e">
        <f>VLOOKUP(C42,'BẢNG LƯƠNG KT'!C46:S46,15,0)</f>
        <v>#N/A</v>
      </c>
      <c r="N42" s="1585" t="e">
        <f t="shared" si="3"/>
        <v>#N/A</v>
      </c>
      <c r="O42" s="1592"/>
      <c r="P42" s="1592" t="e">
        <f t="shared" si="7"/>
        <v>#N/A</v>
      </c>
      <c r="Q42" s="1592"/>
      <c r="R42" s="1592"/>
      <c r="S42" s="1592" t="e">
        <f t="shared" si="8"/>
        <v>#N/A</v>
      </c>
      <c r="T42" s="1593"/>
    </row>
    <row r="43" spans="1:25" s="810" customFormat="1" ht="22.5" customHeight="1">
      <c r="A43" s="1587">
        <v>31</v>
      </c>
      <c r="B43" s="1602"/>
      <c r="C43" s="1611" t="str">
        <f>'Chấm công công nhân'!L42</f>
        <v>Thảo Văn</v>
      </c>
      <c r="D43" s="1589"/>
      <c r="E43" s="1587" t="s">
        <v>40</v>
      </c>
      <c r="F43" s="1587" t="s">
        <v>272</v>
      </c>
      <c r="G43" s="1590">
        <f>VLOOKUP(C43,'BẢNG LƯƠNG KT'!C42:G83,4,0)</f>
        <v>0</v>
      </c>
      <c r="H43" s="1591">
        <v>25000</v>
      </c>
      <c r="I43" s="1587" t="s">
        <v>247</v>
      </c>
      <c r="J43" s="1587"/>
      <c r="K43" s="1677">
        <f t="shared" si="2"/>
        <v>0</v>
      </c>
      <c r="L43" s="1585">
        <f>+VLOOKUP(C43,'BẢNG LƯƠNG KT'!C47:L83,10,0)</f>
        <v>482866</v>
      </c>
      <c r="M43" s="1585" t="e">
        <f>VLOOKUP(C43,'BẢNG LƯƠNG KT'!C47:S47,15,0)</f>
        <v>#N/A</v>
      </c>
      <c r="N43" s="1585" t="e">
        <f t="shared" si="3"/>
        <v>#N/A</v>
      </c>
      <c r="O43" s="1592"/>
      <c r="P43" s="1592" t="e">
        <f t="shared" si="7"/>
        <v>#N/A</v>
      </c>
      <c r="Q43" s="1592"/>
      <c r="R43" s="1592"/>
      <c r="S43" s="1592" t="e">
        <f t="shared" si="8"/>
        <v>#N/A</v>
      </c>
      <c r="T43" s="1593"/>
    </row>
    <row r="44" spans="1:25" s="810" customFormat="1" ht="22.5" customHeight="1">
      <c r="A44" s="1587">
        <v>32</v>
      </c>
      <c r="B44" s="1602"/>
      <c r="C44" s="1611" t="str">
        <f>'Chấm công công nhân'!L43</f>
        <v>Nàng Túc</v>
      </c>
      <c r="D44" s="1589"/>
      <c r="E44" s="1587" t="s">
        <v>40</v>
      </c>
      <c r="F44" s="1587" t="s">
        <v>272</v>
      </c>
      <c r="G44" s="1590">
        <f>VLOOKUP(C44,'BẢNG LƯƠNG KT'!C43:G83,4,0)</f>
        <v>0</v>
      </c>
      <c r="H44" s="1591">
        <v>25000</v>
      </c>
      <c r="I44" s="1587" t="s">
        <v>247</v>
      </c>
      <c r="J44" s="1587"/>
      <c r="K44" s="1677">
        <f t="shared" si="2"/>
        <v>0</v>
      </c>
      <c r="L44" s="1585" t="e">
        <f>+VLOOKUP(C44,'BẢNG LƯƠNG KT'!C48:L83,10,0)</f>
        <v>#N/A</v>
      </c>
      <c r="M44" s="1585" t="e">
        <f>VLOOKUP(C44,'BẢNG LƯƠNG KT'!C48:S48,15,0)</f>
        <v>#N/A</v>
      </c>
      <c r="N44" s="1585" t="e">
        <f t="shared" si="3"/>
        <v>#N/A</v>
      </c>
      <c r="O44" s="1592"/>
      <c r="P44" s="1592" t="e">
        <f t="shared" si="7"/>
        <v>#N/A</v>
      </c>
      <c r="Q44" s="1592"/>
      <c r="R44" s="1592"/>
      <c r="S44" s="1592" t="e">
        <f t="shared" si="8"/>
        <v>#N/A</v>
      </c>
      <c r="T44" s="1593"/>
    </row>
    <row r="45" spans="1:25" s="810" customFormat="1" ht="22.5" customHeight="1">
      <c r="A45" s="1587">
        <v>33</v>
      </c>
      <c r="B45" s="1602" t="s">
        <v>454</v>
      </c>
      <c r="C45" s="1611" t="str">
        <f>'Chấm công công nhân'!L44</f>
        <v>Nàng Chon</v>
      </c>
      <c r="D45" s="1589"/>
      <c r="E45" s="1587" t="s">
        <v>40</v>
      </c>
      <c r="F45" s="1587" t="s">
        <v>272</v>
      </c>
      <c r="G45" s="1590" t="e">
        <f>VLOOKUP(C45,'BẢNG LƯƠNG KT'!C49:G83,4,0)</f>
        <v>#N/A</v>
      </c>
      <c r="H45" s="1591">
        <v>25000</v>
      </c>
      <c r="I45" s="1587" t="s">
        <v>247</v>
      </c>
      <c r="J45" s="1587"/>
      <c r="K45" s="1677" t="e">
        <f t="shared" si="2"/>
        <v>#N/A</v>
      </c>
      <c r="L45" s="1585" t="e">
        <f>+VLOOKUP(C45,'BẢNG LƯƠNG KT'!C49:L83,10,0)</f>
        <v>#N/A</v>
      </c>
      <c r="M45" s="1585" t="e">
        <f>VLOOKUP(C45,'BẢNG LƯƠNG KT'!C49:S49,15,0)</f>
        <v>#N/A</v>
      </c>
      <c r="N45" s="1585" t="e">
        <f t="shared" si="3"/>
        <v>#N/A</v>
      </c>
      <c r="O45" s="1592"/>
      <c r="P45" s="1592" t="e">
        <f t="shared" si="6"/>
        <v>#N/A</v>
      </c>
      <c r="Q45" s="1592"/>
      <c r="R45" s="1592"/>
      <c r="S45" s="1592" t="e">
        <f t="shared" si="5"/>
        <v>#N/A</v>
      </c>
      <c r="T45" s="1593"/>
      <c r="Y45" s="810">
        <v>304</v>
      </c>
    </row>
    <row r="46" spans="1:25" s="810" customFormat="1" ht="22.5" customHeight="1">
      <c r="A46" s="1587">
        <v>34</v>
      </c>
      <c r="B46" s="1602" t="s">
        <v>464</v>
      </c>
      <c r="C46" s="1611" t="str">
        <f>'Chấm công công nhân'!L45</f>
        <v>Thảo Hơ Phơ</v>
      </c>
      <c r="D46" s="1589"/>
      <c r="E46" s="1587" t="s">
        <v>40</v>
      </c>
      <c r="F46" s="1587" t="s">
        <v>272</v>
      </c>
      <c r="G46" s="1590" t="e">
        <f>VLOOKUP(C46,'BẢNG LƯƠNG KT'!C50:G83,4,0)</f>
        <v>#N/A</v>
      </c>
      <c r="H46" s="1591">
        <v>25000</v>
      </c>
      <c r="I46" s="1587" t="s">
        <v>247</v>
      </c>
      <c r="J46" s="1587"/>
      <c r="K46" s="1677" t="e">
        <f t="shared" si="2"/>
        <v>#N/A</v>
      </c>
      <c r="L46" s="1585" t="e">
        <f>+VLOOKUP(C46,'BẢNG LƯƠNG KT'!C50:L83,10,0)</f>
        <v>#N/A</v>
      </c>
      <c r="M46" s="1585" t="e">
        <f>VLOOKUP(C46,'BẢNG LƯƠNG KT'!C50:S50,15,0)</f>
        <v>#N/A</v>
      </c>
      <c r="N46" s="1585" t="e">
        <f t="shared" si="3"/>
        <v>#N/A</v>
      </c>
      <c r="O46" s="1592"/>
      <c r="P46" s="1592" t="e">
        <f t="shared" si="6"/>
        <v>#N/A</v>
      </c>
      <c r="Q46" s="1592"/>
      <c r="R46" s="1592"/>
      <c r="S46" s="1592" t="e">
        <f t="shared" si="5"/>
        <v>#N/A</v>
      </c>
      <c r="T46" s="1593"/>
      <c r="Y46" s="810">
        <v>395</v>
      </c>
    </row>
    <row r="47" spans="1:25" s="810" customFormat="1" ht="22.5" customHeight="1">
      <c r="A47" s="1587">
        <v>35</v>
      </c>
      <c r="B47" s="1602" t="s">
        <v>466</v>
      </c>
      <c r="C47" s="1611" t="str">
        <f>'Chấm công công nhân'!L46</f>
        <v>Thảo Phét</v>
      </c>
      <c r="D47" s="1589"/>
      <c r="E47" s="1587" t="s">
        <v>40</v>
      </c>
      <c r="F47" s="1587" t="s">
        <v>272</v>
      </c>
      <c r="G47" s="1590" t="e">
        <f>VLOOKUP(C47,'BẢNG LƯƠNG KT'!C51:G83,4,0)</f>
        <v>#N/A</v>
      </c>
      <c r="H47" s="1591">
        <v>25000</v>
      </c>
      <c r="I47" s="1587" t="s">
        <v>247</v>
      </c>
      <c r="J47" s="1587"/>
      <c r="K47" s="1677" t="e">
        <f t="shared" si="2"/>
        <v>#N/A</v>
      </c>
      <c r="L47" s="1585" t="e">
        <f>+VLOOKUP(C47,'BẢNG LƯƠNG KT'!C51:L83,10,0)</f>
        <v>#N/A</v>
      </c>
      <c r="M47" s="1585" t="e">
        <f>VLOOKUP(C47,'BẢNG LƯƠNG KT'!C51:S51,15,0)</f>
        <v>#N/A</v>
      </c>
      <c r="N47" s="1585" t="e">
        <f t="shared" si="3"/>
        <v>#N/A</v>
      </c>
      <c r="O47" s="1592"/>
      <c r="P47" s="1592" t="e">
        <f t="shared" si="6"/>
        <v>#N/A</v>
      </c>
      <c r="Q47" s="1592"/>
      <c r="R47" s="1592"/>
      <c r="S47" s="1592" t="e">
        <f t="shared" si="5"/>
        <v>#N/A</v>
      </c>
      <c r="T47" s="1593"/>
    </row>
    <row r="48" spans="1:25" s="810" customFormat="1" ht="22.5" customHeight="1">
      <c r="A48" s="1587">
        <v>36</v>
      </c>
      <c r="B48" s="1602"/>
      <c r="C48" s="1611" t="str">
        <f>'Chấm công công nhân'!L47</f>
        <v>Hăn</v>
      </c>
      <c r="D48" s="1589"/>
      <c r="E48" s="1587" t="s">
        <v>40</v>
      </c>
      <c r="F48" s="1587" t="s">
        <v>272</v>
      </c>
      <c r="G48" s="1590" t="e">
        <f>VLOOKUP(C48,'BẢNG LƯƠNG KT'!C52:G83,4,0)</f>
        <v>#N/A</v>
      </c>
      <c r="H48" s="1591">
        <v>25000</v>
      </c>
      <c r="I48" s="1587" t="s">
        <v>247</v>
      </c>
      <c r="J48" s="1587"/>
      <c r="K48" s="1677" t="e">
        <f t="shared" si="2"/>
        <v>#N/A</v>
      </c>
      <c r="L48" s="1585" t="e">
        <f>+VLOOKUP(C48,'BẢNG LƯƠNG KT'!C52:L93,10,0)</f>
        <v>#N/A</v>
      </c>
      <c r="M48" s="1585" t="e">
        <f>VLOOKUP(C48,'BẢNG LƯƠNG KT'!C52:S52,15,0)</f>
        <v>#N/A</v>
      </c>
      <c r="N48" s="1585" t="e">
        <f t="shared" si="3"/>
        <v>#N/A</v>
      </c>
      <c r="O48" s="1592"/>
      <c r="P48" s="1592" t="e">
        <f t="shared" si="6"/>
        <v>#N/A</v>
      </c>
      <c r="Q48" s="1592"/>
      <c r="R48" s="1592"/>
      <c r="S48" s="1592" t="e">
        <f t="shared" si="5"/>
        <v>#N/A</v>
      </c>
      <c r="T48" s="1593"/>
    </row>
    <row r="49" spans="1:21" s="810" customFormat="1" ht="22.5" customHeight="1">
      <c r="A49" s="1587">
        <v>37</v>
      </c>
      <c r="B49" s="1602"/>
      <c r="C49" s="1960" t="str">
        <f>'Tong hop cong'!C50</f>
        <v>Thảo e</v>
      </c>
      <c r="D49" s="1589"/>
      <c r="E49" s="1587" t="s">
        <v>263</v>
      </c>
      <c r="F49" s="1587"/>
      <c r="G49" s="1590">
        <f>VLOOKUP(C49,'BẢNG LƯƠNG KT'!C54:G93,4,0)</f>
        <v>0</v>
      </c>
      <c r="H49" s="1591">
        <v>25000</v>
      </c>
      <c r="I49" s="1587" t="s">
        <v>247</v>
      </c>
      <c r="J49" s="1587"/>
      <c r="K49" s="1677">
        <f t="shared" si="2"/>
        <v>0</v>
      </c>
      <c r="L49" s="1585">
        <f>+VLOOKUP(C49,'BẢNG LƯƠNG KT'!C54:L94,10,0)</f>
        <v>0</v>
      </c>
      <c r="M49" s="1585">
        <f>VLOOKUP(C49,'BẢNG LƯƠNG KT'!C54:S54,15,0)</f>
        <v>0</v>
      </c>
      <c r="N49" s="1585">
        <f t="shared" si="3"/>
        <v>0</v>
      </c>
      <c r="O49" s="1592"/>
      <c r="P49" s="1592">
        <f t="shared" si="6"/>
        <v>0</v>
      </c>
      <c r="Q49" s="1592"/>
      <c r="R49" s="1592"/>
      <c r="S49" s="1592">
        <f t="shared" si="5"/>
        <v>0</v>
      </c>
      <c r="T49" s="1593"/>
    </row>
    <row r="50" spans="1:21" s="1668" customFormat="1" ht="22.5" customHeight="1">
      <c r="A50" s="4741" t="s">
        <v>737</v>
      </c>
      <c r="B50" s="4741"/>
      <c r="C50" s="4741" t="s">
        <v>322</v>
      </c>
      <c r="D50" s="4741"/>
      <c r="E50" s="1669"/>
      <c r="F50" s="1669"/>
      <c r="G50" s="1670" t="e">
        <f>SUM(G51:G65)</f>
        <v>#N/A</v>
      </c>
      <c r="H50" s="1671"/>
      <c r="I50" s="1671"/>
      <c r="J50" s="1671"/>
      <c r="K50" s="1678" t="e">
        <f>SUM(K51:K65)</f>
        <v>#N/A</v>
      </c>
      <c r="L50" s="1672" t="e">
        <f t="shared" ref="L50:S50" si="9">SUM(L51:L65)</f>
        <v>#N/A</v>
      </c>
      <c r="M50" s="1672" t="e">
        <f t="shared" si="9"/>
        <v>#N/A</v>
      </c>
      <c r="N50" s="1672" t="e">
        <f t="shared" si="9"/>
        <v>#N/A</v>
      </c>
      <c r="O50" s="1672">
        <f t="shared" si="9"/>
        <v>0</v>
      </c>
      <c r="P50" s="1672" t="e">
        <f t="shared" si="9"/>
        <v>#N/A</v>
      </c>
      <c r="Q50" s="1672">
        <f t="shared" si="9"/>
        <v>0</v>
      </c>
      <c r="R50" s="1672">
        <f t="shared" si="9"/>
        <v>0</v>
      </c>
      <c r="S50" s="1672" t="e">
        <f t="shared" si="9"/>
        <v>#N/A</v>
      </c>
      <c r="T50" s="1671"/>
      <c r="U50" s="1668">
        <f>+'BẢNG LƯƠNG KT'!V55</f>
        <v>29122938</v>
      </c>
    </row>
    <row r="51" spans="1:21" s="810" customFormat="1" ht="22.5" customHeight="1">
      <c r="A51" s="1587">
        <v>1</v>
      </c>
      <c r="B51" s="1602" t="s">
        <v>438</v>
      </c>
      <c r="C51" s="1565" t="str">
        <f>'Chấm công công nhân'!L49</f>
        <v>Thảo Đa Văn</v>
      </c>
      <c r="D51" s="1589"/>
      <c r="E51" s="1587" t="s">
        <v>40</v>
      </c>
      <c r="F51" s="1587" t="s">
        <v>273</v>
      </c>
      <c r="G51" s="1590" t="e">
        <f>+VLOOKUP(C51,'BẢNG LƯƠNG KT'!C56:G70,4,0)</f>
        <v>#N/A</v>
      </c>
      <c r="H51" s="1591">
        <v>25000</v>
      </c>
      <c r="I51" s="1587" t="s">
        <v>247</v>
      </c>
      <c r="J51" s="1587"/>
      <c r="K51" s="1679" t="e">
        <f>+G51*H51</f>
        <v>#N/A</v>
      </c>
      <c r="L51" s="1592" t="e">
        <f>+VLOOKUP(C51,'BẢNG LƯƠNG KT'!C56:L70,10,0)</f>
        <v>#N/A</v>
      </c>
      <c r="M51" s="1592" t="e">
        <f>+VLOOKUP(C51,'BẢNG LƯƠNG KT'!C56:S70,15,0)</f>
        <v>#N/A</v>
      </c>
      <c r="N51" s="1592" t="e">
        <f>SUM(K51:M51)</f>
        <v>#N/A</v>
      </c>
      <c r="O51" s="1592"/>
      <c r="P51" s="1592" t="e">
        <f t="shared" ref="P51" si="10">N51</f>
        <v>#N/A</v>
      </c>
      <c r="Q51" s="1592"/>
      <c r="R51" s="1592"/>
      <c r="S51" s="1592" t="e">
        <f>+P51-Q51-R51</f>
        <v>#N/A</v>
      </c>
      <c r="T51" s="1593"/>
    </row>
    <row r="52" spans="1:21" s="810" customFormat="1" ht="22.5" customHeight="1">
      <c r="A52" s="1587">
        <v>2</v>
      </c>
      <c r="B52" s="1588" t="s">
        <v>440</v>
      </c>
      <c r="C52" s="1565">
        <f>'Chấm công công nhân'!L50</f>
        <v>0</v>
      </c>
      <c r="D52" s="1589"/>
      <c r="E52" s="1587" t="s">
        <v>40</v>
      </c>
      <c r="F52" s="1587" t="s">
        <v>273</v>
      </c>
      <c r="G52" s="1590" t="e">
        <f>+VLOOKUP(C52,'BẢNG LƯƠNG KT'!C57:G70,4,0)</f>
        <v>#N/A</v>
      </c>
      <c r="H52" s="1591">
        <v>25000</v>
      </c>
      <c r="I52" s="1587" t="s">
        <v>247</v>
      </c>
      <c r="J52" s="1587"/>
      <c r="K52" s="1679" t="e">
        <f t="shared" ref="K52:K66" si="11">+G52*H52</f>
        <v>#N/A</v>
      </c>
      <c r="L52" s="1592" t="e">
        <f>+VLOOKUP(C52,'BẢNG LƯƠNG KT'!C57:L70,10,0)</f>
        <v>#N/A</v>
      </c>
      <c r="M52" s="1592" t="e">
        <f>+VLOOKUP(C52,'BẢNG LƯƠNG KT'!C57:S70,15,0)</f>
        <v>#N/A</v>
      </c>
      <c r="N52" s="1592" t="e">
        <f t="shared" ref="N52:N66" si="12">SUM(K52:M52)</f>
        <v>#N/A</v>
      </c>
      <c r="O52" s="1592"/>
      <c r="P52" s="1592" t="e">
        <f t="shared" ref="P52:P66" si="13">N52</f>
        <v>#N/A</v>
      </c>
      <c r="Q52" s="1592"/>
      <c r="R52" s="1592"/>
      <c r="S52" s="1592" t="e">
        <f t="shared" ref="S52:S66" si="14">+P52-Q52-R52</f>
        <v>#N/A</v>
      </c>
      <c r="T52" s="1593"/>
    </row>
    <row r="53" spans="1:21" s="810" customFormat="1" ht="22.5" customHeight="1">
      <c r="A53" s="1587">
        <v>3</v>
      </c>
      <c r="B53" s="1588" t="s">
        <v>442</v>
      </c>
      <c r="C53" s="1565" t="str">
        <f>'Chấm công công nhân'!L51</f>
        <v>Thảo Xa Đết</v>
      </c>
      <c r="D53" s="1589"/>
      <c r="E53" s="1587" t="s">
        <v>40</v>
      </c>
      <c r="F53" s="1587" t="s">
        <v>273</v>
      </c>
      <c r="G53" s="1590" t="e">
        <f>+VLOOKUP(C53,'BẢNG LƯƠNG KT'!C58:G76,4,0)</f>
        <v>#N/A</v>
      </c>
      <c r="H53" s="1591">
        <v>25000</v>
      </c>
      <c r="I53" s="1587" t="s">
        <v>247</v>
      </c>
      <c r="J53" s="1587"/>
      <c r="K53" s="1679" t="e">
        <f t="shared" si="11"/>
        <v>#N/A</v>
      </c>
      <c r="L53" s="1592" t="e">
        <f>+VLOOKUP(C53,'BẢNG LƯƠNG KT'!C58:L76,10,0)</f>
        <v>#N/A</v>
      </c>
      <c r="M53" s="1592" t="e">
        <f>+VLOOKUP(C53,'BẢNG LƯƠNG KT'!C58:S76,15,0)</f>
        <v>#N/A</v>
      </c>
      <c r="N53" s="1592" t="e">
        <f t="shared" si="12"/>
        <v>#N/A</v>
      </c>
      <c r="O53" s="1592"/>
      <c r="P53" s="1592" t="e">
        <f t="shared" si="13"/>
        <v>#N/A</v>
      </c>
      <c r="Q53" s="1592"/>
      <c r="R53" s="1592"/>
      <c r="S53" s="1592" t="e">
        <f t="shared" si="14"/>
        <v>#N/A</v>
      </c>
      <c r="T53" s="1593"/>
    </row>
    <row r="54" spans="1:21" s="810" customFormat="1" ht="22.5" customHeight="1">
      <c r="A54" s="1587">
        <v>4</v>
      </c>
      <c r="B54" s="1588" t="s">
        <v>444</v>
      </c>
      <c r="C54" s="1565" t="str">
        <f>'Chấm công công nhân'!L52</f>
        <v>Thảo Sột</v>
      </c>
      <c r="D54" s="1589"/>
      <c r="E54" s="1587" t="s">
        <v>40</v>
      </c>
      <c r="F54" s="1587" t="s">
        <v>273</v>
      </c>
      <c r="G54" s="1590" t="e">
        <f>+VLOOKUP(C54,'BẢNG LƯƠNG KT'!C59:G77,4,0)</f>
        <v>#N/A</v>
      </c>
      <c r="H54" s="1591">
        <v>25000</v>
      </c>
      <c r="I54" s="1587" t="s">
        <v>247</v>
      </c>
      <c r="J54" s="1587"/>
      <c r="K54" s="1679" t="e">
        <f t="shared" si="11"/>
        <v>#N/A</v>
      </c>
      <c r="L54" s="1592" t="e">
        <f>+VLOOKUP(C54,'BẢNG LƯƠNG KT'!C59:L77,10,0)</f>
        <v>#N/A</v>
      </c>
      <c r="M54" s="1592" t="e">
        <f>+VLOOKUP(C54,'BẢNG LƯƠNG KT'!C59:S77,15,0)</f>
        <v>#N/A</v>
      </c>
      <c r="N54" s="1592" t="e">
        <f t="shared" si="12"/>
        <v>#N/A</v>
      </c>
      <c r="O54" s="1592"/>
      <c r="P54" s="1592" t="e">
        <f t="shared" si="13"/>
        <v>#N/A</v>
      </c>
      <c r="Q54" s="1592"/>
      <c r="R54" s="1592"/>
      <c r="S54" s="1592" t="e">
        <f t="shared" si="14"/>
        <v>#N/A</v>
      </c>
      <c r="T54" s="1593"/>
    </row>
    <row r="55" spans="1:21" s="810" customFormat="1" ht="22.5" customHeight="1">
      <c r="A55" s="1587">
        <v>5</v>
      </c>
      <c r="B55" s="1588" t="s">
        <v>446</v>
      </c>
      <c r="C55" s="1565" t="str">
        <f>'Chấm công công nhân'!L53</f>
        <v>Stoong</v>
      </c>
      <c r="D55" s="1589"/>
      <c r="E55" s="1587" t="s">
        <v>40</v>
      </c>
      <c r="F55" s="1587" t="s">
        <v>273</v>
      </c>
      <c r="G55" s="1590" t="e">
        <f>+VLOOKUP(C55,'BẢNG LƯƠNG KT'!C60:G78,4,0)</f>
        <v>#N/A</v>
      </c>
      <c r="H55" s="1591">
        <v>25000</v>
      </c>
      <c r="I55" s="1587" t="s">
        <v>247</v>
      </c>
      <c r="J55" s="1587"/>
      <c r="K55" s="1679" t="e">
        <f t="shared" si="11"/>
        <v>#N/A</v>
      </c>
      <c r="L55" s="1592" t="e">
        <f>+VLOOKUP(C55,'BẢNG LƯƠNG KT'!C60:L78,10,0)</f>
        <v>#N/A</v>
      </c>
      <c r="M55" s="1592" t="e">
        <f>+VLOOKUP(C55,'BẢNG LƯƠNG KT'!C60:S78,15,0)</f>
        <v>#N/A</v>
      </c>
      <c r="N55" s="1592" t="e">
        <f t="shared" si="12"/>
        <v>#N/A</v>
      </c>
      <c r="O55" s="1592"/>
      <c r="P55" s="1592" t="e">
        <f t="shared" si="13"/>
        <v>#N/A</v>
      </c>
      <c r="Q55" s="1592"/>
      <c r="R55" s="1592"/>
      <c r="S55" s="1592" t="e">
        <f t="shared" si="14"/>
        <v>#N/A</v>
      </c>
      <c r="T55" s="1593"/>
    </row>
    <row r="56" spans="1:21" s="810" customFormat="1" ht="22.5" customHeight="1">
      <c r="A56" s="1587">
        <v>6</v>
      </c>
      <c r="B56" s="1588" t="s">
        <v>448</v>
      </c>
      <c r="C56" s="1565" t="str">
        <f>'Chấm công công nhân'!L54</f>
        <v>Nàng Phắt</v>
      </c>
      <c r="D56" s="1589"/>
      <c r="E56" s="1587" t="s">
        <v>40</v>
      </c>
      <c r="F56" s="1587" t="s">
        <v>273</v>
      </c>
      <c r="G56" s="1590" t="e">
        <f>+VLOOKUP(C56,'BẢNG LƯƠNG KT'!C61:G79,4,0)</f>
        <v>#N/A</v>
      </c>
      <c r="H56" s="1591">
        <v>25000</v>
      </c>
      <c r="I56" s="1587" t="s">
        <v>247</v>
      </c>
      <c r="J56" s="1587"/>
      <c r="K56" s="1679" t="e">
        <f t="shared" si="11"/>
        <v>#N/A</v>
      </c>
      <c r="L56" s="1592" t="e">
        <f>+VLOOKUP(C56,'BẢNG LƯƠNG KT'!C61:L79,10,0)</f>
        <v>#N/A</v>
      </c>
      <c r="M56" s="1592" t="e">
        <f>+VLOOKUP(C56,'BẢNG LƯƠNG KT'!C61:S79,15,0)</f>
        <v>#N/A</v>
      </c>
      <c r="N56" s="1592" t="e">
        <f t="shared" si="12"/>
        <v>#N/A</v>
      </c>
      <c r="O56" s="1592"/>
      <c r="P56" s="1592" t="e">
        <f t="shared" si="13"/>
        <v>#N/A</v>
      </c>
      <c r="Q56" s="1592"/>
      <c r="R56" s="1592"/>
      <c r="S56" s="1592" t="e">
        <f t="shared" si="14"/>
        <v>#N/A</v>
      </c>
      <c r="T56" s="1593"/>
    </row>
    <row r="57" spans="1:21" s="810" customFormat="1" ht="22.5" customHeight="1">
      <c r="A57" s="1587">
        <v>7</v>
      </c>
      <c r="B57" s="1588" t="s">
        <v>452</v>
      </c>
      <c r="C57" s="1565" t="str">
        <f>'Chấm công công nhân'!L55</f>
        <v>Nàng May</v>
      </c>
      <c r="D57" s="1589"/>
      <c r="E57" s="1587" t="s">
        <v>40</v>
      </c>
      <c r="F57" s="1587" t="s">
        <v>273</v>
      </c>
      <c r="G57" s="1590" t="e">
        <f>+VLOOKUP(C57,'BẢNG LƯƠNG KT'!C62:G80,4,0)</f>
        <v>#N/A</v>
      </c>
      <c r="H57" s="1591">
        <v>25000</v>
      </c>
      <c r="I57" s="1587" t="s">
        <v>247</v>
      </c>
      <c r="J57" s="1587"/>
      <c r="K57" s="1679" t="e">
        <f t="shared" si="11"/>
        <v>#N/A</v>
      </c>
      <c r="L57" s="1592" t="e">
        <f>+VLOOKUP(C57,'BẢNG LƯƠNG KT'!C62:L80,10,0)</f>
        <v>#N/A</v>
      </c>
      <c r="M57" s="1592" t="e">
        <f>+VLOOKUP(C57,'BẢNG LƯƠNG KT'!C62:S80,15,0)</f>
        <v>#N/A</v>
      </c>
      <c r="N57" s="1592" t="e">
        <f t="shared" si="12"/>
        <v>#N/A</v>
      </c>
      <c r="O57" s="1592"/>
      <c r="P57" s="1592" t="e">
        <f t="shared" si="13"/>
        <v>#N/A</v>
      </c>
      <c r="Q57" s="1592"/>
      <c r="R57" s="1592"/>
      <c r="S57" s="1592" t="e">
        <f t="shared" si="14"/>
        <v>#N/A</v>
      </c>
      <c r="T57" s="1593"/>
    </row>
    <row r="58" spans="1:21" s="810" customFormat="1" ht="22.5" customHeight="1">
      <c r="A58" s="1587">
        <v>8</v>
      </c>
      <c r="B58" s="1588" t="s">
        <v>456</v>
      </c>
      <c r="C58" s="1565" t="str">
        <f>'Chấm công công nhân'!L56</f>
        <v>Thảo Bênh</v>
      </c>
      <c r="D58" s="1589"/>
      <c r="E58" s="1587" t="s">
        <v>40</v>
      </c>
      <c r="F58" s="1587" t="s">
        <v>273</v>
      </c>
      <c r="G58" s="1590" t="e">
        <f>+VLOOKUP(C58,'BẢNG LƯƠNG KT'!C63:G81,4,0)</f>
        <v>#N/A</v>
      </c>
      <c r="H58" s="1591">
        <v>25000</v>
      </c>
      <c r="I58" s="1587" t="s">
        <v>247</v>
      </c>
      <c r="J58" s="1587"/>
      <c r="K58" s="1679" t="e">
        <f t="shared" si="11"/>
        <v>#N/A</v>
      </c>
      <c r="L58" s="1592" t="e">
        <f>+VLOOKUP(C58,'BẢNG LƯƠNG KT'!C63:L81,10,0)</f>
        <v>#N/A</v>
      </c>
      <c r="M58" s="1592" t="e">
        <f>+VLOOKUP(C58,'BẢNG LƯƠNG KT'!C63:S81,15,0)</f>
        <v>#N/A</v>
      </c>
      <c r="N58" s="1592" t="e">
        <f t="shared" si="12"/>
        <v>#N/A</v>
      </c>
      <c r="O58" s="1592"/>
      <c r="P58" s="1592" t="e">
        <f t="shared" si="13"/>
        <v>#N/A</v>
      </c>
      <c r="Q58" s="1592"/>
      <c r="R58" s="1592"/>
      <c r="S58" s="1592" t="e">
        <f t="shared" si="14"/>
        <v>#N/A</v>
      </c>
      <c r="T58" s="1593"/>
    </row>
    <row r="59" spans="1:21" s="810" customFormat="1" ht="22.5" customHeight="1">
      <c r="A59" s="1587">
        <v>9</v>
      </c>
      <c r="B59" s="1588" t="s">
        <v>475</v>
      </c>
      <c r="C59" s="1565" t="str">
        <f>'Chấm công công nhân'!L57</f>
        <v>Thảo Đinh</v>
      </c>
      <c r="D59" s="1589"/>
      <c r="E59" s="1587" t="s">
        <v>40</v>
      </c>
      <c r="F59" s="1587" t="s">
        <v>273</v>
      </c>
      <c r="G59" s="1590" t="e">
        <f>+VLOOKUP(C59,'BẢNG LƯƠNG KT'!C64:G82,4,0)</f>
        <v>#N/A</v>
      </c>
      <c r="H59" s="1591">
        <v>25000</v>
      </c>
      <c r="I59" s="1587" t="s">
        <v>247</v>
      </c>
      <c r="J59" s="1587"/>
      <c r="K59" s="1679" t="e">
        <f t="shared" si="11"/>
        <v>#N/A</v>
      </c>
      <c r="L59" s="1592" t="e">
        <f>+VLOOKUP(C59,'BẢNG LƯƠNG KT'!C64:L82,10,0)</f>
        <v>#N/A</v>
      </c>
      <c r="M59" s="1592" t="e">
        <f>+VLOOKUP(C59,'BẢNG LƯƠNG KT'!C64:S82,15,0)</f>
        <v>#N/A</v>
      </c>
      <c r="N59" s="1592" t="e">
        <f t="shared" si="12"/>
        <v>#N/A</v>
      </c>
      <c r="O59" s="1592"/>
      <c r="P59" s="1592" t="e">
        <f t="shared" si="13"/>
        <v>#N/A</v>
      </c>
      <c r="Q59" s="1592"/>
      <c r="R59" s="1592"/>
      <c r="S59" s="1592" t="e">
        <f t="shared" si="14"/>
        <v>#N/A</v>
      </c>
      <c r="T59" s="1593"/>
    </row>
    <row r="60" spans="1:21" s="810" customFormat="1" ht="22.5" customHeight="1">
      <c r="A60" s="1587">
        <v>10</v>
      </c>
      <c r="B60" s="1588" t="s">
        <v>477</v>
      </c>
      <c r="C60" s="1565" t="str">
        <f>'Chấm công công nhân'!L58</f>
        <v>Thảo Vi</v>
      </c>
      <c r="D60" s="1589"/>
      <c r="E60" s="1587" t="s">
        <v>40</v>
      </c>
      <c r="F60" s="1587" t="s">
        <v>273</v>
      </c>
      <c r="G60" s="1590" t="e">
        <f>+VLOOKUP(C60,'BẢNG LƯƠNG KT'!C65:G83,4,0)</f>
        <v>#N/A</v>
      </c>
      <c r="H60" s="1591">
        <v>25000</v>
      </c>
      <c r="I60" s="1587" t="s">
        <v>247</v>
      </c>
      <c r="J60" s="1587"/>
      <c r="K60" s="1679" t="e">
        <f t="shared" si="11"/>
        <v>#N/A</v>
      </c>
      <c r="L60" s="1592" t="e">
        <f>+VLOOKUP(C60,'BẢNG LƯƠNG KT'!C65:L83,10,0)</f>
        <v>#N/A</v>
      </c>
      <c r="M60" s="1592" t="e">
        <f>+VLOOKUP(C60,'BẢNG LƯƠNG KT'!C65:S83,15,0)</f>
        <v>#N/A</v>
      </c>
      <c r="N60" s="1592" t="e">
        <f t="shared" si="12"/>
        <v>#N/A</v>
      </c>
      <c r="O60" s="1592"/>
      <c r="P60" s="1592" t="e">
        <f t="shared" si="13"/>
        <v>#N/A</v>
      </c>
      <c r="Q60" s="1592"/>
      <c r="R60" s="1592"/>
      <c r="S60" s="1592" t="e">
        <f t="shared" si="14"/>
        <v>#N/A</v>
      </c>
      <c r="T60" s="1593"/>
    </row>
    <row r="61" spans="1:21" s="810" customFormat="1" ht="22.5" customHeight="1">
      <c r="A61" s="1587">
        <v>11</v>
      </c>
      <c r="B61" s="1588"/>
      <c r="C61" s="1565" t="str">
        <f>'Chấm công công nhân'!L59</f>
        <v>Thảo Văn</v>
      </c>
      <c r="D61" s="1589"/>
      <c r="E61" s="1587" t="s">
        <v>40</v>
      </c>
      <c r="F61" s="1587" t="s">
        <v>273</v>
      </c>
      <c r="G61" s="1590" t="e">
        <f>+VLOOKUP(C61,'BẢNG LƯƠNG KT'!C66:G83,4,0)</f>
        <v>#N/A</v>
      </c>
      <c r="H61" s="1591">
        <v>25000</v>
      </c>
      <c r="I61" s="1587" t="s">
        <v>247</v>
      </c>
      <c r="J61" s="1587"/>
      <c r="K61" s="1679" t="e">
        <f t="shared" si="11"/>
        <v>#N/A</v>
      </c>
      <c r="L61" s="1592" t="e">
        <f>+VLOOKUP(C61,'BẢNG LƯƠNG KT'!C66:L83,10,0)</f>
        <v>#N/A</v>
      </c>
      <c r="M61" s="1592" t="e">
        <f>+VLOOKUP(C61,'BẢNG LƯƠNG KT'!C66:S83,15,0)</f>
        <v>#N/A</v>
      </c>
      <c r="N61" s="1592" t="e">
        <f t="shared" si="12"/>
        <v>#N/A</v>
      </c>
      <c r="O61" s="1592"/>
      <c r="P61" s="1592" t="e">
        <f t="shared" si="13"/>
        <v>#N/A</v>
      </c>
      <c r="Q61" s="1592"/>
      <c r="R61" s="1592"/>
      <c r="S61" s="1592" t="e">
        <f t="shared" si="14"/>
        <v>#N/A</v>
      </c>
      <c r="T61" s="1593"/>
    </row>
    <row r="62" spans="1:21" s="810" customFormat="1" ht="22.5" customHeight="1">
      <c r="A62" s="1587">
        <v>12</v>
      </c>
      <c r="B62" s="1588"/>
      <c r="C62" s="1565" t="str">
        <f>'Chấm công công nhân'!L60</f>
        <v>Nàng Phìn</v>
      </c>
      <c r="D62" s="1589"/>
      <c r="E62" s="1587" t="s">
        <v>40</v>
      </c>
      <c r="F62" s="1587" t="s">
        <v>273</v>
      </c>
      <c r="G62" s="1590" t="e">
        <f>+VLOOKUP(C62,'BẢNG LƯƠNG KT'!C67:G83,4,0)</f>
        <v>#N/A</v>
      </c>
      <c r="H62" s="1591">
        <v>25000</v>
      </c>
      <c r="I62" s="1587" t="s">
        <v>247</v>
      </c>
      <c r="J62" s="1587"/>
      <c r="K62" s="1679" t="e">
        <f t="shared" si="11"/>
        <v>#N/A</v>
      </c>
      <c r="L62" s="1592" t="e">
        <f>+VLOOKUP(C62,'BẢNG LƯƠNG KT'!C67:L83,10,0)</f>
        <v>#N/A</v>
      </c>
      <c r="M62" s="1592" t="e">
        <f>+VLOOKUP(C62,'BẢNG LƯƠNG KT'!C67:S83,15,0)</f>
        <v>#N/A</v>
      </c>
      <c r="N62" s="1592" t="e">
        <f t="shared" si="12"/>
        <v>#N/A</v>
      </c>
      <c r="O62" s="1592"/>
      <c r="P62" s="1592" t="e">
        <f t="shared" si="13"/>
        <v>#N/A</v>
      </c>
      <c r="Q62" s="1592"/>
      <c r="R62" s="1592"/>
      <c r="S62" s="1592" t="e">
        <f t="shared" si="14"/>
        <v>#N/A</v>
      </c>
      <c r="T62" s="1593"/>
    </row>
    <row r="63" spans="1:21" s="810" customFormat="1" ht="22.5" customHeight="1">
      <c r="A63" s="1587">
        <v>13</v>
      </c>
      <c r="B63" s="1588"/>
      <c r="C63" s="1565" t="str">
        <f>'Chấm công công nhân'!L61</f>
        <v>Mẹ Sột</v>
      </c>
      <c r="D63" s="1589"/>
      <c r="E63" s="1587" t="s">
        <v>40</v>
      </c>
      <c r="F63" s="1587" t="s">
        <v>273</v>
      </c>
      <c r="G63" s="1590" t="e">
        <f>+VLOOKUP(C63,'BẢNG LƯƠNG KT'!C68:G83,4,0)</f>
        <v>#N/A</v>
      </c>
      <c r="H63" s="1591">
        <v>25000</v>
      </c>
      <c r="I63" s="1587" t="s">
        <v>247</v>
      </c>
      <c r="J63" s="1587"/>
      <c r="K63" s="1679" t="e">
        <f t="shared" si="11"/>
        <v>#N/A</v>
      </c>
      <c r="L63" s="1592" t="e">
        <f>+VLOOKUP(C63,'BẢNG LƯƠNG KT'!C68:L83,10,0)</f>
        <v>#N/A</v>
      </c>
      <c r="M63" s="1592" t="e">
        <f>+VLOOKUP(C63,'BẢNG LƯƠNG KT'!C68:S83,15,0)</f>
        <v>#N/A</v>
      </c>
      <c r="N63" s="1592" t="e">
        <f t="shared" si="12"/>
        <v>#N/A</v>
      </c>
      <c r="O63" s="1592"/>
      <c r="P63" s="1592" t="e">
        <f t="shared" si="13"/>
        <v>#N/A</v>
      </c>
      <c r="Q63" s="1592"/>
      <c r="R63" s="1592"/>
      <c r="S63" s="1592" t="e">
        <f t="shared" si="14"/>
        <v>#N/A</v>
      </c>
      <c r="T63" s="1593"/>
    </row>
    <row r="64" spans="1:21" s="810" customFormat="1" ht="22.5" customHeight="1">
      <c r="A64" s="1587">
        <v>14</v>
      </c>
      <c r="B64" s="1588"/>
      <c r="C64" s="1565" t="str">
        <f>'Chấm công công nhân'!L62</f>
        <v>Nàng Heo</v>
      </c>
      <c r="D64" s="1589"/>
      <c r="E64" s="1587" t="s">
        <v>40</v>
      </c>
      <c r="F64" s="1587" t="s">
        <v>273</v>
      </c>
      <c r="G64" s="1590" t="e">
        <f>+VLOOKUP(C64,'BẢNG LƯƠNG KT'!C69:G83,4,0)</f>
        <v>#N/A</v>
      </c>
      <c r="H64" s="1591">
        <v>25000</v>
      </c>
      <c r="I64" s="1587" t="s">
        <v>247</v>
      </c>
      <c r="J64" s="1587"/>
      <c r="K64" s="1679" t="e">
        <f t="shared" si="11"/>
        <v>#N/A</v>
      </c>
      <c r="L64" s="1592" t="e">
        <f>+VLOOKUP(C64,'BẢNG LƯƠNG KT'!C69:L83,10,0)</f>
        <v>#N/A</v>
      </c>
      <c r="M64" s="1592" t="e">
        <f>+VLOOKUP(C64,'BẢNG LƯƠNG KT'!C69:S83,15,0)</f>
        <v>#N/A</v>
      </c>
      <c r="N64" s="1592" t="e">
        <f t="shared" si="12"/>
        <v>#N/A</v>
      </c>
      <c r="O64" s="1592"/>
      <c r="P64" s="1592" t="e">
        <f t="shared" si="13"/>
        <v>#N/A</v>
      </c>
      <c r="Q64" s="1592"/>
      <c r="R64" s="1592"/>
      <c r="S64" s="1592" t="e">
        <f t="shared" si="14"/>
        <v>#N/A</v>
      </c>
      <c r="T64" s="1593"/>
    </row>
    <row r="65" spans="1:24" s="810" customFormat="1" ht="22.5" customHeight="1">
      <c r="A65" s="1587">
        <v>15</v>
      </c>
      <c r="B65" s="1588"/>
      <c r="C65" s="1565" t="str">
        <f>'Chấm công công nhân'!L63</f>
        <v>Thảo Chăn Ti</v>
      </c>
      <c r="D65" s="1589"/>
      <c r="E65" s="1587" t="s">
        <v>40</v>
      </c>
      <c r="F65" s="1587" t="s">
        <v>273</v>
      </c>
      <c r="G65" s="1590" t="e">
        <f>+VLOOKUP(C65,'BẢNG LƯƠNG KT'!C70:G83,4,0)</f>
        <v>#N/A</v>
      </c>
      <c r="H65" s="1591">
        <v>25000</v>
      </c>
      <c r="I65" s="1587" t="s">
        <v>247</v>
      </c>
      <c r="J65" s="1587"/>
      <c r="K65" s="1679" t="e">
        <f t="shared" si="11"/>
        <v>#N/A</v>
      </c>
      <c r="L65" s="1592" t="e">
        <f>+VLOOKUP(C65,'BẢNG LƯƠNG KT'!C70:L83,10,0)</f>
        <v>#N/A</v>
      </c>
      <c r="M65" s="1592" t="e">
        <f>+VLOOKUP(C65,'BẢNG LƯƠNG KT'!C70:S83,15,0)</f>
        <v>#N/A</v>
      </c>
      <c r="N65" s="1592" t="e">
        <f t="shared" si="12"/>
        <v>#N/A</v>
      </c>
      <c r="O65" s="1592"/>
      <c r="P65" s="1592" t="e">
        <f t="shared" si="13"/>
        <v>#N/A</v>
      </c>
      <c r="Q65" s="1592"/>
      <c r="R65" s="1592"/>
      <c r="S65" s="1592" t="e">
        <f t="shared" si="14"/>
        <v>#N/A</v>
      </c>
      <c r="T65" s="1593"/>
    </row>
    <row r="66" spans="1:24" s="810" customFormat="1" ht="22.5" customHeight="1">
      <c r="A66" s="1587">
        <v>16</v>
      </c>
      <c r="B66" s="1588"/>
      <c r="C66" s="1565" t="e">
        <f>'Chấm công công nhân'!#REF!</f>
        <v>#REF!</v>
      </c>
      <c r="D66" s="1589"/>
      <c r="E66" s="1587" t="s">
        <v>40</v>
      </c>
      <c r="F66" s="1587" t="s">
        <v>790</v>
      </c>
      <c r="G66" s="1590" t="e">
        <f>+VLOOKUP(C66,'BẢNG LƯƠNG KT'!C75:G93,4,0)</f>
        <v>#REF!</v>
      </c>
      <c r="H66" s="1591">
        <v>25000</v>
      </c>
      <c r="I66" s="1587" t="s">
        <v>247</v>
      </c>
      <c r="J66" s="1587"/>
      <c r="K66" s="1679" t="e">
        <f t="shared" si="11"/>
        <v>#REF!</v>
      </c>
      <c r="L66" s="1592" t="e">
        <f>+VLOOKUP(C66,'BẢNG LƯƠNG KT'!C75:L93,10,0)</f>
        <v>#REF!</v>
      </c>
      <c r="M66" s="1592" t="e">
        <f>+VLOOKUP(C66,'BẢNG LƯƠNG KT'!C75:S83,15,0)</f>
        <v>#REF!</v>
      </c>
      <c r="N66" s="1592" t="e">
        <f t="shared" si="12"/>
        <v>#REF!</v>
      </c>
      <c r="O66" s="1592"/>
      <c r="P66" s="1592" t="e">
        <f t="shared" si="13"/>
        <v>#REF!</v>
      </c>
      <c r="Q66" s="1592"/>
      <c r="R66" s="1592"/>
      <c r="S66" s="1592" t="e">
        <f t="shared" si="14"/>
        <v>#REF!</v>
      </c>
      <c r="T66" s="1593"/>
    </row>
    <row r="67" spans="1:24" s="1668" customFormat="1" ht="22.5" customHeight="1">
      <c r="A67" s="1673"/>
      <c r="B67" s="4741" t="s">
        <v>371</v>
      </c>
      <c r="C67" s="4741"/>
      <c r="D67" s="1669"/>
      <c r="E67" s="1669"/>
      <c r="F67" s="1669"/>
      <c r="G67" s="1674" t="e">
        <f>SUM(G68:G82)</f>
        <v>#N/A</v>
      </c>
      <c r="H67" s="1671"/>
      <c r="I67" s="1671"/>
      <c r="J67" s="1671"/>
      <c r="K67" s="1680"/>
      <c r="L67" s="1672" t="e">
        <f t="shared" ref="L67:R67" si="15">SUM(L68:L82)</f>
        <v>#N/A</v>
      </c>
      <c r="M67" s="1672" t="e">
        <f t="shared" si="15"/>
        <v>#N/A</v>
      </c>
      <c r="N67" s="1672" t="e">
        <f t="shared" si="15"/>
        <v>#N/A</v>
      </c>
      <c r="O67" s="1672">
        <f t="shared" si="15"/>
        <v>0</v>
      </c>
      <c r="P67" s="1672" t="e">
        <f t="shared" si="15"/>
        <v>#N/A</v>
      </c>
      <c r="Q67" s="1672">
        <f t="shared" si="15"/>
        <v>0</v>
      </c>
      <c r="R67" s="1672">
        <f t="shared" si="15"/>
        <v>0</v>
      </c>
      <c r="S67" s="1672" t="e">
        <f>SUM(S68:S83)</f>
        <v>#N/A</v>
      </c>
      <c r="T67" s="1675"/>
    </row>
    <row r="68" spans="1:24" s="810" customFormat="1" ht="22.5" customHeight="1">
      <c r="A68" s="1587">
        <v>1</v>
      </c>
      <c r="B68" s="1588" t="s">
        <v>482</v>
      </c>
      <c r="C68" s="1612" t="str">
        <f>'Chấm công công nhân'!L65</f>
        <v>Nàng Phết</v>
      </c>
      <c r="D68" s="1589"/>
      <c r="E68" s="1587" t="s">
        <v>40</v>
      </c>
      <c r="F68" s="1587" t="s">
        <v>790</v>
      </c>
      <c r="G68" s="1590" t="e">
        <f>+VLOOKUP(C68,'BẢNG LƯƠNG KT'!C77:G95,4,0)</f>
        <v>#N/A</v>
      </c>
      <c r="H68" s="1591">
        <v>25000</v>
      </c>
      <c r="I68" s="1587" t="s">
        <v>247</v>
      </c>
      <c r="J68" s="1587"/>
      <c r="K68" s="1679" t="e">
        <f>+G68*H68</f>
        <v>#N/A</v>
      </c>
      <c r="L68" s="1592" t="e">
        <f>+VLOOKUP(C68,'BẢNG LƯƠNG KT'!C77:L77,10,0)</f>
        <v>#N/A</v>
      </c>
      <c r="M68" s="1592" t="e">
        <f>+VLOOKUP(C68,'BẢNG LƯƠNG KT'!C77:S83,15,0)</f>
        <v>#N/A</v>
      </c>
      <c r="N68" s="1592" t="e">
        <f t="shared" ref="N68:N82" si="16">SUM(K68:M68)</f>
        <v>#N/A</v>
      </c>
      <c r="O68" s="1592"/>
      <c r="P68" s="1592" t="e">
        <f>N68</f>
        <v>#N/A</v>
      </c>
      <c r="Q68" s="1592"/>
      <c r="R68" s="1592"/>
      <c r="S68" s="1592" t="e">
        <f>+P68-Q68-R68</f>
        <v>#N/A</v>
      </c>
      <c r="T68" s="1593"/>
      <c r="X68" s="893"/>
    </row>
    <row r="69" spans="1:24" s="810" customFormat="1" ht="22.5" customHeight="1">
      <c r="A69" s="1587">
        <v>2</v>
      </c>
      <c r="B69" s="1588" t="s">
        <v>484</v>
      </c>
      <c r="C69" s="1612" t="str">
        <f>'Chấm công công nhân'!L66</f>
        <v>Thảo On</v>
      </c>
      <c r="D69" s="1589"/>
      <c r="E69" s="1587" t="s">
        <v>40</v>
      </c>
      <c r="F69" s="1587" t="s">
        <v>790</v>
      </c>
      <c r="G69" s="1590" t="e">
        <f>+VLOOKUP(C69,'BẢNG LƯƠNG KT'!C77:G95,4,0)</f>
        <v>#N/A</v>
      </c>
      <c r="H69" s="1591">
        <v>25000</v>
      </c>
      <c r="I69" s="1587" t="s">
        <v>247</v>
      </c>
      <c r="J69" s="1587"/>
      <c r="K69" s="1679" t="e">
        <f t="shared" ref="K69:K82" si="17">+G69*H69</f>
        <v>#N/A</v>
      </c>
      <c r="L69" s="1592" t="e">
        <f>+VLOOKUP(C69,'BẢNG LƯƠNG KT'!C78:L78,10,0)</f>
        <v>#N/A</v>
      </c>
      <c r="M69" s="1592" t="e">
        <f>+VLOOKUP(C69,'BẢNG LƯƠNG KT'!C78:S93,15,0)</f>
        <v>#N/A</v>
      </c>
      <c r="N69" s="1592" t="e">
        <f t="shared" si="16"/>
        <v>#N/A</v>
      </c>
      <c r="O69" s="1592"/>
      <c r="P69" s="1592" t="e">
        <f t="shared" ref="P69:P82" si="18">N69</f>
        <v>#N/A</v>
      </c>
      <c r="Q69" s="1592"/>
      <c r="R69" s="1592"/>
      <c r="S69" s="1592" t="e">
        <f t="shared" ref="S69:S82" si="19">+P69-Q69-R69</f>
        <v>#N/A</v>
      </c>
      <c r="T69" s="1593"/>
      <c r="X69" s="893"/>
    </row>
    <row r="70" spans="1:24" s="810" customFormat="1" ht="22.5" customHeight="1">
      <c r="A70" s="1587">
        <v>3</v>
      </c>
      <c r="B70" s="1588" t="s">
        <v>486</v>
      </c>
      <c r="C70" s="1612" t="str">
        <f>'Chấm công công nhân'!L67</f>
        <v>Thảo Sum</v>
      </c>
      <c r="D70" s="1589"/>
      <c r="E70" s="1587" t="s">
        <v>40</v>
      </c>
      <c r="F70" s="1587" t="s">
        <v>790</v>
      </c>
      <c r="G70" s="1590" t="e">
        <f>+VLOOKUP(C70,'BẢNG LƯƠNG KT'!C79:G94,4,0)</f>
        <v>#N/A</v>
      </c>
      <c r="H70" s="1591">
        <v>25000</v>
      </c>
      <c r="I70" s="1587" t="s">
        <v>247</v>
      </c>
      <c r="J70" s="1587"/>
      <c r="K70" s="1679" t="e">
        <f t="shared" si="17"/>
        <v>#N/A</v>
      </c>
      <c r="L70" s="1592" t="e">
        <f>+VLOOKUP(C70,'BẢNG LƯƠNG KT'!C79:L79,10,0)</f>
        <v>#N/A</v>
      </c>
      <c r="M70" s="1592" t="e">
        <f>+VLOOKUP(C70,'BẢNG LƯƠNG KT'!C79:S94,15,0)</f>
        <v>#N/A</v>
      </c>
      <c r="N70" s="1592" t="e">
        <f t="shared" si="16"/>
        <v>#N/A</v>
      </c>
      <c r="O70" s="1592"/>
      <c r="P70" s="1592" t="e">
        <f t="shared" si="18"/>
        <v>#N/A</v>
      </c>
      <c r="Q70" s="1592"/>
      <c r="R70" s="1592"/>
      <c r="S70" s="1592" t="e">
        <f t="shared" si="19"/>
        <v>#N/A</v>
      </c>
      <c r="T70" s="1593"/>
      <c r="X70" s="893"/>
    </row>
    <row r="71" spans="1:24" s="810" customFormat="1" ht="22.5" customHeight="1">
      <c r="A71" s="1587">
        <v>4</v>
      </c>
      <c r="B71" s="1588" t="s">
        <v>488</v>
      </c>
      <c r="C71" s="1612" t="str">
        <f>'Chấm công công nhân'!L68</f>
        <v>Cha La</v>
      </c>
      <c r="D71" s="1589"/>
      <c r="E71" s="1587" t="s">
        <v>40</v>
      </c>
      <c r="F71" s="1587" t="s">
        <v>790</v>
      </c>
      <c r="G71" s="1590" t="e">
        <f>+VLOOKUP(C71,'BẢNG LƯƠNG KT'!C80:G95,4,0)</f>
        <v>#N/A</v>
      </c>
      <c r="H71" s="1591">
        <v>25000</v>
      </c>
      <c r="I71" s="1587" t="s">
        <v>247</v>
      </c>
      <c r="J71" s="1587"/>
      <c r="K71" s="1679" t="e">
        <f t="shared" si="17"/>
        <v>#N/A</v>
      </c>
      <c r="L71" s="1592" t="e">
        <f>+VLOOKUP(C71,'BẢNG LƯƠNG KT'!C80:L80,10,0)</f>
        <v>#N/A</v>
      </c>
      <c r="M71" s="1592" t="e">
        <f>+VLOOKUP(C71,'BẢNG LƯƠNG KT'!C80:S95,15,0)</f>
        <v>#N/A</v>
      </c>
      <c r="N71" s="1592" t="e">
        <f t="shared" si="16"/>
        <v>#N/A</v>
      </c>
      <c r="O71" s="1592"/>
      <c r="P71" s="1592" t="e">
        <f t="shared" si="18"/>
        <v>#N/A</v>
      </c>
      <c r="Q71" s="1592"/>
      <c r="R71" s="1592"/>
      <c r="S71" s="1592" t="e">
        <f t="shared" si="19"/>
        <v>#N/A</v>
      </c>
      <c r="T71" s="1593"/>
    </row>
    <row r="72" spans="1:24" s="810" customFormat="1" ht="22.5" customHeight="1">
      <c r="A72" s="1587">
        <v>5</v>
      </c>
      <c r="B72" s="1588" t="s">
        <v>490</v>
      </c>
      <c r="C72" s="1612" t="str">
        <f>'Chấm công công nhân'!L69</f>
        <v>Nàng Binh</v>
      </c>
      <c r="D72" s="1589"/>
      <c r="E72" s="1587" t="s">
        <v>40</v>
      </c>
      <c r="F72" s="1587" t="s">
        <v>790</v>
      </c>
      <c r="G72" s="1590" t="e">
        <f>+VLOOKUP(C72,'BẢNG LƯƠNG KT'!C81:G96,4,0)</f>
        <v>#N/A</v>
      </c>
      <c r="H72" s="1591">
        <v>25000</v>
      </c>
      <c r="I72" s="1587" t="s">
        <v>247</v>
      </c>
      <c r="J72" s="1587"/>
      <c r="K72" s="1679" t="e">
        <f t="shared" si="17"/>
        <v>#N/A</v>
      </c>
      <c r="L72" s="1592" t="e">
        <f>+VLOOKUP(C72,'BẢNG LƯƠNG KT'!C81:L81,10,0)</f>
        <v>#N/A</v>
      </c>
      <c r="M72" s="1592" t="e">
        <f>+VLOOKUP(C72,'BẢNG LƯƠNG KT'!C81:S96,15,0)</f>
        <v>#N/A</v>
      </c>
      <c r="N72" s="1592" t="e">
        <f t="shared" si="16"/>
        <v>#N/A</v>
      </c>
      <c r="O72" s="1592"/>
      <c r="P72" s="1592" t="e">
        <f t="shared" si="18"/>
        <v>#N/A</v>
      </c>
      <c r="Q72" s="1592"/>
      <c r="R72" s="1592"/>
      <c r="S72" s="1592" t="e">
        <f t="shared" si="19"/>
        <v>#N/A</v>
      </c>
      <c r="T72" s="1593"/>
      <c r="X72" s="893"/>
    </row>
    <row r="73" spans="1:24" s="810" customFormat="1" ht="22.5" customHeight="1">
      <c r="A73" s="1587">
        <v>6</v>
      </c>
      <c r="B73" s="1588" t="s">
        <v>492</v>
      </c>
      <c r="C73" s="1612">
        <f>'Chấm công công nhân'!L70</f>
        <v>0</v>
      </c>
      <c r="D73" s="1589"/>
      <c r="E73" s="1587" t="s">
        <v>40</v>
      </c>
      <c r="F73" s="1587" t="s">
        <v>790</v>
      </c>
      <c r="G73" s="1590" t="e">
        <f>+VLOOKUP(C73,'BẢNG LƯƠNG KT'!C82:G97,4,0)</f>
        <v>#N/A</v>
      </c>
      <c r="H73" s="1591">
        <v>25000</v>
      </c>
      <c r="I73" s="1587" t="s">
        <v>247</v>
      </c>
      <c r="J73" s="1587"/>
      <c r="K73" s="1679" t="e">
        <f t="shared" si="17"/>
        <v>#N/A</v>
      </c>
      <c r="L73" s="1592" t="e">
        <f>+VLOOKUP(C73,'BẢNG LƯƠNG KT'!C82:L82,10,0)</f>
        <v>#N/A</v>
      </c>
      <c r="M73" s="1592" t="e">
        <f>+VLOOKUP(C73,'BẢNG LƯƠNG KT'!C82:S97,15,0)</f>
        <v>#N/A</v>
      </c>
      <c r="N73" s="1592" t="e">
        <f t="shared" si="16"/>
        <v>#N/A</v>
      </c>
      <c r="O73" s="1592"/>
      <c r="P73" s="1592" t="e">
        <f t="shared" si="18"/>
        <v>#N/A</v>
      </c>
      <c r="Q73" s="1592"/>
      <c r="R73" s="1592"/>
      <c r="S73" s="1592" t="e">
        <f>+P73-Q73-R73</f>
        <v>#N/A</v>
      </c>
      <c r="T73" s="1593"/>
      <c r="X73" s="893"/>
    </row>
    <row r="74" spans="1:24" s="810" customFormat="1" ht="22.5" customHeight="1">
      <c r="A74" s="1587">
        <v>7</v>
      </c>
      <c r="B74" s="1588" t="s">
        <v>494</v>
      </c>
      <c r="C74" s="1612" t="str">
        <f>'Chấm công công nhân'!L71</f>
        <v>Thảo Bun</v>
      </c>
      <c r="D74" s="1589"/>
      <c r="E74" s="1587" t="s">
        <v>40</v>
      </c>
      <c r="F74" s="1587" t="s">
        <v>790</v>
      </c>
      <c r="G74" s="1590" t="e">
        <f>+VLOOKUP(C74,'BẢNG LƯƠNG KT'!C83:G98,4,0)</f>
        <v>#N/A</v>
      </c>
      <c r="H74" s="1591">
        <v>25000</v>
      </c>
      <c r="I74" s="1587" t="s">
        <v>247</v>
      </c>
      <c r="J74" s="1587"/>
      <c r="K74" s="1679" t="e">
        <f t="shared" si="17"/>
        <v>#N/A</v>
      </c>
      <c r="L74" s="1592" t="e">
        <f>+VLOOKUP(C74,'BẢNG LƯƠNG KT'!C83:L83,10,0)</f>
        <v>#N/A</v>
      </c>
      <c r="M74" s="1592" t="e">
        <f>+VLOOKUP(C74,'BẢNG LƯƠNG KT'!C83:S98,15,0)</f>
        <v>#N/A</v>
      </c>
      <c r="N74" s="1592" t="e">
        <f t="shared" si="16"/>
        <v>#N/A</v>
      </c>
      <c r="O74" s="1592"/>
      <c r="P74" s="1592" t="e">
        <f t="shared" si="18"/>
        <v>#N/A</v>
      </c>
      <c r="Q74" s="1592"/>
      <c r="R74" s="1592"/>
      <c r="S74" s="1592" t="e">
        <f t="shared" si="19"/>
        <v>#N/A</v>
      </c>
      <c r="T74" s="1593"/>
    </row>
    <row r="75" spans="1:24" s="810" customFormat="1" ht="22.5" hidden="1" customHeight="1">
      <c r="A75" s="1587">
        <v>8</v>
      </c>
      <c r="B75" s="1588" t="s">
        <v>496</v>
      </c>
      <c r="C75" s="1612" t="str">
        <f>'Chấm công công nhân'!L72</f>
        <v>Thảo Nga</v>
      </c>
      <c r="D75" s="1589"/>
      <c r="E75" s="1587" t="s">
        <v>40</v>
      </c>
      <c r="F75" s="1587" t="s">
        <v>790</v>
      </c>
      <c r="G75" s="1590" t="e">
        <f>+VLOOKUP(C75,'BẢNG LƯƠNG KT'!C93:G99,4,0)</f>
        <v>#N/A</v>
      </c>
      <c r="H75" s="1591">
        <v>25000</v>
      </c>
      <c r="I75" s="1587" t="s">
        <v>247</v>
      </c>
      <c r="J75" s="1587"/>
      <c r="K75" s="1679" t="e">
        <f t="shared" si="17"/>
        <v>#N/A</v>
      </c>
      <c r="L75" s="1603" t="e">
        <f>+VLOOKUP(C75,'BẢNG LƯƠNG KT'!#REF!,10,0)</f>
        <v>#REF!</v>
      </c>
      <c r="M75" s="1592" t="e">
        <f>+VLOOKUP(C75,'BẢNG LƯƠNG KT'!C93:S99,15,0)</f>
        <v>#N/A</v>
      </c>
      <c r="N75" s="1592" t="e">
        <f t="shared" si="16"/>
        <v>#N/A</v>
      </c>
      <c r="O75" s="1592"/>
      <c r="P75" s="1592" t="e">
        <f t="shared" si="18"/>
        <v>#N/A</v>
      </c>
      <c r="Q75" s="1592"/>
      <c r="R75" s="1592"/>
      <c r="S75" s="1592" t="e">
        <f t="shared" si="19"/>
        <v>#N/A</v>
      </c>
      <c r="T75" s="1593"/>
    </row>
    <row r="76" spans="1:24" s="810" customFormat="1" ht="22.5" hidden="1" customHeight="1">
      <c r="A76" s="1587">
        <v>9</v>
      </c>
      <c r="B76" s="1588" t="s">
        <v>497</v>
      </c>
      <c r="C76" s="1612" t="str">
        <f>'Chấm công công nhân'!L73</f>
        <v>Thảo Tia</v>
      </c>
      <c r="D76" s="1589"/>
      <c r="E76" s="1587" t="s">
        <v>40</v>
      </c>
      <c r="F76" s="1587" t="s">
        <v>790</v>
      </c>
      <c r="G76" s="1590" t="e">
        <f>+VLOOKUP(C76,'BẢNG LƯƠNG KT'!C93:G100,4,0)</f>
        <v>#N/A</v>
      </c>
      <c r="H76" s="1591">
        <v>25000</v>
      </c>
      <c r="I76" s="1587" t="s">
        <v>247</v>
      </c>
      <c r="J76" s="1587"/>
      <c r="K76" s="1679" t="e">
        <f t="shared" si="17"/>
        <v>#N/A</v>
      </c>
      <c r="L76" s="1603" t="e">
        <f>+VLOOKUP(C76,'BẢNG LƯƠNG KT'!#REF!,10,0)</f>
        <v>#REF!</v>
      </c>
      <c r="M76" s="1592" t="e">
        <f>+VLOOKUP(C76,'BẢNG LƯƠNG KT'!C93:S100,15,0)</f>
        <v>#N/A</v>
      </c>
      <c r="N76" s="1592" t="e">
        <f t="shared" si="16"/>
        <v>#N/A</v>
      </c>
      <c r="O76" s="1592"/>
      <c r="P76" s="1592" t="e">
        <f t="shared" si="18"/>
        <v>#N/A</v>
      </c>
      <c r="Q76" s="1592"/>
      <c r="R76" s="1592"/>
      <c r="S76" s="1592" t="e">
        <f t="shared" si="19"/>
        <v>#N/A</v>
      </c>
      <c r="T76" s="1593"/>
    </row>
    <row r="77" spans="1:24" s="810" customFormat="1" ht="22.5" hidden="1" customHeight="1">
      <c r="A77" s="1587">
        <v>10</v>
      </c>
      <c r="B77" s="1588" t="s">
        <v>499</v>
      </c>
      <c r="C77" s="1612" t="str">
        <f>'Chấm công công nhân'!L74</f>
        <v>Thảo Nuy</v>
      </c>
      <c r="D77" s="1589"/>
      <c r="E77" s="1587" t="s">
        <v>40</v>
      </c>
      <c r="F77" s="1587" t="s">
        <v>790</v>
      </c>
      <c r="G77" s="1590" t="e">
        <f>+VLOOKUP(C77,'BẢNG LƯƠNG KT'!C93:G101,4,0)</f>
        <v>#N/A</v>
      </c>
      <c r="H77" s="1591">
        <v>25000</v>
      </c>
      <c r="I77" s="1587" t="s">
        <v>247</v>
      </c>
      <c r="J77" s="1587"/>
      <c r="K77" s="1679" t="e">
        <f t="shared" si="17"/>
        <v>#N/A</v>
      </c>
      <c r="L77" s="1603" t="e">
        <f>+VLOOKUP(C77,'BẢNG LƯƠNG KT'!#REF!,10,0)</f>
        <v>#REF!</v>
      </c>
      <c r="M77" s="1592" t="e">
        <f>+VLOOKUP(C77,'BẢNG LƯƠNG KT'!C93:S101,15,0)</f>
        <v>#N/A</v>
      </c>
      <c r="N77" s="1592" t="e">
        <f t="shared" si="16"/>
        <v>#N/A</v>
      </c>
      <c r="O77" s="1592"/>
      <c r="P77" s="1592" t="e">
        <f t="shared" si="18"/>
        <v>#N/A</v>
      </c>
      <c r="Q77" s="1592"/>
      <c r="R77" s="1592"/>
      <c r="S77" s="1592" t="e">
        <f t="shared" si="19"/>
        <v>#N/A</v>
      </c>
      <c r="T77" s="1593"/>
    </row>
    <row r="78" spans="1:24" s="810" customFormat="1" ht="22.5" hidden="1" customHeight="1">
      <c r="A78" s="1587">
        <v>11</v>
      </c>
      <c r="B78" s="1588" t="s">
        <v>500</v>
      </c>
      <c r="C78" s="1612" t="str">
        <f>'Chấm công công nhân'!L75</f>
        <v>Thảo Xay</v>
      </c>
      <c r="D78" s="1589"/>
      <c r="E78" s="1587" t="s">
        <v>40</v>
      </c>
      <c r="F78" s="1587" t="s">
        <v>790</v>
      </c>
      <c r="G78" s="1590" t="e">
        <f>+VLOOKUP(C78,'BẢNG LƯƠNG KT'!C93:G102,4,0)</f>
        <v>#N/A</v>
      </c>
      <c r="H78" s="1591">
        <v>25000</v>
      </c>
      <c r="I78" s="1587" t="s">
        <v>247</v>
      </c>
      <c r="J78" s="1587"/>
      <c r="K78" s="1679" t="e">
        <f t="shared" si="17"/>
        <v>#N/A</v>
      </c>
      <c r="L78" s="1603" t="e">
        <f>+VLOOKUP(C78,'BẢNG LƯƠNG KT'!#REF!,10,0)</f>
        <v>#REF!</v>
      </c>
      <c r="M78" s="1592" t="e">
        <f>+VLOOKUP(C78,'BẢNG LƯƠNG KT'!C93:S102,15,0)</f>
        <v>#N/A</v>
      </c>
      <c r="N78" s="1592" t="e">
        <f t="shared" si="16"/>
        <v>#N/A</v>
      </c>
      <c r="O78" s="1592"/>
      <c r="P78" s="1592" t="e">
        <f t="shared" si="18"/>
        <v>#N/A</v>
      </c>
      <c r="Q78" s="1592"/>
      <c r="R78" s="1592"/>
      <c r="S78" s="1592" t="e">
        <f t="shared" si="19"/>
        <v>#N/A</v>
      </c>
      <c r="T78" s="1593"/>
    </row>
    <row r="79" spans="1:24" s="810" customFormat="1" ht="22.5" hidden="1" customHeight="1">
      <c r="A79" s="1587">
        <v>12</v>
      </c>
      <c r="B79" s="1588" t="s">
        <v>502</v>
      </c>
      <c r="C79" s="1612" t="str">
        <f>'Chấm công công nhân'!L76</f>
        <v>Nàng Nọi</v>
      </c>
      <c r="D79" s="1589"/>
      <c r="E79" s="1587" t="s">
        <v>40</v>
      </c>
      <c r="F79" s="1587" t="s">
        <v>790</v>
      </c>
      <c r="G79" s="1590" t="e">
        <f>+VLOOKUP(C79,'BẢNG LƯƠNG KT'!C93:G103,4,0)</f>
        <v>#N/A</v>
      </c>
      <c r="H79" s="1591">
        <v>25000</v>
      </c>
      <c r="I79" s="1587" t="s">
        <v>247</v>
      </c>
      <c r="J79" s="1587"/>
      <c r="K79" s="1679" t="e">
        <f t="shared" si="17"/>
        <v>#N/A</v>
      </c>
      <c r="L79" s="1603" t="e">
        <f>+VLOOKUP(C79,'BẢNG LƯƠNG KT'!#REF!,10,0)</f>
        <v>#REF!</v>
      </c>
      <c r="M79" s="1592" t="e">
        <f>+VLOOKUP(C79,'BẢNG LƯƠNG KT'!C93:S103,15,0)</f>
        <v>#N/A</v>
      </c>
      <c r="N79" s="1592" t="e">
        <f t="shared" si="16"/>
        <v>#N/A</v>
      </c>
      <c r="O79" s="1592"/>
      <c r="P79" s="1592" t="e">
        <f t="shared" si="18"/>
        <v>#N/A</v>
      </c>
      <c r="Q79" s="1592"/>
      <c r="R79" s="1592"/>
      <c r="S79" s="1592" t="e">
        <f t="shared" si="19"/>
        <v>#N/A</v>
      </c>
      <c r="T79" s="1593"/>
    </row>
    <row r="80" spans="1:24" s="810" customFormat="1" ht="22.5" hidden="1" customHeight="1">
      <c r="A80" s="1587">
        <v>13</v>
      </c>
      <c r="B80" s="1588" t="s">
        <v>504</v>
      </c>
      <c r="C80" s="1612" t="str">
        <f>'Chấm công công nhân'!L77</f>
        <v>Thảo Khon</v>
      </c>
      <c r="D80" s="1589"/>
      <c r="E80" s="1587" t="s">
        <v>40</v>
      </c>
      <c r="F80" s="1587" t="s">
        <v>790</v>
      </c>
      <c r="G80" s="1590" t="e">
        <f>+VLOOKUP(C80,'BẢNG LƯƠNG KT'!C93:G104,4,0)</f>
        <v>#N/A</v>
      </c>
      <c r="H80" s="1591">
        <v>25000</v>
      </c>
      <c r="I80" s="1587" t="s">
        <v>247</v>
      </c>
      <c r="J80" s="1587"/>
      <c r="K80" s="1679" t="e">
        <f t="shared" si="17"/>
        <v>#N/A</v>
      </c>
      <c r="L80" s="1603" t="e">
        <f>+VLOOKUP(C80,'BẢNG LƯƠNG KT'!#REF!,10,0)</f>
        <v>#REF!</v>
      </c>
      <c r="M80" s="1592" t="e">
        <f>+VLOOKUP(C80,'BẢNG LƯƠNG KT'!C93:S104,15,0)</f>
        <v>#N/A</v>
      </c>
      <c r="N80" s="1592" t="e">
        <f t="shared" si="16"/>
        <v>#N/A</v>
      </c>
      <c r="O80" s="1592"/>
      <c r="P80" s="1592" t="e">
        <f t="shared" si="18"/>
        <v>#N/A</v>
      </c>
      <c r="Q80" s="1592"/>
      <c r="R80" s="1592"/>
      <c r="S80" s="1592" t="e">
        <f t="shared" si="19"/>
        <v>#N/A</v>
      </c>
      <c r="T80" s="1593"/>
    </row>
    <row r="81" spans="1:28" s="810" customFormat="1" ht="22.5" hidden="1" customHeight="1">
      <c r="A81" s="1587">
        <v>14</v>
      </c>
      <c r="B81" s="1588"/>
      <c r="C81" s="1612" t="str">
        <f>'Chấm công công nhân'!L78</f>
        <v>Thảo Tưng</v>
      </c>
      <c r="D81" s="1589"/>
      <c r="E81" s="1587" t="s">
        <v>40</v>
      </c>
      <c r="F81" s="1587" t="s">
        <v>790</v>
      </c>
      <c r="G81" s="1590" t="e">
        <f>+VLOOKUP(C81,'BẢNG LƯƠNG KT'!C93:G105,4,0)</f>
        <v>#N/A</v>
      </c>
      <c r="H81" s="1591">
        <v>25000</v>
      </c>
      <c r="I81" s="1587" t="s">
        <v>247</v>
      </c>
      <c r="J81" s="1587"/>
      <c r="K81" s="1679" t="e">
        <f t="shared" si="17"/>
        <v>#N/A</v>
      </c>
      <c r="L81" s="1603" t="e">
        <f>+VLOOKUP(C81,'BẢNG LƯƠNG KT'!#REF!,10,0)</f>
        <v>#REF!</v>
      </c>
      <c r="M81" s="1592" t="e">
        <f>+VLOOKUP(C81,'BẢNG LƯƠNG KT'!C93:S105,15,0)</f>
        <v>#N/A</v>
      </c>
      <c r="N81" s="1592" t="e">
        <f t="shared" si="16"/>
        <v>#N/A</v>
      </c>
      <c r="O81" s="1592"/>
      <c r="P81" s="1592" t="e">
        <f t="shared" si="18"/>
        <v>#N/A</v>
      </c>
      <c r="Q81" s="1592"/>
      <c r="R81" s="1592"/>
      <c r="S81" s="1592" t="e">
        <f t="shared" si="19"/>
        <v>#N/A</v>
      </c>
      <c r="T81" s="1593"/>
    </row>
    <row r="82" spans="1:28" s="810" customFormat="1" ht="22.5" hidden="1" customHeight="1">
      <c r="A82" s="1587">
        <v>15</v>
      </c>
      <c r="B82" s="1588"/>
      <c r="C82" s="1612" t="str">
        <f>'Chấm công công nhân'!L79</f>
        <v>Thảo Bắt</v>
      </c>
      <c r="D82" s="1589"/>
      <c r="E82" s="1587" t="s">
        <v>40</v>
      </c>
      <c r="F82" s="1587" t="s">
        <v>790</v>
      </c>
      <c r="G82" s="1590" t="e">
        <f>+VLOOKUP(C82,'BẢNG LƯƠNG KT'!C93:G106,4,0)</f>
        <v>#N/A</v>
      </c>
      <c r="H82" s="1591">
        <v>25000</v>
      </c>
      <c r="I82" s="1587" t="s">
        <v>247</v>
      </c>
      <c r="J82" s="1587"/>
      <c r="K82" s="1679" t="e">
        <f t="shared" si="17"/>
        <v>#N/A</v>
      </c>
      <c r="L82" s="1603" t="e">
        <f>+VLOOKUP(C82,'BẢNG LƯƠNG KT'!#REF!,10,0)</f>
        <v>#REF!</v>
      </c>
      <c r="M82" s="1592" t="e">
        <f>+VLOOKUP(C82,'BẢNG LƯƠNG KT'!C93:S106,15,0)</f>
        <v>#N/A</v>
      </c>
      <c r="N82" s="1592" t="e">
        <f t="shared" si="16"/>
        <v>#N/A</v>
      </c>
      <c r="O82" s="1592"/>
      <c r="P82" s="1592" t="e">
        <f t="shared" si="18"/>
        <v>#N/A</v>
      </c>
      <c r="Q82" s="1592"/>
      <c r="R82" s="1592"/>
      <c r="S82" s="1592" t="e">
        <f t="shared" si="19"/>
        <v>#N/A</v>
      </c>
      <c r="T82" s="1593"/>
    </row>
    <row r="83" spans="1:28" s="807" customFormat="1" ht="22.5" customHeight="1">
      <c r="A83" s="1587">
        <v>8</v>
      </c>
      <c r="B83" s="1604"/>
      <c r="C83" s="1612" t="str">
        <f>'Tong hop cong'!C82</f>
        <v>Thảo Lay</v>
      </c>
      <c r="D83" s="1604"/>
      <c r="E83" s="1587" t="s">
        <v>263</v>
      </c>
      <c r="F83" s="1587"/>
      <c r="G83" s="1590">
        <f>+VLOOKUP(C83,'BẢNG LƯƠNG KT'!C77:G93,4,0)</f>
        <v>0</v>
      </c>
      <c r="H83" s="1591">
        <v>25000</v>
      </c>
      <c r="I83" s="1587" t="s">
        <v>247</v>
      </c>
      <c r="J83" s="1587"/>
      <c r="K83" s="1679">
        <f>+G83*H83</f>
        <v>0</v>
      </c>
      <c r="L83" s="1592"/>
      <c r="M83" s="1592"/>
      <c r="N83" s="1592">
        <f>SUM(K83:M83)</f>
        <v>0</v>
      </c>
      <c r="O83" s="1592"/>
      <c r="P83" s="1592">
        <f>N83</f>
        <v>0</v>
      </c>
      <c r="Q83" s="1592"/>
      <c r="R83" s="1592"/>
      <c r="S83" s="1592">
        <f>P83</f>
        <v>0</v>
      </c>
      <c r="T83" s="1605"/>
    </row>
    <row r="84" spans="1:28" s="1744" customFormat="1" ht="22.5" customHeight="1">
      <c r="A84" s="4741" t="s">
        <v>333</v>
      </c>
      <c r="B84" s="4741"/>
      <c r="C84" s="4741"/>
      <c r="D84" s="1676"/>
      <c r="E84" s="1745"/>
      <c r="F84" s="1745"/>
      <c r="G84" s="1678"/>
      <c r="H84" s="1871"/>
      <c r="I84" s="1745" t="s">
        <v>247</v>
      </c>
      <c r="J84" s="1745"/>
      <c r="K84" s="1681" t="e">
        <f t="shared" ref="K84:S84" si="20">K67+K50+K12</f>
        <v>#N/A</v>
      </c>
      <c r="L84" s="1681" t="e">
        <f t="shared" si="20"/>
        <v>#N/A</v>
      </c>
      <c r="M84" s="1681" t="e">
        <f t="shared" si="20"/>
        <v>#N/A</v>
      </c>
      <c r="N84" s="1681" t="e">
        <f t="shared" si="20"/>
        <v>#N/A</v>
      </c>
      <c r="O84" s="1681">
        <f t="shared" si="20"/>
        <v>0</v>
      </c>
      <c r="P84" s="1681" t="e">
        <f t="shared" si="20"/>
        <v>#N/A</v>
      </c>
      <c r="Q84" s="1681">
        <f t="shared" si="20"/>
        <v>0</v>
      </c>
      <c r="R84" s="1681">
        <f t="shared" si="20"/>
        <v>0</v>
      </c>
      <c r="S84" s="1681" t="e">
        <f t="shared" si="20"/>
        <v>#N/A</v>
      </c>
      <c r="T84" s="1745"/>
      <c r="V84" s="1744" t="e">
        <f>'BẢNG LƯƠNG KT'!#REF!</f>
        <v>#REF!</v>
      </c>
      <c r="W84" s="1872" t="e">
        <f>V84-S84</f>
        <v>#REF!</v>
      </c>
    </row>
    <row r="85" spans="1:28" s="807" customFormat="1" ht="22.5" customHeight="1">
      <c r="A85" s="1587">
        <v>1</v>
      </c>
      <c r="B85" s="716" t="s">
        <v>197</v>
      </c>
      <c r="C85" s="716" t="str">
        <f>'CHẤM CÔNG BV'!B11</f>
        <v>Phò Đan</v>
      </c>
      <c r="D85" s="1606"/>
      <c r="E85" s="1587" t="s">
        <v>258</v>
      </c>
      <c r="F85" s="1587" t="s">
        <v>851</v>
      </c>
      <c r="G85" s="1591">
        <v>30</v>
      </c>
      <c r="H85" s="1591">
        <f>K85/G85</f>
        <v>66666.666666666672</v>
      </c>
      <c r="I85" s="1587" t="s">
        <v>247</v>
      </c>
      <c r="J85" s="1587"/>
      <c r="K85" s="1679">
        <v>2000000</v>
      </c>
      <c r="L85" s="1592"/>
      <c r="M85" s="1592"/>
      <c r="N85" s="1592">
        <f t="shared" ref="N85:N88" si="21">SUM(K85:M85)</f>
        <v>2000000</v>
      </c>
      <c r="O85" s="1592"/>
      <c r="P85" s="1592">
        <f t="shared" ref="P85:P88" si="22">N85</f>
        <v>2000000</v>
      </c>
      <c r="Q85" s="1592"/>
      <c r="R85" s="1592"/>
      <c r="S85" s="1592">
        <f>P85</f>
        <v>2000000</v>
      </c>
      <c r="T85" s="1605"/>
      <c r="U85" s="900">
        <v>1500000</v>
      </c>
      <c r="Z85" s="807">
        <f>900-600</f>
        <v>300</v>
      </c>
    </row>
    <row r="86" spans="1:28" s="807" customFormat="1" ht="22.5" customHeight="1">
      <c r="A86" s="1587">
        <v>2</v>
      </c>
      <c r="B86" s="1605"/>
      <c r="C86" s="716" t="str">
        <f>'CHẤM CÔNG BV'!B12</f>
        <v>Sâm Say</v>
      </c>
      <c r="D86" s="1605"/>
      <c r="E86" s="1587" t="s">
        <v>258</v>
      </c>
      <c r="F86" s="1587" t="s">
        <v>851</v>
      </c>
      <c r="G86" s="1591">
        <v>30</v>
      </c>
      <c r="H86" s="1591">
        <f>K86/G86</f>
        <v>66666.666666666672</v>
      </c>
      <c r="I86" s="1587" t="s">
        <v>247</v>
      </c>
      <c r="J86" s="1587"/>
      <c r="K86" s="1679">
        <v>2000000</v>
      </c>
      <c r="L86" s="1592"/>
      <c r="M86" s="1592"/>
      <c r="N86" s="1592">
        <f t="shared" si="21"/>
        <v>2000000</v>
      </c>
      <c r="O86" s="1592"/>
      <c r="P86" s="1592">
        <f t="shared" si="22"/>
        <v>2000000</v>
      </c>
      <c r="Q86" s="1592"/>
      <c r="R86" s="1592"/>
      <c r="S86" s="1592">
        <f>P86</f>
        <v>2000000</v>
      </c>
      <c r="T86" s="1605"/>
    </row>
    <row r="87" spans="1:28" s="807" customFormat="1" ht="22.5" customHeight="1">
      <c r="A87" s="1587">
        <v>3</v>
      </c>
      <c r="B87" s="1605"/>
      <c r="C87" s="716" t="str">
        <f>'CHẤM CÔNG BV'!B13</f>
        <v>Thảo Chanh</v>
      </c>
      <c r="D87" s="1605"/>
      <c r="E87" s="1587" t="s">
        <v>258</v>
      </c>
      <c r="F87" s="1587" t="s">
        <v>851</v>
      </c>
      <c r="G87" s="1591">
        <v>30</v>
      </c>
      <c r="H87" s="1591">
        <f>K87/G87</f>
        <v>66666.666666666672</v>
      </c>
      <c r="I87" s="1587" t="s">
        <v>247</v>
      </c>
      <c r="J87" s="1587"/>
      <c r="K87" s="1679">
        <v>2000000</v>
      </c>
      <c r="L87" s="1592"/>
      <c r="M87" s="1592"/>
      <c r="N87" s="1592">
        <f t="shared" si="21"/>
        <v>2000000</v>
      </c>
      <c r="O87" s="1592"/>
      <c r="P87" s="1592">
        <f t="shared" si="22"/>
        <v>2000000</v>
      </c>
      <c r="Q87" s="1592"/>
      <c r="R87" s="1592"/>
      <c r="S87" s="1592">
        <f>N87</f>
        <v>2000000</v>
      </c>
      <c r="T87" s="1605"/>
      <c r="X87" s="806">
        <f>+S87</f>
        <v>2000000</v>
      </c>
    </row>
    <row r="88" spans="1:28" s="807" customFormat="1" ht="22.5" customHeight="1">
      <c r="A88" s="1587">
        <v>4</v>
      </c>
      <c r="B88" s="1605"/>
      <c r="C88" s="716" t="str">
        <f>'CHẤM CÔNG BV'!B14</f>
        <v>Phò Viu</v>
      </c>
      <c r="D88" s="1605"/>
      <c r="E88" s="1587" t="s">
        <v>258</v>
      </c>
      <c r="F88" s="1587" t="s">
        <v>851</v>
      </c>
      <c r="G88" s="1591">
        <v>30</v>
      </c>
      <c r="H88" s="1591">
        <f>K88/G88</f>
        <v>66666.666666666672</v>
      </c>
      <c r="I88" s="1587" t="s">
        <v>247</v>
      </c>
      <c r="J88" s="1587"/>
      <c r="K88" s="1679">
        <v>2000000</v>
      </c>
      <c r="L88" s="1592"/>
      <c r="M88" s="1592"/>
      <c r="N88" s="1592">
        <f t="shared" si="21"/>
        <v>2000000</v>
      </c>
      <c r="O88" s="1592"/>
      <c r="P88" s="1592">
        <f t="shared" si="22"/>
        <v>2000000</v>
      </c>
      <c r="Q88" s="1592"/>
      <c r="R88" s="1592"/>
      <c r="S88" s="1592">
        <f>N88</f>
        <v>2000000</v>
      </c>
      <c r="T88" s="1605"/>
      <c r="X88" s="806">
        <f>900000-600000</f>
        <v>300000</v>
      </c>
    </row>
    <row r="89" spans="1:28" s="807" customFormat="1" ht="22.5" customHeight="1">
      <c r="A89" s="4740" t="s">
        <v>260</v>
      </c>
      <c r="B89" s="4740"/>
      <c r="C89" s="4740"/>
      <c r="D89" s="4740"/>
      <c r="E89" s="4740"/>
      <c r="F89" s="802"/>
      <c r="G89" s="812">
        <f>SUM(G85:G88)</f>
        <v>120</v>
      </c>
      <c r="H89" s="804"/>
      <c r="I89" s="799" t="s">
        <v>247</v>
      </c>
      <c r="J89" s="799"/>
      <c r="K89" s="1682">
        <f>SUM(K85:K88)</f>
        <v>8000000</v>
      </c>
      <c r="L89" s="804">
        <f>SUM(L85:L87)</f>
        <v>0</v>
      </c>
      <c r="M89" s="804">
        <f>SUM(M85:M87)</f>
        <v>0</v>
      </c>
      <c r="N89" s="804">
        <f>SUM(N85:N88)</f>
        <v>8000000</v>
      </c>
      <c r="O89" s="804">
        <f>SUM(O85:O87)</f>
        <v>0</v>
      </c>
      <c r="P89" s="804">
        <f>SUM(P85:R88)</f>
        <v>8000000</v>
      </c>
      <c r="Q89" s="804">
        <f>SUM(Q85:Q87)</f>
        <v>0</v>
      </c>
      <c r="R89" s="804">
        <f>SUM(R85:R87)</f>
        <v>0</v>
      </c>
      <c r="S89" s="804">
        <f>SUM(S85:S88)</f>
        <v>8000000</v>
      </c>
      <c r="T89" s="805"/>
      <c r="X89" s="806"/>
    </row>
    <row r="90" spans="1:28" s="807" customFormat="1" ht="22.5" customHeight="1">
      <c r="A90" s="1873">
        <v>1</v>
      </c>
      <c r="B90" s="805"/>
      <c r="C90" s="1873" t="e">
        <f>'CHẤM CÔNG BV'!#REF!</f>
        <v>#REF!</v>
      </c>
      <c r="D90" s="805"/>
      <c r="E90" s="1873" t="s">
        <v>654</v>
      </c>
      <c r="F90" s="1873" t="s">
        <v>854</v>
      </c>
      <c r="G90" s="809">
        <v>30</v>
      </c>
      <c r="H90" s="809">
        <f>K90/G90</f>
        <v>56666.666666666664</v>
      </c>
      <c r="I90" s="1873" t="s">
        <v>247</v>
      </c>
      <c r="J90" s="1874">
        <f>1500000*0.1*2</f>
        <v>300000</v>
      </c>
      <c r="K90" s="1683">
        <v>1700000</v>
      </c>
      <c r="L90" s="809"/>
      <c r="M90" s="809"/>
      <c r="N90" s="809">
        <f>SUM(K90:M90)</f>
        <v>1700000</v>
      </c>
      <c r="O90" s="809"/>
      <c r="P90" s="809">
        <f>N90</f>
        <v>1700000</v>
      </c>
      <c r="Q90" s="809"/>
      <c r="R90" s="809"/>
      <c r="S90" s="809">
        <f>P90</f>
        <v>1700000</v>
      </c>
      <c r="T90" s="805"/>
      <c r="X90" s="806"/>
      <c r="Z90" s="894" t="s">
        <v>719</v>
      </c>
      <c r="AA90" s="894" t="s">
        <v>717</v>
      </c>
      <c r="AB90" s="894" t="s">
        <v>718</v>
      </c>
    </row>
    <row r="91" spans="1:28" s="807" customFormat="1" ht="22.5" customHeight="1">
      <c r="A91" s="4740" t="s">
        <v>655</v>
      </c>
      <c r="B91" s="4740"/>
      <c r="C91" s="4740"/>
      <c r="D91" s="4740"/>
      <c r="E91" s="4740"/>
      <c r="F91" s="802"/>
      <c r="G91" s="812">
        <v>30</v>
      </c>
      <c r="H91" s="812"/>
      <c r="I91" s="799" t="s">
        <v>247</v>
      </c>
      <c r="J91" s="799"/>
      <c r="K91" s="1682">
        <f>K90</f>
        <v>1700000</v>
      </c>
      <c r="L91" s="804">
        <f>SUM(L90)</f>
        <v>0</v>
      </c>
      <c r="M91" s="804">
        <f>SUM(M87:M90)</f>
        <v>0</v>
      </c>
      <c r="N91" s="804">
        <f>N90</f>
        <v>1700000</v>
      </c>
      <c r="O91" s="804">
        <f>SUM(O87:O90)</f>
        <v>0</v>
      </c>
      <c r="P91" s="804">
        <f>P90</f>
        <v>1700000</v>
      </c>
      <c r="Q91" s="804">
        <f>SUM(Q87:Q90)</f>
        <v>0</v>
      </c>
      <c r="R91" s="804">
        <f>SUM(R87:R90)</f>
        <v>0</v>
      </c>
      <c r="S91" s="804">
        <f>S90</f>
        <v>1700000</v>
      </c>
      <c r="T91" s="805"/>
      <c r="V91" s="807">
        <f>9445210/25000</f>
        <v>377.80840000000001</v>
      </c>
      <c r="Z91" s="894">
        <v>1347</v>
      </c>
      <c r="AA91" s="894">
        <v>673</v>
      </c>
      <c r="AB91" s="894">
        <f>+Z91-AA91</f>
        <v>674</v>
      </c>
    </row>
    <row r="92" spans="1:28" s="807" customFormat="1" ht="22.5" customHeight="1">
      <c r="A92" s="4138" t="s">
        <v>41</v>
      </c>
      <c r="B92" s="4138"/>
      <c r="C92" s="4138"/>
      <c r="D92" s="4138"/>
      <c r="E92" s="4138"/>
      <c r="F92" s="799"/>
      <c r="G92" s="803" t="e">
        <f>+G89+#REF!+G84+G91</f>
        <v>#REF!</v>
      </c>
      <c r="H92" s="804"/>
      <c r="I92" s="804"/>
      <c r="J92" s="804"/>
      <c r="K92" s="1682" t="e">
        <f>+K89+K84+K91</f>
        <v>#N/A</v>
      </c>
      <c r="L92" s="804" t="e">
        <f>+L89+L84+L91</f>
        <v>#N/A</v>
      </c>
      <c r="M92" s="804" t="e">
        <f>+M89+M84+M91</f>
        <v>#N/A</v>
      </c>
      <c r="N92" s="804" t="e">
        <f>+N89+N84+N91</f>
        <v>#N/A</v>
      </c>
      <c r="O92" s="804" t="e">
        <f>+O89+#REF!+O84+O91</f>
        <v>#REF!</v>
      </c>
      <c r="P92" s="804" t="e">
        <f>+P89+P84+P91</f>
        <v>#N/A</v>
      </c>
      <c r="Q92" s="804" t="e">
        <f>+Q89+#REF!+Q84+Q91</f>
        <v>#REF!</v>
      </c>
      <c r="R92" s="804" t="e">
        <f>+R89+#REF!+R84+R91</f>
        <v>#REF!</v>
      </c>
      <c r="S92" s="804" t="e">
        <f>+S89+S84+S91</f>
        <v>#N/A</v>
      </c>
      <c r="T92" s="804"/>
      <c r="U92" s="806"/>
      <c r="V92" s="813" t="e">
        <f>L92-'BẢNG PHÂN TOÁN'!H14</f>
        <v>#N/A</v>
      </c>
      <c r="Z92" s="894">
        <v>1198</v>
      </c>
      <c r="AA92" s="894">
        <v>569</v>
      </c>
      <c r="AB92" s="894">
        <f>+Z92-AA92</f>
        <v>629</v>
      </c>
    </row>
    <row r="93" spans="1:28" ht="18" customHeight="1">
      <c r="A93" s="4743" t="s">
        <v>1137</v>
      </c>
      <c r="B93" s="4743"/>
      <c r="C93" s="4743"/>
      <c r="D93" s="4743"/>
      <c r="E93" s="4743"/>
      <c r="F93" s="4743"/>
      <c r="G93" s="4743"/>
      <c r="H93" s="4743"/>
      <c r="I93" s="4743"/>
      <c r="J93" s="4743"/>
      <c r="K93" s="4743"/>
      <c r="L93" s="4743"/>
      <c r="M93" s="4743"/>
      <c r="N93" s="4743"/>
      <c r="O93" s="4743"/>
      <c r="P93" s="4743"/>
      <c r="Q93" s="4743"/>
      <c r="R93" s="4743"/>
      <c r="S93" s="4743"/>
      <c r="T93" s="4743"/>
      <c r="U93" s="684"/>
      <c r="W93" s="156" t="s">
        <v>720</v>
      </c>
      <c r="X93" s="798">
        <f>'CV KHAC'!M14</f>
        <v>0</v>
      </c>
      <c r="Z93" s="895">
        <v>648</v>
      </c>
      <c r="AA93" s="895">
        <v>304</v>
      </c>
      <c r="AB93" s="894">
        <f>+Z93-AA93</f>
        <v>344</v>
      </c>
    </row>
    <row r="94" spans="1:28" ht="18" customHeight="1">
      <c r="A94" s="385"/>
      <c r="B94" s="385"/>
      <c r="C94" s="385"/>
      <c r="D94" s="385"/>
      <c r="E94" s="385"/>
      <c r="F94" s="385"/>
      <c r="G94" s="949"/>
      <c r="H94" s="385"/>
      <c r="I94" s="385"/>
      <c r="J94" s="385"/>
      <c r="K94" s="1621"/>
      <c r="L94" s="385"/>
      <c r="N94" s="1864"/>
      <c r="O94" s="1864"/>
      <c r="P94" s="4273" t="s">
        <v>1171</v>
      </c>
      <c r="Q94" s="4273"/>
      <c r="R94" s="4273"/>
      <c r="S94" s="4273"/>
      <c r="T94" s="4273"/>
      <c r="V94" s="684"/>
      <c r="W94" s="156" t="s">
        <v>721</v>
      </c>
      <c r="X94" s="798">
        <v>150000</v>
      </c>
      <c r="Z94" s="895">
        <v>875</v>
      </c>
      <c r="AA94" s="895">
        <v>395</v>
      </c>
      <c r="AB94" s="894">
        <f>+Z94-AA94</f>
        <v>480</v>
      </c>
    </row>
    <row r="95" spans="1:28" s="157" customFormat="1" ht="22.5" customHeight="1">
      <c r="C95" s="3945" t="s">
        <v>613</v>
      </c>
      <c r="D95" s="3945"/>
      <c r="E95" s="3945"/>
      <c r="F95" s="693"/>
      <c r="K95" s="157" t="s">
        <v>257</v>
      </c>
      <c r="O95" s="1332"/>
      <c r="P95" s="3954" t="s">
        <v>1104</v>
      </c>
      <c r="Q95" s="3954"/>
      <c r="R95" s="3954"/>
      <c r="S95" s="3954"/>
      <c r="T95" s="3954"/>
      <c r="U95" s="1332"/>
      <c r="W95" s="157" t="s">
        <v>722</v>
      </c>
      <c r="X95" s="897">
        <v>1500000</v>
      </c>
      <c r="Z95" s="896">
        <f>SUM(Z91:Z94)</f>
        <v>4068</v>
      </c>
      <c r="AA95" s="896">
        <f>SUM(AA91:AA94)</f>
        <v>1941</v>
      </c>
      <c r="AB95" s="894">
        <f>+Z95-AA95</f>
        <v>2127</v>
      </c>
    </row>
    <row r="97" spans="3:28">
      <c r="N97" s="684"/>
      <c r="T97" s="791"/>
      <c r="V97" s="684"/>
      <c r="AA97" s="156">
        <f>+Z95-AA95</f>
        <v>2127</v>
      </c>
    </row>
    <row r="98" spans="3:28">
      <c r="N98" s="798"/>
      <c r="Q98" s="684"/>
      <c r="W98" s="156" t="s">
        <v>724</v>
      </c>
      <c r="X98" s="684">
        <f>SUM(X84:X95)</f>
        <v>3950000</v>
      </c>
    </row>
    <row r="99" spans="3:28">
      <c r="L99" s="684"/>
      <c r="M99" s="684"/>
      <c r="N99" s="684"/>
      <c r="P99" s="684"/>
      <c r="Q99" s="684"/>
      <c r="T99" s="684"/>
      <c r="W99" s="156" t="s">
        <v>723</v>
      </c>
      <c r="X99" s="798">
        <v>6000000</v>
      </c>
      <c r="AA99" s="156">
        <f>100*20</f>
        <v>2000</v>
      </c>
    </row>
    <row r="100" spans="3:28">
      <c r="H100" s="4744"/>
      <c r="I100" s="4744"/>
      <c r="J100" s="1081"/>
      <c r="M100" s="157"/>
      <c r="N100" s="684"/>
      <c r="Y100" s="798"/>
      <c r="AA100" s="156">
        <f>100*20</f>
        <v>2000</v>
      </c>
    </row>
    <row r="101" spans="3:28">
      <c r="H101" s="4739"/>
      <c r="I101" s="3949"/>
      <c r="J101" s="280"/>
      <c r="M101" s="4136"/>
      <c r="N101" s="4136"/>
      <c r="O101" s="157"/>
      <c r="Q101" s="157"/>
      <c r="R101" s="3945"/>
      <c r="S101" s="3945"/>
      <c r="T101" s="3945"/>
      <c r="AA101" s="156">
        <f>40*20+200</f>
        <v>1000</v>
      </c>
    </row>
    <row r="102" spans="3:28">
      <c r="H102" s="4739"/>
      <c r="I102" s="3949"/>
      <c r="J102" s="280"/>
      <c r="M102" s="684"/>
    </row>
    <row r="103" spans="3:28">
      <c r="L103" s="1332"/>
      <c r="M103" s="1332"/>
      <c r="N103" s="1332"/>
      <c r="O103" s="1332"/>
      <c r="P103" s="1332"/>
      <c r="Q103" s="1332"/>
      <c r="R103" s="1332"/>
      <c r="X103" s="798">
        <v>244427</v>
      </c>
    </row>
    <row r="104" spans="3:28" ht="22.5">
      <c r="K104" s="1684"/>
      <c r="L104" s="684"/>
      <c r="X104" s="798">
        <v>14473</v>
      </c>
    </row>
    <row r="105" spans="3:28">
      <c r="L105" s="791"/>
      <c r="X105" s="814">
        <f>+X103+X104</f>
        <v>258900</v>
      </c>
      <c r="Y105" s="684"/>
      <c r="Z105" s="156">
        <v>3</v>
      </c>
      <c r="AA105" s="156">
        <v>50</v>
      </c>
      <c r="AB105" s="156">
        <f>+Z105*AA105</f>
        <v>150</v>
      </c>
    </row>
    <row r="106" spans="3:28">
      <c r="C106" s="156"/>
      <c r="E106" s="156"/>
      <c r="F106" s="156"/>
      <c r="K106" s="1618"/>
      <c r="M106" s="684"/>
      <c r="X106" s="156">
        <v>850</v>
      </c>
      <c r="Y106" s="814"/>
      <c r="AB106" s="156">
        <v>100</v>
      </c>
    </row>
    <row r="107" spans="3:28">
      <c r="C107" s="156"/>
      <c r="E107" s="156"/>
      <c r="F107" s="156"/>
      <c r="K107" s="1618"/>
      <c r="L107" s="684"/>
      <c r="N107" s="684"/>
      <c r="X107" s="814">
        <f>+X105-X106</f>
        <v>258050</v>
      </c>
    </row>
    <row r="108" spans="3:28">
      <c r="C108" s="156"/>
      <c r="E108" s="156"/>
      <c r="F108" s="156"/>
      <c r="K108" s="1618"/>
      <c r="L108" s="684"/>
      <c r="P108" s="684"/>
    </row>
    <row r="110" spans="3:28">
      <c r="C110" s="156"/>
      <c r="E110" s="156"/>
      <c r="F110" s="156"/>
      <c r="K110" s="1618"/>
      <c r="N110" s="798"/>
    </row>
    <row r="111" spans="3:28">
      <c r="C111" s="156"/>
      <c r="E111" s="156"/>
      <c r="F111" s="156"/>
      <c r="K111" s="1618"/>
      <c r="N111" s="684"/>
    </row>
  </sheetData>
  <mergeCells count="38">
    <mergeCell ref="E7:F7"/>
    <mergeCell ref="E8:F8"/>
    <mergeCell ref="A92:E92"/>
    <mergeCell ref="R101:T101"/>
    <mergeCell ref="M101:N101"/>
    <mergeCell ref="C95:E95"/>
    <mergeCell ref="H101:I101"/>
    <mergeCell ref="P95:T95"/>
    <mergeCell ref="P94:T94"/>
    <mergeCell ref="F9:F10"/>
    <mergeCell ref="Q9:Q10"/>
    <mergeCell ref="S9:S10"/>
    <mergeCell ref="O9:O10"/>
    <mergeCell ref="P9:P10"/>
    <mergeCell ref="N9:N10"/>
    <mergeCell ref="A91:E91"/>
    <mergeCell ref="H102:I102"/>
    <mergeCell ref="E9:E10"/>
    <mergeCell ref="A89:E89"/>
    <mergeCell ref="A9:A10"/>
    <mergeCell ref="A84:C84"/>
    <mergeCell ref="A50:B50"/>
    <mergeCell ref="B67:C67"/>
    <mergeCell ref="B12:C12"/>
    <mergeCell ref="C50:D50"/>
    <mergeCell ref="A93:T93"/>
    <mergeCell ref="H100:I100"/>
    <mergeCell ref="T9:T10"/>
    <mergeCell ref="R9:R10"/>
    <mergeCell ref="G9:M9"/>
    <mergeCell ref="B9:C9"/>
    <mergeCell ref="A1:F1"/>
    <mergeCell ref="A2:F2"/>
    <mergeCell ref="L1:T1"/>
    <mergeCell ref="L2:T2"/>
    <mergeCell ref="E6:F6"/>
    <mergeCell ref="A4:T4"/>
    <mergeCell ref="A5:T5"/>
  </mergeCells>
  <phoneticPr fontId="57" type="noConversion"/>
  <printOptions horizontalCentered="1"/>
  <pageMargins left="0.17" right="0.17" top="0.3" bottom="0.28999999999999998" header="0.3" footer="0.3"/>
  <pageSetup paperSize="9" scale="71" fitToHeight="0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3"/>
  <sheetViews>
    <sheetView zoomScaleNormal="100" workbookViewId="0">
      <selection activeCell="M17" sqref="M17:N17"/>
    </sheetView>
  </sheetViews>
  <sheetFormatPr defaultColWidth="9.375" defaultRowHeight="16.5"/>
  <cols>
    <col min="1" max="1" width="3.5" style="698" customWidth="1"/>
    <col min="2" max="2" width="6.375" style="698" hidden="1" customWidth="1"/>
    <col min="3" max="3" width="11.625" style="698" customWidth="1"/>
    <col min="4" max="4" width="11.75" style="698" customWidth="1"/>
    <col min="5" max="5" width="11.375" style="698" customWidth="1"/>
    <col min="6" max="6" width="10.375" style="698" customWidth="1"/>
    <col min="7" max="7" width="5.625" style="698" customWidth="1"/>
    <col min="8" max="8" width="5.375" style="698" hidden="1" customWidth="1"/>
    <col min="9" max="9" width="7" style="698" customWidth="1"/>
    <col min="10" max="10" width="8.375" style="698" customWidth="1"/>
    <col min="11" max="11" width="9.5" style="698" customWidth="1"/>
    <col min="12" max="12" width="14.125" style="698" customWidth="1"/>
    <col min="13" max="13" width="35.75" style="698" customWidth="1"/>
    <col min="14" max="14" width="16.125" style="698" customWidth="1"/>
    <col min="15" max="16384" width="9.375" style="698"/>
  </cols>
  <sheetData>
    <row r="1" spans="1:20">
      <c r="A1" s="3945" t="s">
        <v>165</v>
      </c>
      <c r="B1" s="3945"/>
      <c r="C1" s="3945"/>
      <c r="D1" s="3945"/>
      <c r="E1" s="3945"/>
      <c r="F1" s="3945"/>
      <c r="G1" s="3945"/>
      <c r="H1" s="3945"/>
      <c r="I1" s="3945"/>
      <c r="J1" s="3945"/>
      <c r="K1" s="3945"/>
      <c r="L1" s="3945"/>
      <c r="M1" s="3945"/>
      <c r="N1" s="3945"/>
    </row>
    <row r="2" spans="1:20">
      <c r="A2" s="3945" t="s">
        <v>171</v>
      </c>
      <c r="B2" s="3945"/>
      <c r="C2" s="3945"/>
      <c r="D2" s="3945"/>
      <c r="E2" s="3945"/>
      <c r="F2" s="3945"/>
      <c r="G2" s="3945"/>
      <c r="H2" s="3945"/>
      <c r="I2" s="3945"/>
      <c r="J2" s="3945"/>
      <c r="K2" s="3945"/>
      <c r="L2" s="3945"/>
      <c r="M2" s="3945"/>
      <c r="N2" s="3945"/>
    </row>
    <row r="3" spans="1:20">
      <c r="A3" s="4341" t="s">
        <v>726</v>
      </c>
      <c r="B3" s="4299"/>
      <c r="C3" s="4299"/>
      <c r="D3" s="4299"/>
      <c r="E3" s="4299"/>
      <c r="F3" s="4299"/>
      <c r="G3" s="4299"/>
      <c r="H3" s="4299"/>
      <c r="I3" s="4299"/>
      <c r="J3" s="4299"/>
      <c r="K3" s="4299"/>
      <c r="L3" s="4299"/>
      <c r="M3" s="4299"/>
      <c r="N3" s="4299"/>
    </row>
    <row r="4" spans="1:20" ht="20.25" customHeight="1">
      <c r="A4" s="4428" t="s">
        <v>574</v>
      </c>
      <c r="B4" s="4428"/>
      <c r="C4" s="4428"/>
      <c r="D4" s="4428"/>
      <c r="E4" s="4428"/>
      <c r="F4" s="4428"/>
      <c r="G4" s="4428"/>
      <c r="I4" s="157"/>
      <c r="J4" s="157"/>
      <c r="K4" s="157"/>
      <c r="L4" s="157"/>
      <c r="M4" s="157"/>
      <c r="N4" s="157"/>
      <c r="O4" s="156"/>
    </row>
    <row r="5" spans="1:20">
      <c r="A5" s="3957" t="s">
        <v>541</v>
      </c>
      <c r="B5" s="3957"/>
      <c r="C5" s="3957"/>
      <c r="D5" s="3957"/>
      <c r="E5" s="3957"/>
      <c r="F5" s="3957"/>
      <c r="G5" s="3957"/>
      <c r="I5" s="157"/>
      <c r="J5" s="157"/>
      <c r="K5" s="157"/>
      <c r="L5" s="157"/>
      <c r="M5" s="157"/>
      <c r="N5" s="157"/>
      <c r="O5" s="710"/>
    </row>
    <row r="6" spans="1:20">
      <c r="A6" s="3656"/>
      <c r="B6" s="3656"/>
      <c r="C6" s="3656"/>
      <c r="D6" s="3656"/>
      <c r="E6" s="3656"/>
      <c r="F6" s="3656"/>
      <c r="G6" s="697"/>
      <c r="H6" s="3654"/>
      <c r="I6" s="3654"/>
      <c r="J6" s="3654"/>
      <c r="K6" s="3654"/>
      <c r="L6" s="3654"/>
      <c r="M6" s="3654"/>
      <c r="N6" s="3654"/>
      <c r="O6" s="3654"/>
    </row>
    <row r="7" spans="1:20" ht="18.75">
      <c r="A7" s="4165" t="s">
        <v>1867</v>
      </c>
      <c r="B7" s="4165"/>
      <c r="C7" s="4165"/>
      <c r="D7" s="4165"/>
      <c r="E7" s="4165"/>
      <c r="F7" s="4165"/>
      <c r="G7" s="4165"/>
      <c r="H7" s="4165"/>
      <c r="I7" s="4165"/>
      <c r="J7" s="4165"/>
      <c r="K7" s="4165"/>
      <c r="L7" s="4165"/>
      <c r="M7" s="4165"/>
      <c r="N7" s="4165"/>
      <c r="O7" s="815"/>
    </row>
    <row r="8" spans="1:20" ht="10.5" customHeight="1">
      <c r="A8" s="4165"/>
      <c r="B8" s="4165"/>
      <c r="C8" s="4165"/>
      <c r="D8" s="4165"/>
      <c r="E8" s="4165"/>
      <c r="F8" s="4165"/>
      <c r="G8" s="4165"/>
      <c r="H8" s="4165"/>
      <c r="I8" s="4165"/>
      <c r="J8" s="4165"/>
      <c r="K8" s="4165"/>
      <c r="L8" s="4165"/>
      <c r="M8" s="4165"/>
      <c r="N8" s="4165"/>
      <c r="O8" s="815"/>
    </row>
    <row r="10" spans="1:20" ht="30" customHeight="1">
      <c r="A10" s="4754" t="s">
        <v>19</v>
      </c>
      <c r="B10" s="4757" t="s">
        <v>2</v>
      </c>
      <c r="C10" s="4758"/>
      <c r="D10" s="4326" t="s">
        <v>5</v>
      </c>
      <c r="E10" s="4757" t="s">
        <v>657</v>
      </c>
      <c r="F10" s="4763"/>
      <c r="G10" s="4763"/>
      <c r="H10" s="4758"/>
      <c r="I10" s="4754" t="s">
        <v>623</v>
      </c>
      <c r="J10" s="4326" t="s">
        <v>811</v>
      </c>
      <c r="K10" s="4326" t="s">
        <v>658</v>
      </c>
      <c r="L10" s="4326" t="s">
        <v>659</v>
      </c>
      <c r="M10" s="4326" t="s">
        <v>634</v>
      </c>
      <c r="N10" s="4326" t="s">
        <v>17</v>
      </c>
    </row>
    <row r="11" spans="1:20" ht="28.5" customHeight="1">
      <c r="A11" s="4755"/>
      <c r="B11" s="4759"/>
      <c r="C11" s="4760"/>
      <c r="D11" s="4752"/>
      <c r="E11" s="4759"/>
      <c r="F11" s="4764"/>
      <c r="G11" s="4764"/>
      <c r="H11" s="4760"/>
      <c r="I11" s="4755"/>
      <c r="J11" s="4752"/>
      <c r="K11" s="4752"/>
      <c r="L11" s="4752"/>
      <c r="M11" s="4752"/>
      <c r="N11" s="4752"/>
    </row>
    <row r="12" spans="1:20" ht="59.25" customHeight="1">
      <c r="A12" s="1559">
        <v>1</v>
      </c>
      <c r="B12" s="1559"/>
      <c r="C12" s="808" t="s">
        <v>1138</v>
      </c>
      <c r="D12" s="1478" t="s">
        <v>263</v>
      </c>
      <c r="E12" s="4749" t="s">
        <v>1728</v>
      </c>
      <c r="F12" s="4750"/>
      <c r="G12" s="4750"/>
      <c r="H12" s="4751"/>
      <c r="I12" s="1560" t="s">
        <v>362</v>
      </c>
      <c r="J12" s="1563">
        <v>20</v>
      </c>
      <c r="K12" s="1561">
        <v>25000</v>
      </c>
      <c r="L12" s="1561">
        <f>J12*K12</f>
        <v>500000</v>
      </c>
      <c r="M12" s="3832" t="s">
        <v>1828</v>
      </c>
      <c r="N12" s="1562"/>
      <c r="O12" s="3833"/>
      <c r="P12" s="3833"/>
      <c r="Q12" s="3833"/>
      <c r="R12" s="3833"/>
      <c r="S12" s="3833"/>
      <c r="T12" s="3833"/>
    </row>
    <row r="13" spans="1:20" ht="67.5" customHeight="1">
      <c r="A13" s="3828">
        <v>2</v>
      </c>
      <c r="B13" s="3828"/>
      <c r="C13" s="808" t="s">
        <v>1868</v>
      </c>
      <c r="D13" s="1478" t="s">
        <v>263</v>
      </c>
      <c r="E13" s="4761" t="s">
        <v>1870</v>
      </c>
      <c r="F13" s="4762"/>
      <c r="G13" s="4762"/>
      <c r="H13" s="3829"/>
      <c r="I13" s="1560" t="s">
        <v>362</v>
      </c>
      <c r="J13" s="3830">
        <v>609</v>
      </c>
      <c r="K13" s="1561">
        <v>7000</v>
      </c>
      <c r="L13" s="1561">
        <f>J13*K13</f>
        <v>4263000</v>
      </c>
      <c r="M13" s="3835" t="str">
        <f>'BCSX T4'!$E$57</f>
        <v>Lô 9: 157 cây; Lô 5B: 96 cây; Lô 2B: 76 cây; Lô 2A: 43 cây; Lô 4B: 24 cây; Lô N6: 173 cây; Lô N8: 40 cây----Tổng 609 cây</v>
      </c>
      <c r="N13" s="3831"/>
    </row>
    <row r="14" spans="1:20" ht="25.5" customHeight="1">
      <c r="A14" s="4429" t="s">
        <v>184</v>
      </c>
      <c r="B14" s="4429"/>
      <c r="C14" s="4429"/>
      <c r="D14" s="4429"/>
      <c r="E14" s="4746"/>
      <c r="F14" s="4747"/>
      <c r="G14" s="4747"/>
      <c r="H14" s="4748"/>
      <c r="I14" s="702"/>
      <c r="J14" s="1564">
        <f>SUM(J12:J13)</f>
        <v>629</v>
      </c>
      <c r="K14" s="1564"/>
      <c r="L14" s="2314">
        <f>SUM(L12:L13)</f>
        <v>4763000</v>
      </c>
      <c r="M14" s="2927"/>
      <c r="N14" s="3666"/>
    </row>
    <row r="15" spans="1:20" ht="17.25" hidden="1" customHeight="1">
      <c r="A15" s="4756" t="s">
        <v>1869</v>
      </c>
      <c r="B15" s="4756"/>
      <c r="C15" s="4756"/>
      <c r="D15" s="4756"/>
      <c r="E15" s="4756"/>
      <c r="F15" s="4756"/>
      <c r="G15" s="4756"/>
      <c r="H15" s="4756"/>
      <c r="I15" s="4756"/>
      <c r="J15" s="4756"/>
      <c r="K15" s="4756"/>
      <c r="L15" s="4756"/>
      <c r="M15" s="4756"/>
      <c r="N15" s="4756"/>
    </row>
    <row r="16" spans="1:20">
      <c r="A16" s="3655"/>
      <c r="B16" s="156"/>
      <c r="C16" s="703"/>
      <c r="D16" s="156"/>
      <c r="E16" s="704"/>
      <c r="F16" s="156"/>
      <c r="G16" s="156"/>
      <c r="H16" s="705"/>
      <c r="I16" s="705"/>
      <c r="J16" s="156"/>
      <c r="L16" s="3834"/>
      <c r="M16" s="4753" t="s">
        <v>1915</v>
      </c>
      <c r="N16" s="4753"/>
      <c r="O16" s="706"/>
    </row>
    <row r="17" spans="1:22">
      <c r="B17" s="1533"/>
      <c r="C17" s="3945" t="s">
        <v>45</v>
      </c>
      <c r="D17" s="3945"/>
      <c r="E17" s="3945"/>
      <c r="F17" s="1533"/>
      <c r="G17" s="1533"/>
      <c r="H17" s="1533"/>
      <c r="I17" s="3945" t="s">
        <v>44</v>
      </c>
      <c r="J17" s="3945"/>
      <c r="K17" s="3945"/>
      <c r="L17" s="1533"/>
      <c r="M17" s="3945" t="s">
        <v>1104</v>
      </c>
      <c r="N17" s="3945"/>
      <c r="O17" s="1533"/>
      <c r="P17" s="1533"/>
      <c r="T17" s="698">
        <f>3075-1700</f>
        <v>1375</v>
      </c>
      <c r="V17" s="698">
        <f>630/20</f>
        <v>31.5</v>
      </c>
    </row>
    <row r="18" spans="1:22" ht="21" customHeight="1">
      <c r="A18" s="697"/>
      <c r="B18" s="697"/>
      <c r="C18" s="697"/>
      <c r="D18" s="697"/>
      <c r="E18" s="697"/>
      <c r="F18" s="697"/>
      <c r="G18" s="697"/>
      <c r="H18" s="707"/>
      <c r="I18" s="697"/>
      <c r="J18" s="697"/>
      <c r="K18" s="697"/>
      <c r="L18" s="697"/>
      <c r="M18" s="697"/>
      <c r="N18" s="697"/>
      <c r="O18" s="697"/>
    </row>
    <row r="19" spans="1:22">
      <c r="A19" s="697"/>
      <c r="B19" s="697"/>
      <c r="C19" s="697"/>
      <c r="D19" s="697"/>
      <c r="E19" s="697"/>
      <c r="F19" s="697"/>
      <c r="G19" s="697"/>
      <c r="H19" s="707"/>
      <c r="I19" s="697"/>
      <c r="J19" s="697"/>
      <c r="K19" s="697"/>
      <c r="L19" s="697"/>
      <c r="M19" s="697"/>
      <c r="N19" s="697"/>
      <c r="O19" s="697"/>
      <c r="V19" s="698">
        <f>30*20</f>
        <v>600</v>
      </c>
    </row>
    <row r="20" spans="1:22">
      <c r="A20" s="697"/>
      <c r="B20" s="697"/>
      <c r="C20" s="697"/>
      <c r="D20" s="697"/>
      <c r="E20" s="697"/>
      <c r="F20" s="697"/>
      <c r="G20" s="697"/>
      <c r="H20" s="707"/>
      <c r="I20" s="697"/>
      <c r="J20" s="697"/>
      <c r="K20" s="697"/>
      <c r="L20" s="697"/>
      <c r="M20" s="697"/>
      <c r="N20" s="697"/>
      <c r="O20" s="697"/>
      <c r="V20" s="698">
        <f>19*20</f>
        <v>380</v>
      </c>
    </row>
    <row r="21" spans="1:22">
      <c r="A21" s="697"/>
      <c r="B21" s="697"/>
      <c r="C21" s="697"/>
      <c r="D21" s="697"/>
      <c r="E21" s="697"/>
      <c r="F21" s="697"/>
      <c r="G21" s="697"/>
      <c r="H21" s="707"/>
      <c r="I21" s="697"/>
      <c r="J21" s="697"/>
      <c r="K21" s="697"/>
      <c r="L21" s="697"/>
      <c r="M21" s="697"/>
      <c r="N21" s="697"/>
      <c r="O21" s="697"/>
      <c r="V21" s="698">
        <f>1000-380</f>
        <v>620</v>
      </c>
    </row>
    <row r="22" spans="1:22">
      <c r="A22" s="697"/>
      <c r="B22" s="697"/>
      <c r="C22" s="697"/>
      <c r="D22" s="697"/>
      <c r="E22" s="697"/>
      <c r="F22" s="697"/>
      <c r="G22" s="697"/>
      <c r="H22" s="707"/>
      <c r="I22" s="697"/>
      <c r="J22" s="697"/>
      <c r="K22" s="697"/>
      <c r="L22" s="697"/>
      <c r="M22" s="697"/>
      <c r="N22" s="697"/>
      <c r="O22" s="697"/>
      <c r="V22" s="698" t="s">
        <v>725</v>
      </c>
    </row>
    <row r="23" spans="1:22">
      <c r="A23" s="708"/>
      <c r="B23" s="708"/>
      <c r="C23" s="708"/>
      <c r="D23" s="708"/>
      <c r="E23" s="708"/>
      <c r="F23" s="708"/>
      <c r="G23" s="708"/>
      <c r="H23" s="709"/>
      <c r="I23" s="3945"/>
      <c r="J23" s="3945"/>
      <c r="K23" s="3945"/>
      <c r="L23" s="157"/>
      <c r="M23" s="3945"/>
      <c r="N23" s="3945"/>
      <c r="O23" s="157"/>
    </row>
  </sheetData>
  <mergeCells count="28">
    <mergeCell ref="I23:K23"/>
    <mergeCell ref="M23:N23"/>
    <mergeCell ref="M16:N16"/>
    <mergeCell ref="N10:N11"/>
    <mergeCell ref="A10:A11"/>
    <mergeCell ref="M10:M11"/>
    <mergeCell ref="I10:I11"/>
    <mergeCell ref="K10:K11"/>
    <mergeCell ref="D10:D11"/>
    <mergeCell ref="A14:D14"/>
    <mergeCell ref="A15:N15"/>
    <mergeCell ref="B10:C11"/>
    <mergeCell ref="E13:G13"/>
    <mergeCell ref="I17:K17"/>
    <mergeCell ref="M17:N17"/>
    <mergeCell ref="E10:H11"/>
    <mergeCell ref="A2:N2"/>
    <mergeCell ref="A1:N1"/>
    <mergeCell ref="A3:N3"/>
    <mergeCell ref="A8:N8"/>
    <mergeCell ref="A7:N7"/>
    <mergeCell ref="A4:G4"/>
    <mergeCell ref="A5:G5"/>
    <mergeCell ref="E14:H14"/>
    <mergeCell ref="E12:H12"/>
    <mergeCell ref="L10:L11"/>
    <mergeCell ref="J10:J11"/>
    <mergeCell ref="C17:E17"/>
  </mergeCells>
  <pageMargins left="0.35433070866141736" right="0.19685039370078741" top="0.51181102362204722" bottom="0.74803149606299213" header="0.31496062992125984" footer="0.31496062992125984"/>
  <pageSetup paperSize="9" scale="90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5"/>
  <sheetViews>
    <sheetView workbookViewId="0">
      <selection activeCell="E20" sqref="E20"/>
    </sheetView>
  </sheetViews>
  <sheetFormatPr defaultColWidth="9.375" defaultRowHeight="15"/>
  <cols>
    <col min="1" max="1" width="4.375" style="36" bestFit="1" customWidth="1"/>
    <col min="2" max="2" width="24" style="36" bestFit="1" customWidth="1"/>
    <col min="3" max="3" width="8.75" style="730" bestFit="1" customWidth="1"/>
    <col min="4" max="4" width="10.375" style="36" bestFit="1" customWidth="1"/>
    <col min="5" max="5" width="12.25" style="36" bestFit="1" customWidth="1"/>
    <col min="6" max="6" width="32.75" style="36" customWidth="1"/>
    <col min="7" max="7" width="29.375" style="29" customWidth="1"/>
    <col min="8" max="9" width="9.375" style="29"/>
    <col min="10" max="10" width="21.125" style="29" customWidth="1"/>
    <col min="11" max="13" width="9.375" style="29"/>
    <col min="14" max="14" width="12.75" style="29" customWidth="1"/>
    <col min="15" max="16384" width="9.375" style="29"/>
  </cols>
  <sheetData>
    <row r="1" spans="1:14" s="10" customFormat="1" thickTop="1">
      <c r="A1" s="6" t="s">
        <v>19</v>
      </c>
      <c r="B1" s="7" t="s">
        <v>20</v>
      </c>
      <c r="C1" s="7" t="s">
        <v>21</v>
      </c>
      <c r="D1" s="7" t="s">
        <v>22</v>
      </c>
      <c r="E1" s="8" t="s">
        <v>23</v>
      </c>
      <c r="F1" s="9" t="s">
        <v>24</v>
      </c>
      <c r="G1" s="725">
        <v>3070000</v>
      </c>
    </row>
    <row r="2" spans="1:14" s="16" customFormat="1" ht="15.75">
      <c r="A2" s="11"/>
      <c r="B2" s="678" t="s">
        <v>97</v>
      </c>
      <c r="C2" s="731">
        <v>1.22</v>
      </c>
      <c r="D2" s="735">
        <v>1.22</v>
      </c>
      <c r="E2" s="14"/>
      <c r="F2" s="734">
        <v>3965000</v>
      </c>
      <c r="G2" s="235">
        <f t="shared" ref="G2:G8" si="0">(F2*10.5%)*0.3751</f>
        <v>156163.50750000001</v>
      </c>
      <c r="H2" s="726">
        <f t="shared" ref="H2:H7" si="1">+F2/$G$1</f>
        <v>1.2915309446254071</v>
      </c>
      <c r="I2" s="726"/>
      <c r="J2" s="737">
        <f t="shared" ref="J2:J7" si="2">F2-K2</f>
        <v>219600</v>
      </c>
      <c r="K2" s="16">
        <v>3745400</v>
      </c>
    </row>
    <row r="3" spans="1:14" s="19" customFormat="1">
      <c r="A3" s="11"/>
      <c r="B3" s="20" t="s">
        <v>337</v>
      </c>
      <c r="C3" s="731">
        <v>2.5</v>
      </c>
      <c r="D3" s="735">
        <v>2.84</v>
      </c>
      <c r="E3" s="18"/>
      <c r="F3" s="734">
        <v>9230000</v>
      </c>
      <c r="G3" s="235">
        <f t="shared" si="0"/>
        <v>363528.16499999998</v>
      </c>
      <c r="H3" s="726">
        <f t="shared" si="1"/>
        <v>3.006514657980456</v>
      </c>
      <c r="I3" s="726"/>
      <c r="J3" s="737">
        <f t="shared" si="2"/>
        <v>511200</v>
      </c>
      <c r="K3" s="19">
        <v>8718800</v>
      </c>
    </row>
    <row r="4" spans="1:14" s="19" customFormat="1">
      <c r="A4" s="11"/>
      <c r="B4" s="12" t="s">
        <v>372</v>
      </c>
      <c r="C4" s="731">
        <v>1.17</v>
      </c>
      <c r="D4" s="735">
        <v>1.17</v>
      </c>
      <c r="E4" s="18"/>
      <c r="F4" s="734">
        <v>3802500</v>
      </c>
      <c r="G4" s="235">
        <f t="shared" si="0"/>
        <v>149763.36374999999</v>
      </c>
      <c r="H4" s="726">
        <f t="shared" si="1"/>
        <v>1.2385993485342019</v>
      </c>
      <c r="I4" s="726"/>
      <c r="J4" s="737">
        <f t="shared" si="2"/>
        <v>210600</v>
      </c>
      <c r="K4" s="19">
        <v>3591900</v>
      </c>
      <c r="N4" s="732">
        <v>3070000</v>
      </c>
    </row>
    <row r="5" spans="1:14" s="19" customFormat="1">
      <c r="A5" s="11"/>
      <c r="B5" s="12" t="s">
        <v>341</v>
      </c>
      <c r="C5" s="731">
        <v>1.41</v>
      </c>
      <c r="D5" s="735">
        <v>1.41</v>
      </c>
      <c r="E5" s="14"/>
      <c r="F5" s="734">
        <v>4582500</v>
      </c>
      <c r="G5" s="235">
        <f t="shared" si="0"/>
        <v>180484.05374999999</v>
      </c>
      <c r="H5" s="726">
        <f t="shared" si="1"/>
        <v>1.4926710097719871</v>
      </c>
      <c r="I5" s="726"/>
      <c r="J5" s="737">
        <f t="shared" si="2"/>
        <v>253800</v>
      </c>
      <c r="K5" s="19">
        <v>4328700</v>
      </c>
    </row>
    <row r="6" spans="1:14" s="16" customFormat="1">
      <c r="A6" s="11"/>
      <c r="B6" s="12" t="s">
        <v>96</v>
      </c>
      <c r="C6" s="728">
        <v>1.17</v>
      </c>
      <c r="D6" s="735">
        <v>1.17</v>
      </c>
      <c r="E6" s="14"/>
      <c r="F6" s="734">
        <v>4225000</v>
      </c>
      <c r="G6" s="235">
        <f t="shared" si="0"/>
        <v>166403.73749999999</v>
      </c>
      <c r="H6" s="726">
        <f t="shared" si="1"/>
        <v>1.3762214983713354</v>
      </c>
      <c r="I6" s="726"/>
      <c r="J6" s="737">
        <f t="shared" si="2"/>
        <v>633100</v>
      </c>
      <c r="K6" s="16">
        <v>3591900</v>
      </c>
    </row>
    <row r="7" spans="1:14" s="16" customFormat="1">
      <c r="A7" s="11"/>
      <c r="B7" s="23" t="s">
        <v>685</v>
      </c>
      <c r="C7" s="731">
        <v>1.62</v>
      </c>
      <c r="D7" s="736">
        <v>1.62</v>
      </c>
      <c r="E7" s="18"/>
      <c r="F7" s="734">
        <v>5265000</v>
      </c>
      <c r="G7" s="235">
        <f t="shared" si="0"/>
        <v>207364.6575</v>
      </c>
      <c r="H7" s="733">
        <f t="shared" si="1"/>
        <v>1.714983713355049</v>
      </c>
      <c r="I7" s="733"/>
      <c r="J7" s="737">
        <f t="shared" si="2"/>
        <v>793800</v>
      </c>
      <c r="K7" s="16">
        <v>4471200</v>
      </c>
    </row>
    <row r="8" spans="1:14" s="19" customFormat="1">
      <c r="A8" s="11"/>
      <c r="B8" s="12" t="s">
        <v>638</v>
      </c>
      <c r="C8" s="727"/>
      <c r="D8" s="17"/>
      <c r="E8" s="14"/>
      <c r="F8" s="734">
        <v>4127500</v>
      </c>
      <c r="G8" s="945">
        <f t="shared" si="0"/>
        <v>162563.65125</v>
      </c>
      <c r="H8" s="726">
        <f>+F8/$G$1</f>
        <v>1.3444625407166124</v>
      </c>
      <c r="I8" s="16"/>
      <c r="J8" s="16"/>
    </row>
    <row r="9" spans="1:14" s="16" customFormat="1">
      <c r="A9" s="11"/>
      <c r="B9" s="12"/>
      <c r="C9" s="727"/>
      <c r="D9" s="17"/>
      <c r="E9" s="14"/>
      <c r="F9" s="15"/>
      <c r="J9" s="16" t="s">
        <v>705</v>
      </c>
    </row>
    <row r="10" spans="1:14" s="16" customFormat="1">
      <c r="A10" s="11"/>
      <c r="B10" s="12"/>
      <c r="C10" s="727"/>
      <c r="D10" s="17"/>
      <c r="E10" s="14"/>
      <c r="F10" s="15"/>
    </row>
    <row r="11" spans="1:14" s="16" customFormat="1">
      <c r="A11" s="11"/>
      <c r="B11" s="24"/>
      <c r="C11" s="727"/>
      <c r="D11" s="17"/>
      <c r="E11" s="14"/>
      <c r="F11" s="15"/>
      <c r="H11" s="726"/>
    </row>
    <row r="12" spans="1:14" s="16" customFormat="1">
      <c r="A12" s="11"/>
      <c r="B12" s="12"/>
      <c r="C12" s="727"/>
      <c r="D12" s="17"/>
      <c r="E12" s="14"/>
      <c r="F12" s="15"/>
      <c r="G12" s="945"/>
      <c r="H12" s="726"/>
    </row>
    <row r="13" spans="1:14" s="16" customFormat="1">
      <c r="A13" s="11"/>
      <c r="B13" s="12"/>
      <c r="C13" s="727"/>
      <c r="D13" s="17"/>
      <c r="E13" s="14"/>
      <c r="F13" s="15"/>
    </row>
    <row r="14" spans="1:14" s="16" customFormat="1">
      <c r="A14" s="11"/>
      <c r="B14" s="20"/>
      <c r="C14" s="727"/>
      <c r="D14" s="17"/>
      <c r="E14" s="18"/>
      <c r="F14" s="15"/>
      <c r="G14" s="19"/>
      <c r="H14" s="19"/>
      <c r="I14" s="19"/>
      <c r="J14" s="19"/>
    </row>
    <row r="15" spans="1:14" s="19" customFormat="1">
      <c r="A15" s="11"/>
      <c r="B15" s="20"/>
      <c r="C15" s="727"/>
      <c r="D15" s="17"/>
      <c r="E15" s="18"/>
      <c r="F15" s="15"/>
      <c r="G15" s="16"/>
      <c r="H15" s="16"/>
    </row>
    <row r="16" spans="1:14" s="19" customFormat="1">
      <c r="A16" s="11"/>
      <c r="B16" s="25"/>
      <c r="C16" s="727"/>
      <c r="D16" s="17"/>
      <c r="E16" s="21"/>
      <c r="F16" s="15"/>
      <c r="G16" s="19" t="s">
        <v>690</v>
      </c>
    </row>
    <row r="17" spans="1:14" s="19" customFormat="1">
      <c r="A17" s="11"/>
      <c r="B17" s="12"/>
      <c r="C17" s="727"/>
      <c r="D17" s="17"/>
      <c r="E17" s="18"/>
      <c r="F17" s="15"/>
      <c r="G17" s="19" t="s">
        <v>691</v>
      </c>
    </row>
    <row r="18" spans="1:14" s="19" customFormat="1">
      <c r="A18" s="11"/>
      <c r="B18" s="12"/>
      <c r="C18" s="727"/>
      <c r="D18" s="17"/>
      <c r="E18" s="18"/>
      <c r="F18" s="15"/>
    </row>
    <row r="19" spans="1:14" s="19" customFormat="1">
      <c r="A19" s="11"/>
      <c r="B19" s="12"/>
      <c r="C19" s="727"/>
      <c r="D19" s="17"/>
      <c r="E19" s="18"/>
      <c r="F19" s="15"/>
    </row>
    <row r="20" spans="1:14" s="19" customFormat="1">
      <c r="A20" s="11"/>
      <c r="B20" s="12"/>
      <c r="C20" s="727"/>
      <c r="D20" s="17"/>
      <c r="E20" s="18"/>
      <c r="F20" s="15"/>
    </row>
    <row r="21" spans="1:14" s="19" customFormat="1">
      <c r="A21" s="11"/>
      <c r="B21" s="12"/>
      <c r="C21" s="727"/>
      <c r="D21" s="17"/>
      <c r="E21" s="18"/>
      <c r="F21" s="15"/>
    </row>
    <row r="22" spans="1:14" s="19" customFormat="1">
      <c r="A22" s="11"/>
      <c r="B22" s="12"/>
      <c r="C22" s="727"/>
      <c r="D22" s="17"/>
      <c r="E22" s="18"/>
      <c r="F22" s="15"/>
    </row>
    <row r="23" spans="1:14" s="19" customFormat="1">
      <c r="A23" s="11"/>
      <c r="B23" s="20"/>
      <c r="C23" s="727"/>
      <c r="D23" s="17"/>
      <c r="E23" s="18"/>
      <c r="F23" s="15"/>
    </row>
    <row r="24" spans="1:14" s="19" customFormat="1">
      <c r="A24" s="11"/>
      <c r="B24" s="20"/>
      <c r="C24" s="727"/>
      <c r="D24" s="17"/>
      <c r="E24" s="18"/>
      <c r="F24" s="15"/>
    </row>
    <row r="25" spans="1:14" s="19" customFormat="1">
      <c r="A25" s="11"/>
      <c r="B25" s="26"/>
      <c r="C25" s="727"/>
      <c r="D25" s="17"/>
      <c r="E25" s="18"/>
      <c r="F25" s="15"/>
    </row>
    <row r="26" spans="1:14" s="19" customFormat="1">
      <c r="A26" s="11"/>
      <c r="B26" s="26"/>
      <c r="C26" s="727"/>
      <c r="D26" s="17"/>
      <c r="E26" s="18"/>
      <c r="F26" s="15"/>
      <c r="J26" s="29"/>
    </row>
    <row r="27" spans="1:14" s="19" customFormat="1">
      <c r="A27" s="11"/>
      <c r="B27" s="27"/>
      <c r="C27" s="727"/>
      <c r="D27" s="17"/>
      <c r="E27" s="18"/>
      <c r="F27" s="15"/>
      <c r="J27" s="29"/>
      <c r="K27" s="29"/>
      <c r="L27" s="29"/>
      <c r="M27" s="29"/>
      <c r="N27" s="29"/>
    </row>
    <row r="28" spans="1:14" s="19" customFormat="1">
      <c r="A28" s="11"/>
      <c r="B28" s="28"/>
      <c r="C28" s="727"/>
      <c r="D28" s="17"/>
      <c r="E28" s="18"/>
      <c r="F28" s="15"/>
      <c r="J28" s="29"/>
      <c r="K28" s="29"/>
      <c r="L28" s="29"/>
      <c r="M28" s="29"/>
      <c r="N28" s="29"/>
    </row>
    <row r="29" spans="1:14" s="19" customFormat="1">
      <c r="A29" s="11"/>
      <c r="B29" s="12"/>
      <c r="C29" s="727"/>
      <c r="D29" s="13"/>
      <c r="E29" s="21"/>
      <c r="F29" s="15"/>
      <c r="G29" s="29"/>
      <c r="H29" s="29"/>
      <c r="I29" s="29"/>
      <c r="J29" s="16"/>
      <c r="K29" s="29"/>
      <c r="L29" s="29"/>
      <c r="M29" s="29"/>
      <c r="N29" s="29"/>
    </row>
    <row r="30" spans="1:14">
      <c r="A30" s="11"/>
      <c r="B30" s="30"/>
      <c r="C30" s="727"/>
      <c r="D30" s="13"/>
      <c r="E30" s="21"/>
      <c r="F30" s="15"/>
      <c r="J30" s="16"/>
      <c r="K30" s="16"/>
      <c r="L30" s="16"/>
      <c r="M30" s="16"/>
      <c r="N30" s="16"/>
    </row>
    <row r="31" spans="1:14">
      <c r="A31" s="11"/>
      <c r="B31" s="12"/>
      <c r="C31" s="727"/>
      <c r="D31" s="17"/>
      <c r="E31" s="21"/>
      <c r="F31" s="15"/>
      <c r="J31" s="19"/>
      <c r="K31" s="16"/>
      <c r="L31" s="16"/>
      <c r="M31" s="16"/>
      <c r="N31" s="16"/>
    </row>
    <row r="32" spans="1:14">
      <c r="A32" s="11"/>
      <c r="B32" s="24"/>
      <c r="C32" s="727"/>
      <c r="D32" s="22"/>
      <c r="E32" s="14"/>
      <c r="F32" s="15"/>
      <c r="G32" s="16"/>
      <c r="H32" s="16"/>
      <c r="I32" s="16"/>
      <c r="J32" s="16"/>
      <c r="K32" s="19"/>
      <c r="L32" s="19"/>
      <c r="M32" s="19"/>
      <c r="N32" s="19"/>
    </row>
    <row r="33" spans="1:14" s="16" customFormat="1">
      <c r="A33" s="11"/>
      <c r="B33" s="12"/>
      <c r="C33" s="727"/>
      <c r="D33" s="22"/>
      <c r="E33" s="14"/>
      <c r="F33" s="15"/>
      <c r="J33" s="19"/>
    </row>
    <row r="34" spans="1:14" s="16" customFormat="1">
      <c r="A34" s="11"/>
      <c r="B34" s="20"/>
      <c r="C34" s="727"/>
      <c r="D34" s="22"/>
      <c r="E34" s="18"/>
      <c r="F34" s="15"/>
      <c r="G34" s="19"/>
      <c r="H34" s="19"/>
      <c r="I34" s="19"/>
      <c r="J34" s="19"/>
      <c r="K34" s="19"/>
      <c r="L34" s="19"/>
      <c r="M34" s="19"/>
      <c r="N34" s="19"/>
    </row>
    <row r="35" spans="1:14" s="19" customFormat="1">
      <c r="A35" s="11"/>
      <c r="B35" s="12"/>
      <c r="C35" s="727"/>
      <c r="D35" s="22"/>
      <c r="E35" s="14"/>
      <c r="F35" s="15"/>
      <c r="G35" s="16"/>
      <c r="H35" s="16"/>
      <c r="I35" s="16"/>
      <c r="J35" s="29"/>
    </row>
    <row r="36" spans="1:14" s="16" customFormat="1">
      <c r="A36" s="11"/>
      <c r="B36" s="20"/>
      <c r="C36" s="727"/>
      <c r="D36" s="22"/>
      <c r="E36" s="18"/>
      <c r="F36" s="15"/>
      <c r="G36" s="19"/>
      <c r="H36" s="19"/>
      <c r="I36" s="19"/>
      <c r="J36" s="29"/>
      <c r="K36" s="29"/>
      <c r="L36" s="29"/>
      <c r="M36" s="29"/>
      <c r="N36" s="29"/>
    </row>
    <row r="37" spans="1:14" s="19" customFormat="1">
      <c r="A37" s="11"/>
      <c r="B37" s="20"/>
      <c r="C37" s="727"/>
      <c r="D37" s="22"/>
      <c r="E37" s="18"/>
      <c r="F37" s="15"/>
      <c r="J37" s="29"/>
      <c r="K37" s="29"/>
      <c r="L37" s="29"/>
      <c r="M37" s="29"/>
      <c r="N37" s="29"/>
    </row>
    <row r="38" spans="1:14" s="19" customFormat="1" ht="15.75" thickBot="1">
      <c r="A38" s="31"/>
      <c r="B38" s="32"/>
      <c r="C38" s="729">
        <f>SUM(C2:C37)</f>
        <v>9.09</v>
      </c>
      <c r="D38" s="33">
        <f>SUM(D2:D37)</f>
        <v>9.43</v>
      </c>
      <c r="E38" s="34">
        <f>SUM(E2:E37)</f>
        <v>0</v>
      </c>
      <c r="F38" s="35">
        <f>SUM(F2:F37)</f>
        <v>35197500</v>
      </c>
      <c r="G38" s="681">
        <f>+F38/27*'Lương USD'!D9</f>
        <v>1226437.3333333333</v>
      </c>
      <c r="H38" s="29"/>
      <c r="I38" s="29"/>
      <c r="J38" s="29"/>
      <c r="K38" s="29"/>
      <c r="L38" s="29"/>
      <c r="M38" s="29"/>
      <c r="N38" s="29"/>
    </row>
    <row r="39" spans="1:14" ht="15.75" thickTop="1">
      <c r="F39" s="37">
        <f>F38*[20]Luong!C8</f>
        <v>13058272.5</v>
      </c>
    </row>
    <row r="101" ht="14.45" customHeight="1"/>
    <row r="103" ht="14.45" customHeight="1"/>
    <row r="105" ht="14.45" customHeight="1"/>
  </sheetData>
  <phoneticPr fontId="57" type="noConversion"/>
  <pageMargins left="0.7" right="0.7" top="0.75" bottom="0.75" header="0.3" footer="0.3"/>
  <pageSetup paperSize="9" orientation="portrait" verticalDpi="0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AM153"/>
  <sheetViews>
    <sheetView workbookViewId="0">
      <selection activeCell="L40" sqref="L40"/>
    </sheetView>
  </sheetViews>
  <sheetFormatPr defaultColWidth="9.375" defaultRowHeight="15"/>
  <cols>
    <col min="1" max="1" width="4.25" style="301" customWidth="1"/>
    <col min="2" max="2" width="5.375" style="301" hidden="1" customWidth="1"/>
    <col min="3" max="3" width="10" style="301" customWidth="1"/>
    <col min="4" max="4" width="6.125" style="301" customWidth="1"/>
    <col min="5" max="5" width="7.125" style="301" customWidth="1"/>
    <col min="6" max="6" width="5.125" style="301" customWidth="1"/>
    <col min="7" max="7" width="6.25" style="301" customWidth="1"/>
    <col min="8" max="8" width="5.25" style="301" customWidth="1"/>
    <col min="9" max="9" width="4.875" style="301" customWidth="1"/>
    <col min="10" max="10" width="5.375" style="301" customWidth="1"/>
    <col min="11" max="11" width="7" style="301" customWidth="1"/>
    <col min="12" max="12" width="5.75" style="301" customWidth="1"/>
    <col min="13" max="14" width="7" style="301" customWidth="1"/>
    <col min="15" max="15" width="5.25" style="301" customWidth="1"/>
    <col min="16" max="17" width="6.625" style="301" customWidth="1"/>
    <col min="18" max="16384" width="9.375" style="301"/>
  </cols>
  <sheetData>
    <row r="1" spans="1:39" ht="15.7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3"/>
    </row>
    <row r="2" spans="1:39" ht="15.75">
      <c r="A2" s="4765" t="s">
        <v>164</v>
      </c>
      <c r="B2" s="4765"/>
      <c r="C2" s="4765"/>
      <c r="D2" s="4765"/>
      <c r="E2" s="4765"/>
      <c r="F2" s="305"/>
      <c r="G2" s="305"/>
      <c r="H2" s="4766" t="s">
        <v>165</v>
      </c>
      <c r="I2" s="4766"/>
      <c r="J2" s="4766"/>
      <c r="K2" s="4766"/>
      <c r="L2" s="4766"/>
      <c r="M2" s="4766"/>
      <c r="N2" s="4766"/>
      <c r="O2" s="4766"/>
      <c r="P2" s="4766"/>
      <c r="Q2" s="4766"/>
      <c r="R2" s="304"/>
    </row>
    <row r="3" spans="1:39" ht="15.75">
      <c r="A3" s="4766" t="s">
        <v>324</v>
      </c>
      <c r="B3" s="4766"/>
      <c r="C3" s="4766"/>
      <c r="D3" s="4766"/>
      <c r="E3" s="4766"/>
      <c r="F3" s="305"/>
      <c r="G3" s="305"/>
      <c r="H3" s="4765" t="s">
        <v>299</v>
      </c>
      <c r="I3" s="4765"/>
      <c r="J3" s="4765"/>
      <c r="K3" s="4765"/>
      <c r="L3" s="4765"/>
      <c r="M3" s="4765"/>
      <c r="N3" s="4765"/>
      <c r="O3" s="4765"/>
      <c r="P3" s="4765"/>
      <c r="Q3" s="4765"/>
      <c r="R3" s="306"/>
    </row>
    <row r="4" spans="1:39" ht="15.75" customHeight="1">
      <c r="B4" s="302"/>
      <c r="C4" s="302"/>
      <c r="D4" s="302"/>
      <c r="E4" s="302"/>
      <c r="F4" s="302"/>
      <c r="G4" s="302"/>
      <c r="H4" s="302"/>
      <c r="I4" s="302"/>
      <c r="J4" s="305"/>
      <c r="K4" s="305"/>
      <c r="L4" s="305"/>
      <c r="M4" s="305"/>
      <c r="N4" s="305"/>
      <c r="O4" s="305"/>
      <c r="P4" s="305"/>
      <c r="Q4" s="305"/>
      <c r="R4" s="305"/>
    </row>
    <row r="5" spans="1:39" ht="8.25" customHeight="1">
      <c r="A5" s="304"/>
      <c r="B5" s="304"/>
      <c r="C5" s="304"/>
      <c r="D5" s="304"/>
      <c r="E5" s="304"/>
      <c r="F5" s="304"/>
      <c r="G5" s="304"/>
      <c r="H5" s="304"/>
      <c r="I5" s="305"/>
      <c r="J5" s="305"/>
      <c r="K5" s="305"/>
      <c r="L5" s="305"/>
      <c r="M5" s="305"/>
      <c r="N5" s="305"/>
      <c r="O5" s="305"/>
      <c r="P5" s="305"/>
      <c r="Q5" s="305"/>
      <c r="R5" s="305"/>
    </row>
    <row r="6" spans="1:39" ht="20.25" customHeight="1">
      <c r="A6" s="4771" t="s">
        <v>359</v>
      </c>
      <c r="B6" s="4771"/>
      <c r="C6" s="4771"/>
      <c r="D6" s="4771"/>
      <c r="E6" s="4771"/>
      <c r="F6" s="4771"/>
      <c r="G6" s="4771"/>
      <c r="H6" s="4771"/>
      <c r="I6" s="4771"/>
      <c r="J6" s="4771"/>
      <c r="K6" s="4771"/>
      <c r="L6" s="4771"/>
      <c r="M6" s="4771"/>
      <c r="N6" s="4771"/>
      <c r="O6" s="4771"/>
      <c r="P6" s="4771"/>
      <c r="Q6" s="4771"/>
      <c r="R6" s="307"/>
    </row>
    <row r="7" spans="1:39" ht="9.75" customHeight="1">
      <c r="A7" s="304"/>
      <c r="B7" s="304"/>
      <c r="C7" s="304"/>
      <c r="D7" s="304"/>
      <c r="E7" s="304"/>
      <c r="F7" s="304"/>
      <c r="G7" s="304"/>
      <c r="H7" s="304"/>
      <c r="I7" s="305"/>
      <c r="J7" s="305"/>
      <c r="K7" s="305"/>
      <c r="L7" s="305"/>
      <c r="M7" s="305"/>
      <c r="N7" s="305"/>
      <c r="O7" s="305"/>
      <c r="P7" s="305"/>
      <c r="Q7" s="305"/>
      <c r="R7" s="305"/>
    </row>
    <row r="8" spans="1:39" ht="17.25" customHeight="1">
      <c r="A8" s="304"/>
      <c r="B8" s="304"/>
      <c r="C8" s="304"/>
      <c r="D8" s="304"/>
      <c r="F8" s="304"/>
      <c r="G8" s="304"/>
      <c r="H8" s="304"/>
      <c r="I8" s="305"/>
      <c r="J8" s="305"/>
      <c r="K8" s="305"/>
      <c r="L8" s="305"/>
      <c r="M8" s="305"/>
      <c r="N8" s="305"/>
      <c r="O8" s="305"/>
      <c r="P8" s="305"/>
      <c r="Q8" s="305"/>
      <c r="R8" s="305"/>
    </row>
    <row r="9" spans="1:39" ht="60" customHeight="1">
      <c r="A9" s="308" t="s">
        <v>19</v>
      </c>
      <c r="B9" s="308" t="s">
        <v>239</v>
      </c>
      <c r="C9" s="308" t="s">
        <v>20</v>
      </c>
      <c r="D9" s="309" t="s">
        <v>325</v>
      </c>
      <c r="E9" s="310" t="s">
        <v>360</v>
      </c>
      <c r="F9" s="310" t="s">
        <v>361</v>
      </c>
      <c r="G9" s="310" t="s">
        <v>362</v>
      </c>
      <c r="H9" s="310" t="s">
        <v>363</v>
      </c>
      <c r="I9" s="310" t="s">
        <v>361</v>
      </c>
      <c r="J9" s="310" t="s">
        <v>362</v>
      </c>
      <c r="K9" s="310" t="s">
        <v>364</v>
      </c>
      <c r="L9" s="310" t="s">
        <v>361</v>
      </c>
      <c r="M9" s="310" t="s">
        <v>362</v>
      </c>
      <c r="N9" s="310" t="s">
        <v>365</v>
      </c>
      <c r="O9" s="310" t="s">
        <v>361</v>
      </c>
      <c r="P9" s="310" t="s">
        <v>362</v>
      </c>
      <c r="Q9" s="309" t="s">
        <v>366</v>
      </c>
      <c r="R9" s="311"/>
      <c r="T9" s="312"/>
    </row>
    <row r="10" spans="1:39" ht="15" customHeight="1">
      <c r="A10" s="313" t="s">
        <v>147</v>
      </c>
      <c r="B10" s="314" t="s">
        <v>272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6"/>
      <c r="R10" s="311"/>
    </row>
    <row r="11" spans="1:39" s="328" customFormat="1" ht="15" customHeight="1">
      <c r="A11" s="317">
        <v>1</v>
      </c>
      <c r="B11" s="318" t="str">
        <f>VLOOKUP(C11,'[21]Tổng NT'!$C$18:$D$55,2,0)</f>
        <v>00483</v>
      </c>
      <c r="C11" s="319" t="str">
        <f>[21]C.Công!C10</f>
        <v>Văn Ma</v>
      </c>
      <c r="D11" s="320" t="s">
        <v>40</v>
      </c>
      <c r="E11" s="321">
        <v>4</v>
      </c>
      <c r="F11" s="322">
        <v>3</v>
      </c>
      <c r="G11" s="323">
        <f t="shared" ref="G11:G29" si="0">ROUND(E11/$F$11,2)</f>
        <v>1.33</v>
      </c>
      <c r="H11" s="321"/>
      <c r="I11" s="324">
        <v>0.5</v>
      </c>
      <c r="J11" s="323">
        <f t="shared" ref="J11:J29" si="1">ROUND(H11/$I$11,2)</f>
        <v>0</v>
      </c>
      <c r="K11" s="325"/>
      <c r="L11" s="326">
        <v>0.67</v>
      </c>
      <c r="M11" s="323">
        <f t="shared" ref="M11:M29" si="2">ROUND(K11/$L$11,2)</f>
        <v>0</v>
      </c>
      <c r="N11" s="325"/>
      <c r="O11" s="326">
        <v>0.67</v>
      </c>
      <c r="P11" s="323">
        <f t="shared" ref="P11:P29" si="3">ROUND(N11/$L$11,2)</f>
        <v>0</v>
      </c>
      <c r="Q11" s="327">
        <f t="shared" ref="Q11:Q29" si="4">G11+J11+M11</f>
        <v>1.33</v>
      </c>
      <c r="R11" s="31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</row>
    <row r="12" spans="1:39" s="328" customFormat="1" ht="15" customHeight="1">
      <c r="A12" s="329">
        <v>2</v>
      </c>
      <c r="B12" s="124" t="e">
        <f>VLOOKUP(C12,'[21]Tổng NT'!$C$18:$D$55,2,0)</f>
        <v>#REF!</v>
      </c>
      <c r="C12" s="319" t="e">
        <f>#REF!</f>
        <v>#REF!</v>
      </c>
      <c r="D12" s="330" t="s">
        <v>40</v>
      </c>
      <c r="E12" s="331">
        <v>4</v>
      </c>
      <c r="F12" s="331"/>
      <c r="G12" s="332">
        <f t="shared" si="0"/>
        <v>1.33</v>
      </c>
      <c r="H12" s="331"/>
      <c r="I12" s="333"/>
      <c r="J12" s="334">
        <f t="shared" si="1"/>
        <v>0</v>
      </c>
      <c r="K12" s="335"/>
      <c r="L12" s="336"/>
      <c r="M12" s="334">
        <f t="shared" si="2"/>
        <v>0</v>
      </c>
      <c r="N12" s="335"/>
      <c r="O12" s="336"/>
      <c r="P12" s="334">
        <f t="shared" si="3"/>
        <v>0</v>
      </c>
      <c r="Q12" s="337">
        <f t="shared" si="4"/>
        <v>1.33</v>
      </c>
      <c r="R12" s="31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</row>
    <row r="13" spans="1:39" s="328" customFormat="1" ht="15" customHeight="1">
      <c r="A13" s="317">
        <v>3</v>
      </c>
      <c r="B13" s="124" t="str">
        <f>VLOOKUP(C13,'[21]Tổng NT'!$C$18:$D$55,2,0)</f>
        <v>00493</v>
      </c>
      <c r="C13" s="319" t="str">
        <f>[21]C.Công!C12</f>
        <v>Stoong</v>
      </c>
      <c r="D13" s="330" t="s">
        <v>40</v>
      </c>
      <c r="E13" s="331">
        <v>4</v>
      </c>
      <c r="F13" s="331"/>
      <c r="G13" s="332">
        <f t="shared" si="0"/>
        <v>1.33</v>
      </c>
      <c r="H13" s="331"/>
      <c r="I13" s="333"/>
      <c r="J13" s="334">
        <f t="shared" si="1"/>
        <v>0</v>
      </c>
      <c r="K13" s="335"/>
      <c r="L13" s="336"/>
      <c r="M13" s="334">
        <f t="shared" si="2"/>
        <v>0</v>
      </c>
      <c r="N13" s="335"/>
      <c r="O13" s="336"/>
      <c r="P13" s="334">
        <f t="shared" si="3"/>
        <v>0</v>
      </c>
      <c r="Q13" s="337">
        <f t="shared" si="4"/>
        <v>1.33</v>
      </c>
      <c r="R13" s="31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</row>
    <row r="14" spans="1:39" s="328" customFormat="1" ht="15" customHeight="1">
      <c r="A14" s="329">
        <v>4</v>
      </c>
      <c r="B14" s="124" t="str">
        <f>VLOOKUP(C14,'[21]Tổng NT'!$C$18:$D$55,2,0)</f>
        <v>00742</v>
      </c>
      <c r="C14" s="319" t="str">
        <f>[21]C.Công!C13</f>
        <v>May</v>
      </c>
      <c r="D14" s="330" t="s">
        <v>40</v>
      </c>
      <c r="E14" s="331">
        <v>4</v>
      </c>
      <c r="F14" s="331"/>
      <c r="G14" s="332">
        <f t="shared" si="0"/>
        <v>1.33</v>
      </c>
      <c r="H14" s="331"/>
      <c r="I14" s="333"/>
      <c r="J14" s="334">
        <f t="shared" si="1"/>
        <v>0</v>
      </c>
      <c r="K14" s="335"/>
      <c r="L14" s="336"/>
      <c r="M14" s="334">
        <f t="shared" si="2"/>
        <v>0</v>
      </c>
      <c r="N14" s="335"/>
      <c r="O14" s="336"/>
      <c r="P14" s="334">
        <f t="shared" si="3"/>
        <v>0</v>
      </c>
      <c r="Q14" s="337">
        <f t="shared" si="4"/>
        <v>1.33</v>
      </c>
      <c r="R14" s="31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</row>
    <row r="15" spans="1:39" s="328" customFormat="1" ht="15" customHeight="1">
      <c r="A15" s="317">
        <v>5</v>
      </c>
      <c r="B15" s="124" t="str">
        <f>VLOOKUP(C15,'[21]Tổng NT'!$C$18:$D$55,2,0)</f>
        <v>00896</v>
      </c>
      <c r="C15" s="319" t="str">
        <f>[21]C.Công!C14</f>
        <v>Nàng Phất</v>
      </c>
      <c r="D15" s="330" t="s">
        <v>40</v>
      </c>
      <c r="E15" s="331">
        <v>4</v>
      </c>
      <c r="F15" s="331"/>
      <c r="G15" s="332">
        <f t="shared" si="0"/>
        <v>1.33</v>
      </c>
      <c r="H15" s="331"/>
      <c r="I15" s="333"/>
      <c r="J15" s="334">
        <f t="shared" si="1"/>
        <v>0</v>
      </c>
      <c r="K15" s="335"/>
      <c r="L15" s="336"/>
      <c r="M15" s="334">
        <f t="shared" si="2"/>
        <v>0</v>
      </c>
      <c r="N15" s="335"/>
      <c r="O15" s="336"/>
      <c r="P15" s="334">
        <f t="shared" si="3"/>
        <v>0</v>
      </c>
      <c r="Q15" s="337">
        <f t="shared" si="4"/>
        <v>1.33</v>
      </c>
      <c r="R15" s="31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</row>
    <row r="16" spans="1:39" s="328" customFormat="1" ht="15" customHeight="1">
      <c r="A16" s="329">
        <v>6</v>
      </c>
      <c r="B16" s="124" t="str">
        <f>VLOOKUP(C16,'[21]Tổng NT'!$C$18:$D$55,2,0)</f>
        <v>00480</v>
      </c>
      <c r="C16" s="319" t="str">
        <f>[21]C.Công!C15</f>
        <v>Ngăn</v>
      </c>
      <c r="D16" s="330" t="s">
        <v>40</v>
      </c>
      <c r="E16" s="331">
        <v>4</v>
      </c>
      <c r="F16" s="331"/>
      <c r="G16" s="332">
        <f t="shared" si="0"/>
        <v>1.33</v>
      </c>
      <c r="H16" s="331"/>
      <c r="I16" s="333"/>
      <c r="J16" s="332">
        <f t="shared" si="1"/>
        <v>0</v>
      </c>
      <c r="K16" s="335"/>
      <c r="L16" s="336"/>
      <c r="M16" s="334">
        <f t="shared" si="2"/>
        <v>0</v>
      </c>
      <c r="N16" s="335"/>
      <c r="O16" s="336"/>
      <c r="P16" s="334">
        <f t="shared" si="3"/>
        <v>0</v>
      </c>
      <c r="Q16" s="337">
        <f t="shared" si="4"/>
        <v>1.33</v>
      </c>
      <c r="R16" s="31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</row>
    <row r="17" spans="1:39" s="328" customFormat="1" ht="15" customHeight="1">
      <c r="A17" s="317">
        <v>7</v>
      </c>
      <c r="B17" s="124"/>
      <c r="C17" s="319" t="str">
        <f>[21]C.Công!C16</f>
        <v>Đăm</v>
      </c>
      <c r="D17" s="330" t="s">
        <v>40</v>
      </c>
      <c r="E17" s="331">
        <v>4</v>
      </c>
      <c r="F17" s="331"/>
      <c r="G17" s="332">
        <f t="shared" si="0"/>
        <v>1.33</v>
      </c>
      <c r="H17" s="331"/>
      <c r="I17" s="333"/>
      <c r="J17" s="334">
        <f t="shared" si="1"/>
        <v>0</v>
      </c>
      <c r="K17" s="335"/>
      <c r="L17" s="336"/>
      <c r="M17" s="334">
        <f t="shared" si="2"/>
        <v>0</v>
      </c>
      <c r="N17" s="335"/>
      <c r="O17" s="336"/>
      <c r="P17" s="334">
        <f t="shared" si="3"/>
        <v>0</v>
      </c>
      <c r="Q17" s="337">
        <f t="shared" si="4"/>
        <v>1.33</v>
      </c>
      <c r="R17" s="31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</row>
    <row r="18" spans="1:39" s="328" customFormat="1" ht="15" customHeight="1">
      <c r="A18" s="329">
        <v>8</v>
      </c>
      <c r="B18" s="124"/>
      <c r="C18" s="319" t="str">
        <f>[21]C.Công!C17</f>
        <v>Lọn</v>
      </c>
      <c r="D18" s="330" t="s">
        <v>40</v>
      </c>
      <c r="E18" s="331">
        <v>4</v>
      </c>
      <c r="F18" s="331"/>
      <c r="G18" s="332">
        <f t="shared" si="0"/>
        <v>1.33</v>
      </c>
      <c r="H18" s="331"/>
      <c r="I18" s="333"/>
      <c r="J18" s="334">
        <f t="shared" si="1"/>
        <v>0</v>
      </c>
      <c r="K18" s="335"/>
      <c r="L18" s="336"/>
      <c r="M18" s="334">
        <f t="shared" si="2"/>
        <v>0</v>
      </c>
      <c r="N18" s="335"/>
      <c r="O18" s="336"/>
      <c r="P18" s="334">
        <f t="shared" si="3"/>
        <v>0</v>
      </c>
      <c r="Q18" s="337">
        <f t="shared" si="4"/>
        <v>1.33</v>
      </c>
      <c r="R18" s="31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</row>
    <row r="19" spans="1:39" s="328" customFormat="1" ht="15" customHeight="1">
      <c r="A19" s="317">
        <v>9</v>
      </c>
      <c r="B19" s="124"/>
      <c r="C19" s="319" t="str">
        <f>[21]C.Công!C18</f>
        <v>Văt Đi</v>
      </c>
      <c r="D19" s="330" t="s">
        <v>40</v>
      </c>
      <c r="E19" s="331">
        <v>4</v>
      </c>
      <c r="F19" s="331"/>
      <c r="G19" s="332">
        <f t="shared" si="0"/>
        <v>1.33</v>
      </c>
      <c r="H19" s="331"/>
      <c r="I19" s="333"/>
      <c r="J19" s="334">
        <f t="shared" si="1"/>
        <v>0</v>
      </c>
      <c r="K19" s="335"/>
      <c r="L19" s="336"/>
      <c r="M19" s="334">
        <f t="shared" si="2"/>
        <v>0</v>
      </c>
      <c r="N19" s="335"/>
      <c r="O19" s="336"/>
      <c r="P19" s="334">
        <f t="shared" si="3"/>
        <v>0</v>
      </c>
      <c r="Q19" s="337">
        <f t="shared" si="4"/>
        <v>1.33</v>
      </c>
      <c r="R19" s="31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</row>
    <row r="20" spans="1:39" s="328" customFormat="1" ht="15" customHeight="1">
      <c r="A20" s="329">
        <v>10</v>
      </c>
      <c r="B20" s="124"/>
      <c r="C20" s="319" t="str">
        <f>[21]C.Công!C19</f>
        <v>Mon</v>
      </c>
      <c r="D20" s="330" t="s">
        <v>40</v>
      </c>
      <c r="E20" s="331">
        <v>4</v>
      </c>
      <c r="F20" s="331"/>
      <c r="G20" s="332">
        <f t="shared" si="0"/>
        <v>1.33</v>
      </c>
      <c r="H20" s="331"/>
      <c r="I20" s="333"/>
      <c r="J20" s="334">
        <f t="shared" si="1"/>
        <v>0</v>
      </c>
      <c r="K20" s="335"/>
      <c r="L20" s="336"/>
      <c r="M20" s="334">
        <f t="shared" si="2"/>
        <v>0</v>
      </c>
      <c r="N20" s="335"/>
      <c r="O20" s="336"/>
      <c r="P20" s="334">
        <f t="shared" si="3"/>
        <v>0</v>
      </c>
      <c r="Q20" s="337">
        <f t="shared" si="4"/>
        <v>1.33</v>
      </c>
      <c r="R20" s="31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1"/>
    </row>
    <row r="21" spans="1:39" s="328" customFormat="1" ht="15" customHeight="1">
      <c r="A21" s="317">
        <v>11</v>
      </c>
      <c r="B21" s="124"/>
      <c r="C21" s="319" t="str">
        <f>[21]C.Công!C20</f>
        <v>Phêng</v>
      </c>
      <c r="D21" s="330" t="s">
        <v>40</v>
      </c>
      <c r="E21" s="331">
        <v>4</v>
      </c>
      <c r="F21" s="331"/>
      <c r="G21" s="332">
        <f t="shared" si="0"/>
        <v>1.33</v>
      </c>
      <c r="H21" s="331"/>
      <c r="I21" s="333"/>
      <c r="J21" s="334">
        <f t="shared" si="1"/>
        <v>0</v>
      </c>
      <c r="K21" s="335"/>
      <c r="L21" s="336"/>
      <c r="M21" s="334">
        <f t="shared" si="2"/>
        <v>0</v>
      </c>
      <c r="N21" s="335"/>
      <c r="O21" s="336"/>
      <c r="P21" s="334">
        <f t="shared" si="3"/>
        <v>0</v>
      </c>
      <c r="Q21" s="337">
        <f t="shared" si="4"/>
        <v>1.33</v>
      </c>
      <c r="R21" s="31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</row>
    <row r="22" spans="1:39" s="328" customFormat="1" ht="15" customHeight="1">
      <c r="A22" s="329">
        <v>12</v>
      </c>
      <c r="B22" s="124"/>
      <c r="C22" s="319" t="str">
        <f>[21]C.Công!C21</f>
        <v>Bun Mi</v>
      </c>
      <c r="D22" s="330" t="s">
        <v>40</v>
      </c>
      <c r="E22" s="331">
        <v>4</v>
      </c>
      <c r="F22" s="331"/>
      <c r="G22" s="332">
        <f t="shared" si="0"/>
        <v>1.33</v>
      </c>
      <c r="H22" s="331"/>
      <c r="I22" s="333"/>
      <c r="J22" s="334">
        <f t="shared" si="1"/>
        <v>0</v>
      </c>
      <c r="K22" s="335"/>
      <c r="L22" s="336"/>
      <c r="M22" s="334">
        <f t="shared" si="2"/>
        <v>0</v>
      </c>
      <c r="N22" s="335"/>
      <c r="O22" s="336"/>
      <c r="P22" s="334">
        <f t="shared" si="3"/>
        <v>0</v>
      </c>
      <c r="Q22" s="337">
        <f t="shared" si="4"/>
        <v>1.33</v>
      </c>
      <c r="R22" s="31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</row>
    <row r="23" spans="1:39" s="328" customFormat="1" ht="15" customHeight="1">
      <c r="A23" s="317">
        <v>13</v>
      </c>
      <c r="B23" s="124"/>
      <c r="C23" s="319" t="str">
        <f>[21]C.Công!C22</f>
        <v>Đon</v>
      </c>
      <c r="D23" s="330" t="s">
        <v>40</v>
      </c>
      <c r="E23" s="331">
        <v>4</v>
      </c>
      <c r="F23" s="331"/>
      <c r="G23" s="332">
        <f t="shared" si="0"/>
        <v>1.33</v>
      </c>
      <c r="H23" s="331"/>
      <c r="I23" s="333"/>
      <c r="J23" s="332">
        <f t="shared" si="1"/>
        <v>0</v>
      </c>
      <c r="K23" s="335"/>
      <c r="L23" s="336"/>
      <c r="M23" s="334">
        <f t="shared" si="2"/>
        <v>0</v>
      </c>
      <c r="N23" s="335"/>
      <c r="O23" s="336"/>
      <c r="P23" s="334">
        <f t="shared" si="3"/>
        <v>0</v>
      </c>
      <c r="Q23" s="337">
        <f t="shared" si="4"/>
        <v>1.33</v>
      </c>
      <c r="R23" s="31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1"/>
    </row>
    <row r="24" spans="1:39" s="328" customFormat="1" ht="15" customHeight="1">
      <c r="A24" s="329">
        <v>14</v>
      </c>
      <c r="B24" s="124">
        <f>VLOOKUP(C24,'[21]Tổng NT'!$C$18:$D$55,2,0)</f>
        <v>0</v>
      </c>
      <c r="C24" s="319" t="str">
        <f>[21]C.Công!C23</f>
        <v>Nàng Nàng</v>
      </c>
      <c r="D24" s="330" t="s">
        <v>40</v>
      </c>
      <c r="E24" s="331">
        <v>4</v>
      </c>
      <c r="F24" s="331"/>
      <c r="G24" s="332">
        <f t="shared" si="0"/>
        <v>1.33</v>
      </c>
      <c r="H24" s="331"/>
      <c r="I24" s="333"/>
      <c r="J24" s="332">
        <f t="shared" si="1"/>
        <v>0</v>
      </c>
      <c r="K24" s="335"/>
      <c r="L24" s="336"/>
      <c r="M24" s="332">
        <f t="shared" si="2"/>
        <v>0</v>
      </c>
      <c r="N24" s="335"/>
      <c r="O24" s="336"/>
      <c r="P24" s="332">
        <f t="shared" si="3"/>
        <v>0</v>
      </c>
      <c r="Q24" s="337">
        <f t="shared" si="4"/>
        <v>1.33</v>
      </c>
      <c r="R24" s="31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</row>
    <row r="25" spans="1:39" s="328" customFormat="1" ht="15" customHeight="1">
      <c r="A25" s="317">
        <v>15</v>
      </c>
      <c r="B25" s="124" t="str">
        <f>VLOOKUP(C25,'[21]Tổng NT'!$C$18:$D$55,2,0)</f>
        <v>00897</v>
      </c>
      <c r="C25" s="319" t="str">
        <f>[21]C.Công!C24</f>
        <v>Nàng Cu lạp</v>
      </c>
      <c r="D25" s="330" t="s">
        <v>40</v>
      </c>
      <c r="E25" s="331">
        <v>4</v>
      </c>
      <c r="F25" s="331"/>
      <c r="G25" s="332">
        <f t="shared" si="0"/>
        <v>1.33</v>
      </c>
      <c r="H25" s="331"/>
      <c r="I25" s="333"/>
      <c r="J25" s="332">
        <f t="shared" si="1"/>
        <v>0</v>
      </c>
      <c r="K25" s="335"/>
      <c r="L25" s="336"/>
      <c r="M25" s="332">
        <f t="shared" si="2"/>
        <v>0</v>
      </c>
      <c r="N25" s="335"/>
      <c r="O25" s="336"/>
      <c r="P25" s="332">
        <f t="shared" si="3"/>
        <v>0</v>
      </c>
      <c r="Q25" s="337">
        <f t="shared" si="4"/>
        <v>1.33</v>
      </c>
      <c r="R25" s="31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</row>
    <row r="26" spans="1:39" s="328" customFormat="1" ht="15" customHeight="1">
      <c r="A26" s="329">
        <v>16</v>
      </c>
      <c r="B26" s="124" t="str">
        <f>VLOOKUP(C26,'[21]Tổng NT'!$C$18:$D$55,2,0)</f>
        <v>00898</v>
      </c>
      <c r="C26" s="319" t="str">
        <f>[21]C.Công!C25</f>
        <v>Thảo Pon</v>
      </c>
      <c r="D26" s="330" t="s">
        <v>40</v>
      </c>
      <c r="E26" s="331">
        <v>4</v>
      </c>
      <c r="F26" s="331"/>
      <c r="G26" s="332">
        <f t="shared" si="0"/>
        <v>1.33</v>
      </c>
      <c r="H26" s="331"/>
      <c r="I26" s="333"/>
      <c r="J26" s="332">
        <f t="shared" si="1"/>
        <v>0</v>
      </c>
      <c r="K26" s="335"/>
      <c r="L26" s="336"/>
      <c r="M26" s="334">
        <f t="shared" si="2"/>
        <v>0</v>
      </c>
      <c r="N26" s="335"/>
      <c r="O26" s="336"/>
      <c r="P26" s="334">
        <f t="shared" si="3"/>
        <v>0</v>
      </c>
      <c r="Q26" s="337">
        <f t="shared" si="4"/>
        <v>1.33</v>
      </c>
      <c r="R26" s="31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</row>
    <row r="27" spans="1:39" s="328" customFormat="1" ht="15" customHeight="1">
      <c r="A27" s="317">
        <v>17</v>
      </c>
      <c r="B27" s="124" t="str">
        <f>VLOOKUP(C27,'[21]Tổng NT'!$C$18:$D$55,2,0)</f>
        <v>00899</v>
      </c>
      <c r="C27" s="319" t="str">
        <f>[21]C.Công!C26</f>
        <v>Nàng Tú</v>
      </c>
      <c r="D27" s="330" t="s">
        <v>40</v>
      </c>
      <c r="E27" s="331">
        <v>4</v>
      </c>
      <c r="F27" s="331"/>
      <c r="G27" s="332">
        <f t="shared" si="0"/>
        <v>1.33</v>
      </c>
      <c r="H27" s="331"/>
      <c r="I27" s="333"/>
      <c r="J27" s="332">
        <f t="shared" si="1"/>
        <v>0</v>
      </c>
      <c r="K27" s="335"/>
      <c r="L27" s="336"/>
      <c r="M27" s="332">
        <f t="shared" si="2"/>
        <v>0</v>
      </c>
      <c r="N27" s="335"/>
      <c r="O27" s="336"/>
      <c r="P27" s="332">
        <f t="shared" si="3"/>
        <v>0</v>
      </c>
      <c r="Q27" s="337">
        <f t="shared" si="4"/>
        <v>1.33</v>
      </c>
      <c r="R27" s="31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</row>
    <row r="28" spans="1:39" s="328" customFormat="1" ht="15" customHeight="1">
      <c r="A28" s="329">
        <v>18</v>
      </c>
      <c r="B28" s="124" t="str">
        <f>VLOOKUP(C28,'[21]Tổng NT'!$C$18:$D$55,2,0)</f>
        <v>00895</v>
      </c>
      <c r="C28" s="319" t="str">
        <f>[21]C.Công!C27</f>
        <v>Thảo Nọi</v>
      </c>
      <c r="D28" s="330" t="s">
        <v>40</v>
      </c>
      <c r="E28" s="331">
        <v>4</v>
      </c>
      <c r="F28" s="331"/>
      <c r="G28" s="332">
        <f t="shared" si="0"/>
        <v>1.33</v>
      </c>
      <c r="H28" s="331"/>
      <c r="I28" s="333"/>
      <c r="J28" s="332">
        <f t="shared" si="1"/>
        <v>0</v>
      </c>
      <c r="K28" s="335"/>
      <c r="L28" s="336"/>
      <c r="M28" s="332">
        <f t="shared" si="2"/>
        <v>0</v>
      </c>
      <c r="N28" s="335"/>
      <c r="O28" s="336"/>
      <c r="P28" s="332">
        <f t="shared" si="3"/>
        <v>0</v>
      </c>
      <c r="Q28" s="337">
        <f t="shared" si="4"/>
        <v>1.33</v>
      </c>
      <c r="R28" s="31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</row>
    <row r="29" spans="1:39" s="328" customFormat="1" ht="15" customHeight="1">
      <c r="A29" s="317">
        <v>19</v>
      </c>
      <c r="B29" s="124" t="str">
        <f>VLOOKUP(C29,'[21]Tổng NT'!$C$18:$D$55,2,0)</f>
        <v>00760</v>
      </c>
      <c r="C29" s="319" t="str">
        <f>[21]C.Công!C28</f>
        <v>Hăm</v>
      </c>
      <c r="D29" s="330" t="s">
        <v>40</v>
      </c>
      <c r="E29" s="331">
        <v>4</v>
      </c>
      <c r="F29" s="331"/>
      <c r="G29" s="332">
        <f t="shared" si="0"/>
        <v>1.33</v>
      </c>
      <c r="H29" s="331"/>
      <c r="I29" s="333"/>
      <c r="J29" s="332">
        <f t="shared" si="1"/>
        <v>0</v>
      </c>
      <c r="K29" s="335"/>
      <c r="L29" s="336"/>
      <c r="M29" s="332">
        <f t="shared" si="2"/>
        <v>0</v>
      </c>
      <c r="N29" s="335"/>
      <c r="O29" s="336"/>
      <c r="P29" s="332">
        <f t="shared" si="3"/>
        <v>0</v>
      </c>
      <c r="Q29" s="337">
        <f t="shared" si="4"/>
        <v>1.33</v>
      </c>
      <c r="R29" s="31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</row>
    <row r="30" spans="1:39" s="328" customFormat="1" ht="15" customHeight="1">
      <c r="A30" s="329">
        <v>20</v>
      </c>
      <c r="B30" s="124"/>
      <c r="C30" s="319" t="str">
        <f>[21]C.Công!C29</f>
        <v>Loon</v>
      </c>
      <c r="D30" s="330" t="s">
        <v>40</v>
      </c>
      <c r="E30" s="331"/>
      <c r="F30" s="331"/>
      <c r="G30" s="332"/>
      <c r="H30" s="331"/>
      <c r="I30" s="333"/>
      <c r="J30" s="332"/>
      <c r="K30" s="335"/>
      <c r="L30" s="336"/>
      <c r="M30" s="332"/>
      <c r="N30" s="335"/>
      <c r="O30" s="336"/>
      <c r="P30" s="332"/>
      <c r="Q30" s="337"/>
      <c r="R30" s="31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1"/>
    </row>
    <row r="31" spans="1:39" s="328" customFormat="1" ht="15" customHeight="1">
      <c r="A31" s="317">
        <v>21</v>
      </c>
      <c r="B31" s="124"/>
      <c r="C31" s="319" t="str">
        <f>[21]C.Công!C30</f>
        <v>Phông</v>
      </c>
      <c r="D31" s="330" t="s">
        <v>40</v>
      </c>
      <c r="E31" s="331"/>
      <c r="F31" s="331"/>
      <c r="G31" s="332"/>
      <c r="H31" s="331"/>
      <c r="I31" s="333"/>
      <c r="J31" s="332"/>
      <c r="K31" s="335"/>
      <c r="L31" s="336"/>
      <c r="M31" s="332"/>
      <c r="N31" s="335"/>
      <c r="O31" s="336"/>
      <c r="P31" s="332"/>
      <c r="Q31" s="337"/>
      <c r="R31" s="31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</row>
    <row r="32" spans="1:39" s="328" customFormat="1" ht="15" customHeight="1">
      <c r="A32" s="329">
        <v>22</v>
      </c>
      <c r="B32" s="124"/>
      <c r="C32" s="319" t="str">
        <f>[21]C.Công!C31</f>
        <v>Đông Chăn</v>
      </c>
      <c r="D32" s="330" t="s">
        <v>40</v>
      </c>
      <c r="E32" s="331"/>
      <c r="F32" s="331"/>
      <c r="G32" s="332"/>
      <c r="H32" s="331"/>
      <c r="I32" s="333"/>
      <c r="J32" s="332"/>
      <c r="K32" s="335"/>
      <c r="L32" s="336"/>
      <c r="M32" s="332"/>
      <c r="N32" s="335"/>
      <c r="O32" s="336"/>
      <c r="P32" s="332"/>
      <c r="Q32" s="337"/>
      <c r="R32" s="31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</row>
    <row r="33" spans="1:39" s="328" customFormat="1" ht="15" customHeight="1">
      <c r="A33" s="317">
        <v>23</v>
      </c>
      <c r="B33" s="124"/>
      <c r="C33" s="319" t="str">
        <f>[21]C.Công!C32</f>
        <v>Thông la</v>
      </c>
      <c r="D33" s="330" t="s">
        <v>40</v>
      </c>
      <c r="E33" s="331"/>
      <c r="F33" s="331"/>
      <c r="G33" s="332"/>
      <c r="H33" s="331"/>
      <c r="I33" s="333"/>
      <c r="J33" s="332"/>
      <c r="K33" s="335"/>
      <c r="L33" s="336"/>
      <c r="M33" s="332"/>
      <c r="N33" s="335"/>
      <c r="O33" s="336"/>
      <c r="P33" s="332"/>
      <c r="Q33" s="337"/>
      <c r="R33" s="31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</row>
    <row r="34" spans="1:39" s="328" customFormat="1" ht="15" customHeight="1">
      <c r="A34" s="329">
        <v>24</v>
      </c>
      <c r="B34" s="124" t="str">
        <f>VLOOKUP(C34,'[21]Tổng NT'!$C$18:$D$55,2,0)</f>
        <v>00761</v>
      </c>
      <c r="C34" s="319" t="str">
        <f>[21]C.Công!C33</f>
        <v>Xấp</v>
      </c>
      <c r="D34" s="330" t="s">
        <v>40</v>
      </c>
      <c r="E34" s="331">
        <v>4</v>
      </c>
      <c r="F34" s="331"/>
      <c r="G34" s="332">
        <f>ROUND(E34/$F$11,2)</f>
        <v>1.33</v>
      </c>
      <c r="H34" s="331"/>
      <c r="I34" s="333"/>
      <c r="J34" s="332">
        <f>ROUND(H34/$I$11,2)</f>
        <v>0</v>
      </c>
      <c r="K34" s="335"/>
      <c r="L34" s="336"/>
      <c r="M34" s="332">
        <f>ROUND(K34/$L$11,2)</f>
        <v>0</v>
      </c>
      <c r="N34" s="335"/>
      <c r="O34" s="336"/>
      <c r="P34" s="332">
        <f>ROUND(N34/$L$11,2)</f>
        <v>0</v>
      </c>
      <c r="Q34" s="337">
        <f>G34+J34+M34</f>
        <v>1.33</v>
      </c>
      <c r="R34" s="31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</row>
    <row r="35" spans="1:39" s="328" customFormat="1" ht="15" customHeight="1">
      <c r="A35" s="317">
        <v>25</v>
      </c>
      <c r="B35" s="124" t="e">
        <f>VLOOKUP(C35,'[21]Tổng NT'!$C$18:$D$55,2,0)</f>
        <v>#N/A</v>
      </c>
      <c r="C35" s="319" t="str">
        <f>[21]C.Công!C34</f>
        <v>kham</v>
      </c>
      <c r="D35" s="330" t="s">
        <v>40</v>
      </c>
      <c r="E35" s="331">
        <v>4</v>
      </c>
      <c r="F35" s="331"/>
      <c r="G35" s="332">
        <f>ROUND(E35/$F$11,2)</f>
        <v>1.33</v>
      </c>
      <c r="H35" s="331"/>
      <c r="I35" s="333"/>
      <c r="J35" s="332">
        <f>ROUND(H35/$I$11,2)</f>
        <v>0</v>
      </c>
      <c r="K35" s="335"/>
      <c r="L35" s="336"/>
      <c r="M35" s="332">
        <f>ROUND(K35/$L$11,2)</f>
        <v>0</v>
      </c>
      <c r="N35" s="335"/>
      <c r="O35" s="336"/>
      <c r="P35" s="332">
        <f>ROUND(N35/$L$11,2)</f>
        <v>0</v>
      </c>
      <c r="Q35" s="337">
        <f>G35+J35+M35</f>
        <v>1.33</v>
      </c>
      <c r="R35" s="31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</row>
    <row r="36" spans="1:39" s="328" customFormat="1" ht="15" customHeight="1">
      <c r="A36" s="329">
        <v>26</v>
      </c>
      <c r="B36" s="124" t="e">
        <f>VLOOKUP(C36,'[21]Tổng NT'!$C$18:$D$55,2,0)</f>
        <v>#N/A</v>
      </c>
      <c r="C36" s="319" t="str">
        <f>[21]C.Công!C35</f>
        <v>Lay</v>
      </c>
      <c r="D36" s="330" t="s">
        <v>40</v>
      </c>
      <c r="E36" s="331">
        <v>4</v>
      </c>
      <c r="F36" s="331"/>
      <c r="G36" s="332">
        <f>ROUND(E36/$F$11,2)</f>
        <v>1.33</v>
      </c>
      <c r="H36" s="331"/>
      <c r="I36" s="333"/>
      <c r="J36" s="332">
        <f>ROUND(H36/$I$11,2)</f>
        <v>0</v>
      </c>
      <c r="K36" s="335"/>
      <c r="L36" s="336"/>
      <c r="M36" s="334">
        <f>ROUND(K36/$L$11,2)</f>
        <v>0</v>
      </c>
      <c r="N36" s="335"/>
      <c r="O36" s="336"/>
      <c r="P36" s="334">
        <f>ROUND(N36/$L$11,2)</f>
        <v>0</v>
      </c>
      <c r="Q36" s="337">
        <f>G36+J36+M36</f>
        <v>1.33</v>
      </c>
      <c r="R36" s="31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</row>
    <row r="37" spans="1:39" s="328" customFormat="1" ht="15" customHeight="1">
      <c r="A37" s="338" t="s">
        <v>148</v>
      </c>
      <c r="B37" s="339" t="s">
        <v>273</v>
      </c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1"/>
      <c r="R37" s="31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</row>
    <row r="38" spans="1:39" s="328" customFormat="1" ht="15" customHeight="1">
      <c r="A38" s="329">
        <v>1</v>
      </c>
      <c r="B38" s="124" t="str">
        <f>VLOOKUP(C38,'[21]Tổng NT'!$C$18:$D$55,2,0)</f>
        <v>00748</v>
      </c>
      <c r="C38" s="260" t="s">
        <v>261</v>
      </c>
      <c r="D38" s="330" t="s">
        <v>40</v>
      </c>
      <c r="E38" s="331">
        <v>4</v>
      </c>
      <c r="F38" s="331"/>
      <c r="G38" s="332">
        <f>ROUND(E38/$F$11,2)</f>
        <v>1.33</v>
      </c>
      <c r="H38" s="331"/>
      <c r="I38" s="333"/>
      <c r="J38" s="342"/>
      <c r="K38" s="335"/>
      <c r="L38" s="336"/>
      <c r="M38" s="343"/>
      <c r="N38" s="335"/>
      <c r="O38" s="336"/>
      <c r="P38" s="343"/>
      <c r="Q38" s="337">
        <f>G38+J38+M38</f>
        <v>1.33</v>
      </c>
      <c r="R38" s="31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</row>
    <row r="39" spans="1:39" s="328" customFormat="1" ht="15" customHeight="1">
      <c r="A39" s="329">
        <v>2</v>
      </c>
      <c r="B39" s="124" t="str">
        <f>VLOOKUP(C39,'[21]Tổng NT'!$C$18:$D$55,2,0)</f>
        <v>00749</v>
      </c>
      <c r="C39" s="260" t="s">
        <v>279</v>
      </c>
      <c r="D39" s="330" t="s">
        <v>40</v>
      </c>
      <c r="E39" s="331">
        <v>4</v>
      </c>
      <c r="F39" s="331"/>
      <c r="G39" s="332">
        <f>ROUND(E39/$F$11,2)</f>
        <v>1.33</v>
      </c>
      <c r="H39" s="333"/>
      <c r="I39" s="333"/>
      <c r="J39" s="342"/>
      <c r="K39" s="335"/>
      <c r="L39" s="336"/>
      <c r="M39" s="343"/>
      <c r="N39" s="335"/>
      <c r="O39" s="336"/>
      <c r="P39" s="343"/>
      <c r="Q39" s="337">
        <f>G39+J39+M39</f>
        <v>1.33</v>
      </c>
      <c r="R39" s="31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</row>
    <row r="40" spans="1:39" s="328" customFormat="1" ht="15" customHeight="1">
      <c r="A40" s="329">
        <v>3</v>
      </c>
      <c r="B40" s="124" t="str">
        <f>VLOOKUP(C40,'[21]Tổng NT'!$C$18:$D$55,2,0)</f>
        <v>00750</v>
      </c>
      <c r="C40" s="260" t="s">
        <v>264</v>
      </c>
      <c r="D40" s="330" t="s">
        <v>40</v>
      </c>
      <c r="E40" s="331">
        <v>4</v>
      </c>
      <c r="F40" s="331"/>
      <c r="G40" s="332">
        <f>ROUND(E40/$F$11,2)</f>
        <v>1.33</v>
      </c>
      <c r="H40" s="333"/>
      <c r="I40" s="333"/>
      <c r="J40" s="342"/>
      <c r="K40" s="335"/>
      <c r="L40" s="336"/>
      <c r="M40" s="343"/>
      <c r="N40" s="335"/>
      <c r="O40" s="336"/>
      <c r="P40" s="343"/>
      <c r="Q40" s="337">
        <f>G40+J40+M40</f>
        <v>1.33</v>
      </c>
      <c r="R40" s="31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</row>
    <row r="41" spans="1:39" s="328" customFormat="1" ht="15" customHeight="1">
      <c r="A41" s="329">
        <v>4</v>
      </c>
      <c r="B41" s="124" t="str">
        <f>VLOOKUP(C41,'[21]Tổng NT'!$C$18:$D$55,2,0)</f>
        <v>00751</v>
      </c>
      <c r="C41" s="260" t="s">
        <v>267</v>
      </c>
      <c r="D41" s="330" t="s">
        <v>40</v>
      </c>
      <c r="E41" s="331">
        <v>4</v>
      </c>
      <c r="F41" s="331"/>
      <c r="G41" s="332">
        <f>ROUND(E41/$F$11,2)</f>
        <v>1.33</v>
      </c>
      <c r="H41" s="333"/>
      <c r="I41" s="333"/>
      <c r="J41" s="342"/>
      <c r="K41" s="335"/>
      <c r="L41" s="336"/>
      <c r="M41" s="343"/>
      <c r="N41" s="335"/>
      <c r="O41" s="336"/>
      <c r="P41" s="343"/>
      <c r="Q41" s="337">
        <f>G41+J41+M41</f>
        <v>1.33</v>
      </c>
      <c r="R41" s="31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</row>
    <row r="42" spans="1:39" s="328" customFormat="1" ht="15" customHeight="1">
      <c r="A42" s="329">
        <v>5</v>
      </c>
      <c r="B42" s="124"/>
      <c r="C42" s="260" t="s">
        <v>347</v>
      </c>
      <c r="D42" s="330" t="s">
        <v>40</v>
      </c>
      <c r="E42" s="331"/>
      <c r="F42" s="331"/>
      <c r="G42" s="332"/>
      <c r="H42" s="333"/>
      <c r="I42" s="333"/>
      <c r="J42" s="342"/>
      <c r="K42" s="335"/>
      <c r="L42" s="336"/>
      <c r="M42" s="343"/>
      <c r="N42" s="335"/>
      <c r="O42" s="336"/>
      <c r="P42" s="343"/>
      <c r="Q42" s="337"/>
      <c r="R42" s="31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</row>
    <row r="43" spans="1:39" s="328" customFormat="1" ht="15" customHeight="1">
      <c r="A43" s="329">
        <v>6</v>
      </c>
      <c r="B43" s="124"/>
      <c r="C43" s="260" t="s">
        <v>280</v>
      </c>
      <c r="D43" s="330" t="s">
        <v>40</v>
      </c>
      <c r="E43" s="331"/>
      <c r="F43" s="331"/>
      <c r="G43" s="332"/>
      <c r="H43" s="333"/>
      <c r="I43" s="333"/>
      <c r="J43" s="342"/>
      <c r="K43" s="335"/>
      <c r="L43" s="336"/>
      <c r="M43" s="343"/>
      <c r="N43" s="335"/>
      <c r="O43" s="336"/>
      <c r="P43" s="343"/>
      <c r="Q43" s="337"/>
      <c r="R43" s="31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</row>
    <row r="44" spans="1:39" s="328" customFormat="1" ht="15" customHeight="1">
      <c r="A44" s="329">
        <v>7</v>
      </c>
      <c r="B44" s="124"/>
      <c r="C44" s="260" t="s">
        <v>268</v>
      </c>
      <c r="D44" s="330" t="s">
        <v>40</v>
      </c>
      <c r="E44" s="331"/>
      <c r="F44" s="331"/>
      <c r="G44" s="332"/>
      <c r="H44" s="333"/>
      <c r="I44" s="333"/>
      <c r="J44" s="342"/>
      <c r="K44" s="335"/>
      <c r="L44" s="336"/>
      <c r="M44" s="343"/>
      <c r="N44" s="335"/>
      <c r="O44" s="336"/>
      <c r="P44" s="343"/>
      <c r="Q44" s="337"/>
      <c r="R44" s="31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</row>
    <row r="45" spans="1:39" s="328" customFormat="1" ht="15" customHeight="1">
      <c r="A45" s="329">
        <v>8</v>
      </c>
      <c r="B45" s="124"/>
      <c r="C45" s="260" t="s">
        <v>281</v>
      </c>
      <c r="D45" s="330" t="s">
        <v>40</v>
      </c>
      <c r="E45" s="331"/>
      <c r="F45" s="331"/>
      <c r="G45" s="332"/>
      <c r="H45" s="333"/>
      <c r="I45" s="333"/>
      <c r="J45" s="342"/>
      <c r="K45" s="335"/>
      <c r="L45" s="336"/>
      <c r="M45" s="343"/>
      <c r="N45" s="335"/>
      <c r="O45" s="336"/>
      <c r="P45" s="343"/>
      <c r="Q45" s="337"/>
      <c r="R45" s="31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</row>
    <row r="46" spans="1:39" s="328" customFormat="1" ht="15" customHeight="1">
      <c r="A46" s="329">
        <v>9</v>
      </c>
      <c r="B46" s="124" t="str">
        <f>VLOOKUP(C46,'[21]Tổng NT'!$C$18:$D$55,2,0)</f>
        <v>00757</v>
      </c>
      <c r="C46" s="240" t="s">
        <v>282</v>
      </c>
      <c r="D46" s="330" t="s">
        <v>40</v>
      </c>
      <c r="E46" s="331">
        <v>4</v>
      </c>
      <c r="F46" s="331"/>
      <c r="G46" s="332">
        <f>ROUND(E46/$F$11,2)</f>
        <v>1.33</v>
      </c>
      <c r="H46" s="333"/>
      <c r="I46" s="333"/>
      <c r="J46" s="342"/>
      <c r="K46" s="335"/>
      <c r="L46" s="336"/>
      <c r="M46" s="343"/>
      <c r="N46" s="335"/>
      <c r="O46" s="336"/>
      <c r="P46" s="343"/>
      <c r="Q46" s="337">
        <f>G46+J46+M46</f>
        <v>1.33</v>
      </c>
      <c r="R46" s="31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</row>
    <row r="47" spans="1:39" s="328" customFormat="1" ht="15" customHeight="1">
      <c r="A47" s="329">
        <v>10</v>
      </c>
      <c r="B47" s="124" t="e">
        <f>VLOOKUP(C47,'[21]Tổng NT'!$C$18:$D$55,2,0)</f>
        <v>#N/A</v>
      </c>
      <c r="C47" s="243" t="s">
        <v>358</v>
      </c>
      <c r="D47" s="330" t="s">
        <v>40</v>
      </c>
      <c r="E47" s="331"/>
      <c r="F47" s="331"/>
      <c r="G47" s="332"/>
      <c r="H47" s="333"/>
      <c r="I47" s="333"/>
      <c r="J47" s="342"/>
      <c r="K47" s="335"/>
      <c r="L47" s="336"/>
      <c r="M47" s="343"/>
      <c r="N47" s="335"/>
      <c r="O47" s="336"/>
      <c r="P47" s="343"/>
      <c r="Q47" s="337">
        <f>G47+J47+M47</f>
        <v>0</v>
      </c>
      <c r="R47" s="31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1"/>
    </row>
    <row r="48" spans="1:39" s="328" customFormat="1" ht="15" customHeight="1">
      <c r="A48" s="329">
        <v>11</v>
      </c>
      <c r="B48" s="124" t="e">
        <f>VLOOKUP(C48,'[21]Tổng NT'!$C$18:$D$55,2,0)</f>
        <v>#N/A</v>
      </c>
      <c r="C48" s="240" t="s">
        <v>353</v>
      </c>
      <c r="D48" s="330" t="s">
        <v>40</v>
      </c>
      <c r="E48" s="331"/>
      <c r="F48" s="331"/>
      <c r="G48" s="332"/>
      <c r="H48" s="333"/>
      <c r="I48" s="333"/>
      <c r="J48" s="342"/>
      <c r="K48" s="335"/>
      <c r="L48" s="336"/>
      <c r="M48" s="343"/>
      <c r="N48" s="335"/>
      <c r="O48" s="336"/>
      <c r="P48" s="343"/>
      <c r="Q48" s="337">
        <f>G48+J48+M48</f>
        <v>0</v>
      </c>
      <c r="R48" s="31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1"/>
    </row>
    <row r="49" spans="1:39" s="313" customFormat="1" ht="15" customHeight="1">
      <c r="A49" s="344" t="s">
        <v>184</v>
      </c>
      <c r="B49" s="344"/>
      <c r="C49" s="345"/>
      <c r="D49" s="345"/>
      <c r="E49" s="346">
        <f>SUM(E38:E48,E11:E36)</f>
        <v>108</v>
      </c>
      <c r="F49" s="344"/>
      <c r="G49" s="347">
        <f>E49/3</f>
        <v>36</v>
      </c>
      <c r="H49" s="346">
        <f>SUM(H38:H48,H11:H36)</f>
        <v>0</v>
      </c>
      <c r="I49" s="344"/>
      <c r="J49" s="347">
        <f>SUM(J38:J48,J11:J36)</f>
        <v>0</v>
      </c>
      <c r="K49" s="346">
        <f>SUM(K38:K48,K11:K36)</f>
        <v>0</v>
      </c>
      <c r="L49" s="346"/>
      <c r="M49" s="347">
        <f>SUM(M38:M48,M11:M36)</f>
        <v>0</v>
      </c>
      <c r="N49" s="346">
        <f>SUM(N38:N48,N11:N36)</f>
        <v>0</v>
      </c>
      <c r="O49" s="346"/>
      <c r="P49" s="347">
        <f>SUM(P38:P48,P11:P36)</f>
        <v>0</v>
      </c>
      <c r="Q49" s="347">
        <f>M49+J49+G49</f>
        <v>36</v>
      </c>
      <c r="R49" s="348">
        <f>Q49-130.67</f>
        <v>-94.669999999999987</v>
      </c>
    </row>
    <row r="50" spans="1:39" ht="15" customHeight="1">
      <c r="A50" s="349"/>
      <c r="B50" s="349"/>
      <c r="C50" s="349"/>
      <c r="D50" s="350"/>
      <c r="E50" s="350"/>
      <c r="F50" s="350"/>
      <c r="G50" s="350"/>
      <c r="H50" s="350"/>
      <c r="I50" s="350"/>
      <c r="J50" s="4768" t="s">
        <v>367</v>
      </c>
      <c r="K50" s="4768"/>
      <c r="L50" s="4768"/>
      <c r="M50" s="4768"/>
      <c r="N50" s="4768"/>
      <c r="O50" s="4768"/>
      <c r="P50" s="4768"/>
      <c r="Q50" s="4768"/>
    </row>
    <row r="51" spans="1:39" ht="15" customHeight="1">
      <c r="A51" s="4769" t="s">
        <v>167</v>
      </c>
      <c r="B51" s="4769"/>
      <c r="C51" s="4769"/>
      <c r="D51" s="4769"/>
      <c r="E51" s="4769"/>
      <c r="G51" s="313" t="s">
        <v>368</v>
      </c>
      <c r="L51" s="4770" t="s">
        <v>369</v>
      </c>
      <c r="M51" s="4770"/>
      <c r="N51" s="4770"/>
      <c r="O51" s="4770"/>
      <c r="P51" s="4770"/>
      <c r="Q51" s="4770"/>
    </row>
    <row r="52" spans="1:39" ht="13.5" customHeight="1"/>
    <row r="53" spans="1:39" ht="13.5" customHeight="1"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</row>
    <row r="54" spans="1:39" ht="13.5" customHeight="1"/>
    <row r="55" spans="1:39" ht="13.5" customHeight="1"/>
    <row r="56" spans="1:39" ht="13.5" customHeight="1"/>
    <row r="57" spans="1:39" ht="13.5" customHeight="1"/>
    <row r="58" spans="1:39" ht="13.5" customHeight="1"/>
    <row r="59" spans="1:39" ht="13.5" customHeight="1"/>
    <row r="60" spans="1:39" ht="13.5" customHeight="1">
      <c r="I60" s="4767"/>
      <c r="J60" s="4767"/>
      <c r="K60" s="4767"/>
      <c r="L60" s="4767"/>
      <c r="M60" s="4767"/>
      <c r="N60" s="4767"/>
      <c r="O60" s="4767"/>
      <c r="P60" s="4767"/>
      <c r="Q60" s="4767"/>
    </row>
    <row r="61" spans="1:39" ht="13.5" customHeight="1"/>
    <row r="62" spans="1:39" ht="13.5" customHeight="1"/>
    <row r="63" spans="1:39" ht="13.5" customHeight="1"/>
    <row r="64" spans="1:39" ht="13.5" customHeight="1"/>
    <row r="65" spans="19:39" ht="13.5" customHeight="1"/>
    <row r="66" spans="19:39" ht="13.5" customHeight="1"/>
    <row r="67" spans="19:39" ht="13.5" customHeight="1"/>
    <row r="68" spans="19:39" ht="13.5" customHeight="1"/>
    <row r="69" spans="19:39" ht="13.5" customHeight="1"/>
    <row r="70" spans="19:39" ht="13.5" customHeight="1"/>
    <row r="71" spans="19:39" ht="13.5" customHeight="1"/>
    <row r="72" spans="19:39" ht="13.5" customHeight="1"/>
    <row r="73" spans="19:39" ht="13.5" customHeight="1"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</row>
    <row r="74" spans="19:39" ht="13.5" customHeight="1"/>
    <row r="75" spans="19:39" ht="13.5" customHeight="1"/>
    <row r="76" spans="19:39" ht="13.5" customHeight="1"/>
    <row r="77" spans="19:39" ht="13.5" customHeight="1"/>
    <row r="78" spans="19:39" ht="13.5" customHeight="1"/>
    <row r="79" spans="19:39" ht="13.5" customHeight="1"/>
    <row r="80" spans="19:39" ht="13.5" customHeight="1"/>
    <row r="81" spans="3:39" ht="13.5" customHeight="1"/>
    <row r="82" spans="3:39" ht="13.5" customHeight="1"/>
    <row r="83" spans="3:39" ht="13.5" customHeight="1"/>
    <row r="84" spans="3:39" ht="13.5" customHeight="1">
      <c r="R84" s="351"/>
    </row>
    <row r="85" spans="3:39" s="351" customFormat="1" ht="13.5" customHeight="1">
      <c r="C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</row>
    <row r="86" spans="3:39" ht="13.5" customHeight="1">
      <c r="C86" s="351"/>
    </row>
    <row r="87" spans="3:39" ht="13.5" customHeight="1"/>
    <row r="88" spans="3:39" ht="13.5" customHeight="1"/>
    <row r="89" spans="3:39" ht="13.5" customHeight="1"/>
    <row r="90" spans="3:39" ht="13.5" customHeight="1"/>
    <row r="91" spans="3:39" ht="13.5" customHeight="1"/>
    <row r="92" spans="3:39" ht="13.5" customHeight="1"/>
    <row r="93" spans="3:39" ht="13.5" customHeight="1"/>
    <row r="94" spans="3:39" ht="13.5" customHeight="1"/>
    <row r="95" spans="3:39" ht="13.5" customHeight="1"/>
    <row r="96" spans="3:39" ht="13.5" customHeight="1"/>
    <row r="97" spans="3:39" ht="13.5" customHeight="1"/>
    <row r="98" spans="3:39" ht="13.5" customHeight="1"/>
    <row r="99" spans="3:39" ht="13.5" customHeight="1"/>
    <row r="100" spans="3:39" ht="13.5" customHeight="1"/>
    <row r="101" spans="3:39" ht="13.5" customHeight="1"/>
    <row r="102" spans="3:39" ht="13.5" customHeight="1"/>
    <row r="103" spans="3:39" ht="13.5" customHeight="1"/>
    <row r="104" spans="3:39" ht="13.5" customHeight="1">
      <c r="R104" s="351"/>
    </row>
    <row r="105" spans="3:39" s="351" customFormat="1" ht="13.5" customHeight="1">
      <c r="C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</row>
    <row r="106" spans="3:39" ht="13.5" customHeight="1">
      <c r="C106" s="351"/>
    </row>
    <row r="107" spans="3:39" ht="13.5" customHeight="1"/>
    <row r="108" spans="3:39" ht="13.5" customHeight="1"/>
    <row r="109" spans="3:39" ht="13.5" customHeight="1"/>
    <row r="110" spans="3:39" ht="13.5" customHeight="1"/>
    <row r="111" spans="3:39" ht="13.5" customHeight="1"/>
    <row r="112" spans="3:39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3" ht="8.25" customHeight="1"/>
  </sheetData>
  <mergeCells count="10">
    <mergeCell ref="A2:E2"/>
    <mergeCell ref="A3:E3"/>
    <mergeCell ref="H2:Q2"/>
    <mergeCell ref="H3:Q3"/>
    <mergeCell ref="I60:K60"/>
    <mergeCell ref="L60:Q60"/>
    <mergeCell ref="J50:Q50"/>
    <mergeCell ref="A51:E51"/>
    <mergeCell ref="L51:Q51"/>
    <mergeCell ref="A6:Q6"/>
  </mergeCells>
  <phoneticPr fontId="57" type="noConversion"/>
  <pageMargins left="0.2" right="0.21" top="0.25" bottom="0.25" header="0.3" footer="0.3"/>
  <pageSetup orientation="portrait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4" workbookViewId="0">
      <selection activeCell="K19" sqref="K19"/>
    </sheetView>
  </sheetViews>
  <sheetFormatPr defaultColWidth="9.375" defaultRowHeight="12.75"/>
  <cols>
    <col min="1" max="1" width="7.25" style="116" customWidth="1"/>
    <col min="2" max="2" width="18" style="117" customWidth="1"/>
    <col min="3" max="3" width="14.375" style="117" customWidth="1"/>
    <col min="4" max="4" width="15.875" style="117" customWidth="1"/>
    <col min="5" max="7" width="12.875" style="117" customWidth="1"/>
    <col min="8" max="9" width="20" style="117" customWidth="1"/>
    <col min="10" max="10" width="12.375" style="117" hidden="1" customWidth="1"/>
    <col min="11" max="11" width="9.375" style="117" bestFit="1" customWidth="1"/>
    <col min="12" max="12" width="12.375" style="117" bestFit="1" customWidth="1"/>
    <col min="13" max="13" width="13.375" style="198" bestFit="1" customWidth="1"/>
    <col min="14" max="14" width="9.375" style="117"/>
    <col min="15" max="15" width="10.375" style="117" bestFit="1" customWidth="1"/>
    <col min="16" max="16384" width="9.375" style="117"/>
  </cols>
  <sheetData>
    <row r="1" spans="1:16" s="42" customFormat="1" ht="15.75">
      <c r="A1" s="4232" t="s">
        <v>164</v>
      </c>
      <c r="B1" s="4232"/>
      <c r="C1" s="4232"/>
      <c r="D1" s="4232"/>
      <c r="E1" s="165"/>
      <c r="F1" s="4773" t="s">
        <v>170</v>
      </c>
      <c r="G1" s="4773"/>
      <c r="H1" s="4773"/>
      <c r="I1" s="4773"/>
      <c r="M1" s="197"/>
    </row>
    <row r="2" spans="1:16" s="42" customFormat="1" ht="15.75">
      <c r="A2" s="4629" t="s">
        <v>114</v>
      </c>
      <c r="B2" s="4629"/>
      <c r="C2" s="4629"/>
      <c r="D2" s="4629"/>
      <c r="E2" s="53"/>
      <c r="F2" s="4774" t="s">
        <v>171</v>
      </c>
      <c r="G2" s="4774"/>
      <c r="H2" s="4774"/>
      <c r="I2" s="4774"/>
      <c r="M2" s="197"/>
    </row>
    <row r="4" spans="1:16" ht="19.5" customHeight="1">
      <c r="A4" s="4772" t="s">
        <v>205</v>
      </c>
      <c r="B4" s="4772"/>
      <c r="C4" s="4772"/>
      <c r="D4" s="4772"/>
      <c r="E4" s="4772"/>
      <c r="F4" s="4772"/>
      <c r="G4" s="4772"/>
      <c r="H4" s="4772"/>
      <c r="I4" s="4772"/>
    </row>
    <row r="5" spans="1:16" ht="14.25" customHeight="1">
      <c r="A5" s="4666" t="s">
        <v>172</v>
      </c>
      <c r="B5" s="4666"/>
      <c r="C5" s="4666"/>
      <c r="D5" s="4666"/>
      <c r="E5" s="4666"/>
      <c r="F5" s="4666"/>
      <c r="G5" s="4666"/>
      <c r="H5" s="4666"/>
      <c r="I5" s="4666"/>
    </row>
    <row r="6" spans="1:16" s="118" customFormat="1">
      <c r="A6" s="116"/>
      <c r="M6" s="199"/>
    </row>
    <row r="7" spans="1:16" s="115" customFormat="1" ht="15.75">
      <c r="A7" s="4778" t="s">
        <v>1</v>
      </c>
      <c r="B7" s="4257" t="s">
        <v>173</v>
      </c>
      <c r="C7" s="4250" t="s">
        <v>174</v>
      </c>
      <c r="D7" s="4780" t="s">
        <v>175</v>
      </c>
      <c r="E7" s="4780"/>
      <c r="F7" s="4780"/>
      <c r="G7" s="4780"/>
      <c r="H7" s="4257" t="s">
        <v>188</v>
      </c>
      <c r="I7" s="4781" t="s">
        <v>176</v>
      </c>
      <c r="M7" s="200"/>
    </row>
    <row r="8" spans="1:16" s="42" customFormat="1" ht="31.5">
      <c r="A8" s="4779"/>
      <c r="B8" s="4259"/>
      <c r="C8" s="4252"/>
      <c r="D8" s="153" t="s">
        <v>204</v>
      </c>
      <c r="E8" s="153" t="s">
        <v>169</v>
      </c>
      <c r="F8" s="153" t="s">
        <v>221</v>
      </c>
      <c r="G8" s="153" t="s">
        <v>222</v>
      </c>
      <c r="H8" s="4259"/>
      <c r="I8" s="4782"/>
      <c r="K8" s="153" t="s">
        <v>169</v>
      </c>
      <c r="L8" s="153" t="s">
        <v>221</v>
      </c>
      <c r="M8" s="201" t="s">
        <v>222</v>
      </c>
    </row>
    <row r="9" spans="1:16" s="123" customFormat="1" ht="17.25" customHeight="1">
      <c r="A9" s="149">
        <v>1</v>
      </c>
      <c r="B9" s="150" t="s">
        <v>100</v>
      </c>
      <c r="C9" s="151" t="s">
        <v>177</v>
      </c>
      <c r="D9" s="187">
        <v>1</v>
      </c>
      <c r="E9" s="188"/>
      <c r="F9" s="188"/>
      <c r="G9" s="188"/>
      <c r="H9" s="152">
        <f>SUM(D9:G9)</f>
        <v>1</v>
      </c>
      <c r="I9" s="122">
        <f t="shared" ref="I9:I19" si="0">H9*30000</f>
        <v>30000</v>
      </c>
      <c r="J9" s="123">
        <v>188</v>
      </c>
      <c r="M9" s="202"/>
    </row>
    <row r="10" spans="1:16" s="123" customFormat="1" ht="17.25" customHeight="1">
      <c r="A10" s="38">
        <v>2</v>
      </c>
      <c r="B10" s="119" t="s">
        <v>101</v>
      </c>
      <c r="C10" s="120" t="s">
        <v>177</v>
      </c>
      <c r="D10" s="189">
        <v>0.67</v>
      </c>
      <c r="E10" s="121"/>
      <c r="F10" s="121"/>
      <c r="G10" s="121"/>
      <c r="H10" s="152">
        <f t="shared" ref="H10:H25" si="1">SUM(D10:G10)</f>
        <v>0.67</v>
      </c>
      <c r="I10" s="122">
        <f t="shared" si="0"/>
        <v>20100</v>
      </c>
      <c r="J10" s="123">
        <v>187</v>
      </c>
      <c r="M10" s="202"/>
    </row>
    <row r="11" spans="1:16" s="123" customFormat="1" ht="17.25" customHeight="1">
      <c r="A11" s="149">
        <v>3</v>
      </c>
      <c r="B11" s="119" t="s">
        <v>225</v>
      </c>
      <c r="C11" s="120" t="s">
        <v>177</v>
      </c>
      <c r="D11" s="189">
        <v>0</v>
      </c>
      <c r="E11" s="121"/>
      <c r="F11" s="121"/>
      <c r="G11" s="121"/>
      <c r="H11" s="152">
        <f t="shared" si="1"/>
        <v>0</v>
      </c>
      <c r="I11" s="122">
        <f t="shared" si="0"/>
        <v>0</v>
      </c>
      <c r="M11" s="202"/>
    </row>
    <row r="12" spans="1:16" s="123" customFormat="1" ht="17.25" customHeight="1">
      <c r="A12" s="38">
        <v>4</v>
      </c>
      <c r="B12" s="119" t="s">
        <v>102</v>
      </c>
      <c r="C12" s="120" t="s">
        <v>178</v>
      </c>
      <c r="D12" s="189">
        <v>0.67</v>
      </c>
      <c r="E12" s="121"/>
      <c r="F12" s="121"/>
      <c r="G12" s="121"/>
      <c r="H12" s="152">
        <f t="shared" si="1"/>
        <v>0.67</v>
      </c>
      <c r="I12" s="122">
        <f t="shared" si="0"/>
        <v>20100</v>
      </c>
      <c r="J12" s="123">
        <v>188</v>
      </c>
      <c r="M12" s="202"/>
    </row>
    <row r="13" spans="1:16" s="123" customFormat="1" ht="17.25" customHeight="1">
      <c r="A13" s="149">
        <v>5</v>
      </c>
      <c r="B13" s="119" t="s">
        <v>103</v>
      </c>
      <c r="C13" s="120" t="s">
        <v>178</v>
      </c>
      <c r="D13" s="189">
        <v>1</v>
      </c>
      <c r="E13" s="121"/>
      <c r="F13" s="121"/>
      <c r="G13" s="121"/>
      <c r="H13" s="152">
        <f t="shared" si="1"/>
        <v>1</v>
      </c>
      <c r="I13" s="122">
        <f t="shared" si="0"/>
        <v>30000</v>
      </c>
      <c r="J13" s="123">
        <v>132</v>
      </c>
      <c r="M13" s="202"/>
    </row>
    <row r="14" spans="1:16" s="123" customFormat="1" ht="17.25" customHeight="1">
      <c r="A14" s="38">
        <v>6</v>
      </c>
      <c r="B14" s="119" t="s">
        <v>104</v>
      </c>
      <c r="C14" s="120" t="s">
        <v>179</v>
      </c>
      <c r="D14" s="189">
        <v>0.67</v>
      </c>
      <c r="E14" s="121"/>
      <c r="F14" s="121"/>
      <c r="G14" s="121"/>
      <c r="H14" s="152">
        <f t="shared" si="1"/>
        <v>0.67</v>
      </c>
      <c r="I14" s="122">
        <f t="shared" si="0"/>
        <v>20100</v>
      </c>
      <c r="J14" s="123">
        <v>320</v>
      </c>
      <c r="M14" s="202"/>
    </row>
    <row r="15" spans="1:16" s="123" customFormat="1" ht="17.25" customHeight="1">
      <c r="A15" s="149">
        <v>7</v>
      </c>
      <c r="B15" s="119" t="s">
        <v>105</v>
      </c>
      <c r="C15" s="135" t="s">
        <v>177</v>
      </c>
      <c r="D15" s="190">
        <v>0.33</v>
      </c>
      <c r="E15" s="125"/>
      <c r="G15" s="125">
        <v>5.34</v>
      </c>
      <c r="H15" s="152">
        <f t="shared" si="1"/>
        <v>5.67</v>
      </c>
      <c r="I15" s="126">
        <f t="shared" si="0"/>
        <v>170100</v>
      </c>
      <c r="J15" s="123">
        <f>333+106+104+165+160</f>
        <v>868</v>
      </c>
      <c r="K15" s="123">
        <v>2.36</v>
      </c>
      <c r="M15" s="202">
        <v>1053</v>
      </c>
      <c r="N15" s="214">
        <f>M15/277.5</f>
        <v>3.7945945945945945</v>
      </c>
      <c r="O15" s="215">
        <f>M15+430</f>
        <v>1483</v>
      </c>
      <c r="P15" s="214">
        <f>ROUND(O15/277.5,2)</f>
        <v>5.34</v>
      </c>
    </row>
    <row r="16" spans="1:16" s="123" customFormat="1" ht="17.25" customHeight="1">
      <c r="A16" s="38">
        <v>8</v>
      </c>
      <c r="B16" s="119" t="s">
        <v>199</v>
      </c>
      <c r="C16" s="135" t="s">
        <v>181</v>
      </c>
      <c r="D16" s="190">
        <v>0.67</v>
      </c>
      <c r="E16" s="125"/>
      <c r="F16" s="124"/>
      <c r="G16" s="125">
        <v>3.99</v>
      </c>
      <c r="H16" s="152">
        <f t="shared" si="1"/>
        <v>4.66</v>
      </c>
      <c r="I16" s="126">
        <f t="shared" si="0"/>
        <v>139800</v>
      </c>
      <c r="J16" s="123">
        <f>235+222</f>
        <v>457</v>
      </c>
      <c r="M16" s="202">
        <v>676</v>
      </c>
      <c r="N16" s="214">
        <f t="shared" ref="N16:N25" si="2">M16/277.5</f>
        <v>2.436036036036036</v>
      </c>
      <c r="O16" s="215">
        <f t="shared" ref="O16:O25" si="3">M16+430</f>
        <v>1106</v>
      </c>
      <c r="P16" s="214">
        <f t="shared" ref="P16:P24" si="4">ROUND(O16/277.5,2)</f>
        <v>3.99</v>
      </c>
    </row>
    <row r="17" spans="1:16" s="123" customFormat="1" ht="17.25" customHeight="1">
      <c r="A17" s="149">
        <v>9</v>
      </c>
      <c r="B17" s="119" t="s">
        <v>106</v>
      </c>
      <c r="C17" s="135" t="s">
        <v>179</v>
      </c>
      <c r="D17" s="190">
        <v>1</v>
      </c>
      <c r="E17" s="125">
        <v>1.17</v>
      </c>
      <c r="F17" s="124"/>
      <c r="G17" s="125">
        <v>4.41</v>
      </c>
      <c r="H17" s="152">
        <f t="shared" si="1"/>
        <v>6.58</v>
      </c>
      <c r="I17" s="126">
        <f t="shared" si="0"/>
        <v>197400</v>
      </c>
      <c r="J17" s="123">
        <f>333+125+155</f>
        <v>613</v>
      </c>
      <c r="M17" s="202">
        <v>795</v>
      </c>
      <c r="N17" s="214">
        <f t="shared" si="2"/>
        <v>2.8648648648648649</v>
      </c>
      <c r="O17" s="215">
        <f t="shared" si="3"/>
        <v>1225</v>
      </c>
      <c r="P17" s="214">
        <f t="shared" si="4"/>
        <v>4.41</v>
      </c>
    </row>
    <row r="18" spans="1:16" s="123" customFormat="1" ht="17.25" customHeight="1">
      <c r="A18" s="38">
        <v>10</v>
      </c>
      <c r="B18" s="119" t="s">
        <v>107</v>
      </c>
      <c r="C18" s="135" t="s">
        <v>180</v>
      </c>
      <c r="D18" s="190">
        <v>1</v>
      </c>
      <c r="E18" s="125"/>
      <c r="F18" s="124"/>
      <c r="G18" s="125">
        <v>5.87</v>
      </c>
      <c r="H18" s="152">
        <f t="shared" si="1"/>
        <v>6.87</v>
      </c>
      <c r="I18" s="126">
        <f t="shared" si="0"/>
        <v>206100</v>
      </c>
      <c r="J18" s="123">
        <f>188+195+110</f>
        <v>493</v>
      </c>
      <c r="M18" s="202">
        <v>1198</v>
      </c>
      <c r="N18" s="214">
        <f t="shared" si="2"/>
        <v>4.3171171171171174</v>
      </c>
      <c r="O18" s="215">
        <f t="shared" si="3"/>
        <v>1628</v>
      </c>
      <c r="P18" s="214">
        <f t="shared" si="4"/>
        <v>5.87</v>
      </c>
    </row>
    <row r="19" spans="1:16" s="123" customFormat="1" ht="17.25" customHeight="1">
      <c r="A19" s="149">
        <v>11</v>
      </c>
      <c r="B19" s="119" t="s">
        <v>108</v>
      </c>
      <c r="C19" s="135" t="s">
        <v>181</v>
      </c>
      <c r="D19" s="190">
        <v>0.65</v>
      </c>
      <c r="E19" s="125"/>
      <c r="F19" s="124"/>
      <c r="G19" s="125">
        <v>3.85</v>
      </c>
      <c r="H19" s="152">
        <f t="shared" si="1"/>
        <v>4.5</v>
      </c>
      <c r="I19" s="126">
        <f t="shared" si="0"/>
        <v>135000</v>
      </c>
      <c r="J19" s="123">
        <f>196+156+222</f>
        <v>574</v>
      </c>
      <c r="M19" s="202">
        <v>639</v>
      </c>
      <c r="N19" s="214">
        <f t="shared" si="2"/>
        <v>2.3027027027027027</v>
      </c>
      <c r="O19" s="215">
        <f t="shared" si="3"/>
        <v>1069</v>
      </c>
      <c r="P19" s="214">
        <f t="shared" si="4"/>
        <v>3.85</v>
      </c>
    </row>
    <row r="20" spans="1:16" s="123" customFormat="1" ht="17.25" customHeight="1">
      <c r="A20" s="38">
        <v>12</v>
      </c>
      <c r="B20" s="119" t="s">
        <v>201</v>
      </c>
      <c r="C20" s="135" t="s">
        <v>181</v>
      </c>
      <c r="D20" s="190">
        <v>0.67</v>
      </c>
      <c r="E20" s="125"/>
      <c r="F20" s="124"/>
      <c r="G20" s="125">
        <v>6.37</v>
      </c>
      <c r="H20" s="152">
        <f t="shared" si="1"/>
        <v>7.04</v>
      </c>
      <c r="I20" s="126">
        <f t="shared" ref="I20:I25" si="5">H20*30000</f>
        <v>211200</v>
      </c>
      <c r="J20" s="123">
        <f>195+188+195</f>
        <v>578</v>
      </c>
      <c r="M20" s="202">
        <v>1337</v>
      </c>
      <c r="N20" s="214">
        <f t="shared" si="2"/>
        <v>4.8180180180180177</v>
      </c>
      <c r="O20" s="215">
        <f t="shared" si="3"/>
        <v>1767</v>
      </c>
      <c r="P20" s="214">
        <f t="shared" si="4"/>
        <v>6.37</v>
      </c>
    </row>
    <row r="21" spans="1:16" s="123" customFormat="1" ht="17.25" customHeight="1">
      <c r="A21" s="149">
        <v>13</v>
      </c>
      <c r="B21" s="119" t="s">
        <v>109</v>
      </c>
      <c r="C21" s="135" t="s">
        <v>182</v>
      </c>
      <c r="D21" s="190">
        <v>1</v>
      </c>
      <c r="E21" s="125"/>
      <c r="F21" s="124"/>
      <c r="G21" s="125">
        <v>6.63</v>
      </c>
      <c r="H21" s="152">
        <f t="shared" si="1"/>
        <v>7.63</v>
      </c>
      <c r="I21" s="126">
        <f t="shared" si="5"/>
        <v>228900</v>
      </c>
      <c r="J21" s="123">
        <f>104+471+83+70+82+189</f>
        <v>999</v>
      </c>
      <c r="M21" s="202">
        <v>1411</v>
      </c>
      <c r="N21" s="214">
        <f t="shared" si="2"/>
        <v>5.0846846846846843</v>
      </c>
      <c r="O21" s="215">
        <f t="shared" si="3"/>
        <v>1841</v>
      </c>
      <c r="P21" s="214">
        <f t="shared" si="4"/>
        <v>6.63</v>
      </c>
    </row>
    <row r="22" spans="1:16" s="123" customFormat="1" ht="17.25" customHeight="1">
      <c r="A22" s="38">
        <v>14</v>
      </c>
      <c r="B22" s="119" t="s">
        <v>202</v>
      </c>
      <c r="C22" s="135" t="s">
        <v>182</v>
      </c>
      <c r="D22" s="190">
        <v>0.67</v>
      </c>
      <c r="E22" s="125"/>
      <c r="F22" s="124"/>
      <c r="G22" s="125">
        <v>7.3</v>
      </c>
      <c r="H22" s="152">
        <f t="shared" si="1"/>
        <v>7.97</v>
      </c>
      <c r="I22" s="126">
        <f t="shared" si="5"/>
        <v>239100</v>
      </c>
      <c r="J22" s="123">
        <f>104+471+82+70+83</f>
        <v>810</v>
      </c>
      <c r="M22" s="202">
        <v>1601</v>
      </c>
      <c r="N22" s="214">
        <f t="shared" si="2"/>
        <v>5.7693693693693691</v>
      </c>
      <c r="O22" s="215">
        <f>M22+430-4</f>
        <v>2027</v>
      </c>
      <c r="P22" s="214">
        <f t="shared" si="4"/>
        <v>7.3</v>
      </c>
    </row>
    <row r="23" spans="1:16" s="123" customFormat="1" ht="17.25" customHeight="1">
      <c r="A23" s="149">
        <v>15</v>
      </c>
      <c r="B23" s="119" t="s">
        <v>110</v>
      </c>
      <c r="C23" s="135" t="s">
        <v>182</v>
      </c>
      <c r="D23" s="190">
        <v>1</v>
      </c>
      <c r="E23" s="125"/>
      <c r="F23" s="124"/>
      <c r="G23" s="125">
        <v>7.02</v>
      </c>
      <c r="H23" s="152">
        <f t="shared" si="1"/>
        <v>8.02</v>
      </c>
      <c r="I23" s="126">
        <f t="shared" si="5"/>
        <v>240600</v>
      </c>
      <c r="J23" s="123">
        <f>70+189+179</f>
        <v>438</v>
      </c>
      <c r="M23" s="202">
        <v>1519</v>
      </c>
      <c r="N23" s="214">
        <f t="shared" si="2"/>
        <v>5.4738738738738739</v>
      </c>
      <c r="O23" s="215">
        <f t="shared" si="3"/>
        <v>1949</v>
      </c>
      <c r="P23" s="214">
        <f t="shared" si="4"/>
        <v>7.02</v>
      </c>
    </row>
    <row r="24" spans="1:16" s="123" customFormat="1" ht="17.25" customHeight="1">
      <c r="A24" s="38">
        <v>16</v>
      </c>
      <c r="B24" s="119" t="s">
        <v>111</v>
      </c>
      <c r="C24" s="135" t="s">
        <v>183</v>
      </c>
      <c r="D24" s="190">
        <v>1</v>
      </c>
      <c r="E24" s="125"/>
      <c r="F24" s="124"/>
      <c r="G24" s="125">
        <v>2.85</v>
      </c>
      <c r="H24" s="152">
        <f t="shared" si="1"/>
        <v>3.85</v>
      </c>
      <c r="I24" s="126">
        <f t="shared" si="5"/>
        <v>115500</v>
      </c>
      <c r="J24" s="123">
        <f>179+207</f>
        <v>386</v>
      </c>
      <c r="M24" s="202">
        <v>360</v>
      </c>
      <c r="N24" s="214">
        <f t="shared" si="2"/>
        <v>1.2972972972972974</v>
      </c>
      <c r="O24" s="215">
        <f t="shared" si="3"/>
        <v>790</v>
      </c>
      <c r="P24" s="214">
        <f t="shared" si="4"/>
        <v>2.85</v>
      </c>
    </row>
    <row r="25" spans="1:16" s="123" customFormat="1" ht="17.25" customHeight="1">
      <c r="A25" s="193">
        <v>17</v>
      </c>
      <c r="B25" s="194" t="s">
        <v>112</v>
      </c>
      <c r="C25" s="195" t="s">
        <v>179</v>
      </c>
      <c r="D25" s="196">
        <v>1</v>
      </c>
      <c r="E25" s="127">
        <v>1.19</v>
      </c>
      <c r="F25" s="124">
        <v>28.78</v>
      </c>
      <c r="G25" s="127">
        <v>3.48</v>
      </c>
      <c r="H25" s="152">
        <f t="shared" si="1"/>
        <v>34.450000000000003</v>
      </c>
      <c r="I25" s="128">
        <f t="shared" si="5"/>
        <v>1033500.0000000001</v>
      </c>
      <c r="J25" s="123">
        <f>334+107+125+165+188+161</f>
        <v>1080</v>
      </c>
      <c r="M25" s="202">
        <v>532</v>
      </c>
      <c r="N25" s="214">
        <f t="shared" si="2"/>
        <v>1.9171171171171171</v>
      </c>
      <c r="O25" s="215">
        <f t="shared" si="3"/>
        <v>962</v>
      </c>
      <c r="P25" s="214">
        <f>ROUND(O25/277.5,2)+0.01</f>
        <v>3.48</v>
      </c>
    </row>
    <row r="26" spans="1:16" s="111" customFormat="1" ht="17.25" customHeight="1" thickBot="1">
      <c r="A26" s="4775" t="s">
        <v>184</v>
      </c>
      <c r="B26" s="4776"/>
      <c r="C26" s="4777"/>
      <c r="D26" s="136">
        <f t="shared" ref="D26:I26" si="6">SUM(D9:D25)</f>
        <v>13</v>
      </c>
      <c r="E26" s="136">
        <f t="shared" si="6"/>
        <v>2.36</v>
      </c>
      <c r="F26" s="136">
        <f t="shared" si="6"/>
        <v>28.78</v>
      </c>
      <c r="G26" s="136">
        <f t="shared" si="6"/>
        <v>57.11</v>
      </c>
      <c r="H26" s="136">
        <f t="shared" si="6"/>
        <v>101.25</v>
      </c>
      <c r="I26" s="137">
        <f t="shared" si="6"/>
        <v>3037500</v>
      </c>
      <c r="J26" s="129">
        <f>SUM(J9:J14)</f>
        <v>1015</v>
      </c>
      <c r="K26" s="130"/>
      <c r="L26" s="130"/>
      <c r="M26" s="202"/>
      <c r="N26" s="123"/>
      <c r="O26" s="123"/>
    </row>
    <row r="27" spans="1:16" s="111" customFormat="1" ht="17.25" customHeight="1" thickTop="1">
      <c r="A27" s="4502" t="s">
        <v>189</v>
      </c>
      <c r="B27" s="4502"/>
      <c r="C27" s="4502"/>
      <c r="D27" s="4502"/>
      <c r="E27" s="4502"/>
      <c r="F27" s="4502"/>
      <c r="G27" s="4502"/>
      <c r="H27" s="4502"/>
      <c r="I27" s="4502"/>
      <c r="K27" s="203">
        <v>654</v>
      </c>
      <c r="L27" s="203">
        <v>7989</v>
      </c>
      <c r="M27" s="203">
        <f>SUM(M10:M26)</f>
        <v>11121</v>
      </c>
      <c r="O27" s="203">
        <f>SUM(O10:O26)</f>
        <v>15847</v>
      </c>
      <c r="P27" s="218">
        <f>SUM(P10:P26)</f>
        <v>57.11</v>
      </c>
    </row>
    <row r="28" spans="1:16" s="42" customFormat="1" ht="15.75">
      <c r="A28" s="131"/>
      <c r="B28" s="131"/>
      <c r="C28" s="39" t="s">
        <v>167</v>
      </c>
      <c r="D28" s="39"/>
      <c r="E28" s="39"/>
      <c r="F28" s="39"/>
      <c r="G28" s="39"/>
      <c r="H28" s="39" t="s">
        <v>185</v>
      </c>
      <c r="I28" s="40"/>
      <c r="M28" s="203">
        <v>15847</v>
      </c>
      <c r="N28" s="111"/>
      <c r="O28" s="216">
        <f>O27-M28</f>
        <v>0</v>
      </c>
    </row>
    <row r="29" spans="1:16" ht="15.75">
      <c r="A29" s="117"/>
      <c r="H29" s="40"/>
      <c r="M29" s="197">
        <f>M28-M27</f>
        <v>4726</v>
      </c>
      <c r="N29" s="217">
        <f>M29/11</f>
        <v>429.63636363636363</v>
      </c>
      <c r="O29" s="42"/>
    </row>
    <row r="30" spans="1:16">
      <c r="A30" s="117"/>
      <c r="H30" s="132"/>
    </row>
    <row r="31" spans="1:16">
      <c r="A31" s="117"/>
      <c r="H31" s="132"/>
    </row>
    <row r="32" spans="1:16" ht="12.75" customHeight="1">
      <c r="A32" s="117"/>
      <c r="H32" s="133"/>
    </row>
    <row r="33" spans="1:9" ht="15.75">
      <c r="A33" s="117"/>
      <c r="C33" s="113" t="s">
        <v>94</v>
      </c>
      <c r="D33" s="113"/>
      <c r="E33" s="113"/>
      <c r="F33" s="113"/>
      <c r="G33" s="113"/>
      <c r="H33" s="113" t="s">
        <v>95</v>
      </c>
    </row>
    <row r="34" spans="1:9">
      <c r="A34" s="117"/>
    </row>
    <row r="35" spans="1:9" ht="15.75">
      <c r="A35" s="117"/>
      <c r="C35" s="134"/>
      <c r="H35" s="112"/>
    </row>
    <row r="36" spans="1:9" ht="15.75">
      <c r="H36" s="40"/>
      <c r="I36" s="40"/>
    </row>
  </sheetData>
  <mergeCells count="14">
    <mergeCell ref="A26:C26"/>
    <mergeCell ref="A27:I27"/>
    <mergeCell ref="A7:A8"/>
    <mergeCell ref="B7:B8"/>
    <mergeCell ref="C7:C8"/>
    <mergeCell ref="D7:G7"/>
    <mergeCell ref="I7:I8"/>
    <mergeCell ref="H7:H8"/>
    <mergeCell ref="A5:I5"/>
    <mergeCell ref="A4:I4"/>
    <mergeCell ref="A1:D1"/>
    <mergeCell ref="F1:I1"/>
    <mergeCell ref="A2:D2"/>
    <mergeCell ref="F2:I2"/>
  </mergeCells>
  <phoneticPr fontId="57" type="noConversion"/>
  <pageMargins left="0.33" right="0.21" top="0.28000000000000003" bottom="0.3" header="0.2" footer="0.22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"/>
  <sheetViews>
    <sheetView workbookViewId="0">
      <selection activeCell="U14" sqref="U14"/>
    </sheetView>
  </sheetViews>
  <sheetFormatPr defaultColWidth="9.375" defaultRowHeight="12.75"/>
  <cols>
    <col min="1" max="1" width="4.375" style="77" customWidth="1"/>
    <col min="2" max="2" width="9.375" style="77" customWidth="1"/>
    <col min="3" max="6" width="5.75" style="77" customWidth="1"/>
    <col min="7" max="7" width="5.25" style="77" customWidth="1"/>
    <col min="8" max="8" width="5.375" style="77" bestFit="1" customWidth="1"/>
    <col min="9" max="9" width="5.25" style="77" bestFit="1" customWidth="1"/>
    <col min="10" max="10" width="5.375" style="77" bestFit="1" customWidth="1"/>
    <col min="11" max="11" width="5.25" style="77" bestFit="1" customWidth="1"/>
    <col min="12" max="12" width="5.875" style="77" bestFit="1" customWidth="1"/>
    <col min="13" max="13" width="5.25" style="77" bestFit="1" customWidth="1"/>
    <col min="14" max="14" width="5.75" style="77" bestFit="1" customWidth="1"/>
    <col min="15" max="15" width="7.75" style="77" bestFit="1" customWidth="1"/>
    <col min="16" max="16" width="5.25" style="77" bestFit="1" customWidth="1"/>
    <col min="17" max="17" width="5.75" style="77" customWidth="1"/>
    <col min="18" max="18" width="6.625" style="77" bestFit="1" customWidth="1"/>
    <col min="19" max="19" width="6.375" style="77" customWidth="1"/>
    <col min="20" max="20" width="6" style="77" customWidth="1"/>
    <col min="21" max="21" width="4.375" style="77" bestFit="1" customWidth="1"/>
    <col min="22" max="23" width="7" style="77" customWidth="1"/>
    <col min="24" max="24" width="7.25" style="77" customWidth="1"/>
    <col min="25" max="25" width="12.75" style="77" customWidth="1"/>
    <col min="26" max="26" width="3.625" style="77" hidden="1" customWidth="1"/>
    <col min="27" max="27" width="3.375" style="161" customWidth="1"/>
    <col min="28" max="29" width="3.375" style="77" customWidth="1"/>
    <col min="30" max="16384" width="9.375" style="77"/>
  </cols>
  <sheetData>
    <row r="1" spans="1:31" s="75" customFormat="1" ht="15.75">
      <c r="A1" s="4783" t="s">
        <v>0</v>
      </c>
      <c r="B1" s="4783"/>
      <c r="C1" s="4783"/>
      <c r="D1" s="4783"/>
      <c r="E1" s="4783"/>
      <c r="F1" s="4783"/>
      <c r="G1" s="4783"/>
      <c r="H1" s="4783"/>
      <c r="AA1" s="160"/>
    </row>
    <row r="2" spans="1:31" ht="15.75">
      <c r="A2" s="4784" t="s">
        <v>114</v>
      </c>
      <c r="B2" s="4784"/>
      <c r="C2" s="4784"/>
      <c r="D2" s="4784"/>
      <c r="E2" s="4784"/>
      <c r="F2" s="4784"/>
      <c r="G2" s="4784"/>
      <c r="H2" s="4784"/>
    </row>
    <row r="3" spans="1:31" ht="15.75">
      <c r="A3" s="76"/>
      <c r="B3" s="76"/>
      <c r="C3" s="76"/>
      <c r="D3" s="76"/>
      <c r="E3" s="76"/>
      <c r="F3" s="76"/>
    </row>
    <row r="4" spans="1:31" ht="18.75">
      <c r="A4" s="4789" t="s">
        <v>115</v>
      </c>
      <c r="B4" s="4789"/>
      <c r="C4" s="4789"/>
      <c r="D4" s="4789"/>
      <c r="E4" s="4789"/>
      <c r="F4" s="4789"/>
      <c r="G4" s="4789"/>
      <c r="H4" s="4789"/>
      <c r="I4" s="4789"/>
      <c r="J4" s="4789"/>
      <c r="K4" s="4789"/>
      <c r="L4" s="4789"/>
      <c r="M4" s="4789"/>
      <c r="N4" s="4789"/>
      <c r="O4" s="4789"/>
      <c r="P4" s="4789"/>
      <c r="Q4" s="4789"/>
      <c r="R4" s="4789"/>
      <c r="S4" s="4789"/>
      <c r="T4" s="4789"/>
      <c r="U4" s="4789"/>
      <c r="V4" s="4789"/>
      <c r="W4" s="4789"/>
      <c r="X4" s="4789"/>
      <c r="Y4" s="4789"/>
      <c r="Z4" s="78"/>
      <c r="AA4" s="78"/>
      <c r="AB4" s="78"/>
    </row>
    <row r="5" spans="1:31" ht="16.5" customHeight="1">
      <c r="V5" s="4790"/>
      <c r="W5" s="4790"/>
      <c r="X5" s="4790"/>
      <c r="Y5" s="4790"/>
      <c r="Z5" s="79"/>
      <c r="AA5" s="162"/>
      <c r="AB5" s="79"/>
    </row>
    <row r="6" spans="1:31" ht="17.25" customHeight="1">
      <c r="A6" s="4785" t="s">
        <v>19</v>
      </c>
      <c r="B6" s="4785" t="s">
        <v>20</v>
      </c>
      <c r="C6" s="4786" t="s">
        <v>163</v>
      </c>
      <c r="D6" s="4785" t="s">
        <v>116</v>
      </c>
      <c r="E6" s="4785"/>
      <c r="F6" s="4785"/>
      <c r="G6" s="4795" t="s">
        <v>117</v>
      </c>
      <c r="H6" s="4795"/>
      <c r="I6" s="4795"/>
      <c r="J6" s="4795"/>
      <c r="K6" s="4795"/>
      <c r="L6" s="4795"/>
      <c r="M6" s="4795"/>
      <c r="N6" s="4795"/>
      <c r="O6" s="4795"/>
      <c r="P6" s="4795"/>
      <c r="Q6" s="4795"/>
      <c r="R6" s="4795"/>
      <c r="S6" s="4795"/>
      <c r="T6" s="4795"/>
      <c r="U6" s="4795"/>
      <c r="V6" s="4795"/>
      <c r="W6" s="4795"/>
      <c r="X6" s="4791" t="s">
        <v>118</v>
      </c>
      <c r="Y6" s="4791" t="s">
        <v>224</v>
      </c>
      <c r="Z6" s="80"/>
      <c r="AA6" s="163"/>
      <c r="AB6" s="80"/>
    </row>
    <row r="7" spans="1:31" ht="15">
      <c r="A7" s="4785"/>
      <c r="B7" s="4785"/>
      <c r="C7" s="4787"/>
      <c r="D7" s="4785"/>
      <c r="E7" s="4785"/>
      <c r="F7" s="4785"/>
      <c r="G7" s="4791" t="s">
        <v>119</v>
      </c>
      <c r="H7" s="4791" t="s">
        <v>120</v>
      </c>
      <c r="I7" s="4791"/>
      <c r="J7" s="4791" t="s">
        <v>121</v>
      </c>
      <c r="K7" s="4791"/>
      <c r="L7" s="4791" t="s">
        <v>122</v>
      </c>
      <c r="M7" s="4791"/>
      <c r="N7" s="4791"/>
      <c r="O7" s="4791" t="s">
        <v>123</v>
      </c>
      <c r="P7" s="4791"/>
      <c r="Q7" s="4791"/>
      <c r="R7" s="4791"/>
      <c r="S7" s="4791" t="s">
        <v>124</v>
      </c>
      <c r="T7" s="4791" t="s">
        <v>125</v>
      </c>
      <c r="U7" s="4791" t="s">
        <v>126</v>
      </c>
      <c r="V7" s="4791" t="s">
        <v>127</v>
      </c>
      <c r="W7" s="4791" t="s">
        <v>128</v>
      </c>
      <c r="X7" s="4791"/>
      <c r="Y7" s="4791"/>
      <c r="Z7" s="80"/>
      <c r="AA7" s="163"/>
      <c r="AB7" s="80"/>
    </row>
    <row r="8" spans="1:31" ht="62.25" customHeight="1">
      <c r="A8" s="4785"/>
      <c r="B8" s="4785"/>
      <c r="C8" s="4787"/>
      <c r="D8" s="4785"/>
      <c r="E8" s="4785"/>
      <c r="F8" s="4785"/>
      <c r="G8" s="4791"/>
      <c r="H8" s="205" t="s">
        <v>129</v>
      </c>
      <c r="I8" s="205" t="s">
        <v>130</v>
      </c>
      <c r="J8" s="206" t="s">
        <v>129</v>
      </c>
      <c r="K8" s="205" t="s">
        <v>130</v>
      </c>
      <c r="L8" s="205" t="s">
        <v>131</v>
      </c>
      <c r="M8" s="205" t="s">
        <v>132</v>
      </c>
      <c r="N8" s="205" t="s">
        <v>133</v>
      </c>
      <c r="O8" s="205" t="s">
        <v>134</v>
      </c>
      <c r="P8" s="206" t="s">
        <v>135</v>
      </c>
      <c r="Q8" s="205" t="s">
        <v>136</v>
      </c>
      <c r="R8" s="205" t="s">
        <v>137</v>
      </c>
      <c r="S8" s="4791"/>
      <c r="T8" s="4791"/>
      <c r="U8" s="4791"/>
      <c r="V8" s="4791"/>
      <c r="W8" s="4791"/>
      <c r="X8" s="4791"/>
      <c r="Y8" s="4791"/>
      <c r="Z8" s="80"/>
      <c r="AA8" s="163"/>
      <c r="AB8" s="80"/>
    </row>
    <row r="9" spans="1:31" ht="23.25" customHeight="1">
      <c r="A9" s="4785"/>
      <c r="B9" s="4785"/>
      <c r="C9" s="4788"/>
      <c r="D9" s="4785"/>
      <c r="E9" s="4785"/>
      <c r="F9" s="4785"/>
      <c r="G9" s="204" t="s">
        <v>138</v>
      </c>
      <c r="H9" s="114" t="s">
        <v>139</v>
      </c>
      <c r="I9" s="114" t="s">
        <v>139</v>
      </c>
      <c r="J9" s="114" t="s">
        <v>140</v>
      </c>
      <c r="K9" s="114" t="s">
        <v>140</v>
      </c>
      <c r="L9" s="114" t="s">
        <v>141</v>
      </c>
      <c r="M9" s="204"/>
      <c r="N9" s="204" t="s">
        <v>142</v>
      </c>
      <c r="O9" s="207"/>
      <c r="P9" s="208"/>
      <c r="Q9" s="209" t="s">
        <v>143</v>
      </c>
      <c r="R9" s="209"/>
      <c r="S9" s="210" t="s">
        <v>144</v>
      </c>
      <c r="T9" s="207"/>
      <c r="U9" s="211" t="s">
        <v>145</v>
      </c>
      <c r="V9" s="209"/>
      <c r="W9" s="205"/>
      <c r="X9" s="4791"/>
      <c r="Y9" s="4791"/>
      <c r="Z9" s="80"/>
      <c r="AA9" s="163"/>
      <c r="AB9" s="80"/>
    </row>
    <row r="10" spans="1:31" ht="18" customHeight="1">
      <c r="A10" s="4792" t="s">
        <v>146</v>
      </c>
      <c r="B10" s="4793"/>
      <c r="C10" s="4794"/>
      <c r="D10" s="212" t="s">
        <v>147</v>
      </c>
      <c r="E10" s="212" t="s">
        <v>148</v>
      </c>
      <c r="F10" s="212" t="s">
        <v>149</v>
      </c>
      <c r="G10" s="213">
        <v>1</v>
      </c>
      <c r="H10" s="213">
        <v>4</v>
      </c>
      <c r="I10" s="213">
        <v>2</v>
      </c>
      <c r="J10" s="213">
        <v>5</v>
      </c>
      <c r="K10" s="213">
        <v>3</v>
      </c>
      <c r="L10" s="213">
        <v>3</v>
      </c>
      <c r="M10" s="213">
        <v>2</v>
      </c>
      <c r="N10" s="213">
        <v>5</v>
      </c>
      <c r="O10" s="213">
        <v>1</v>
      </c>
      <c r="P10" s="213">
        <v>2</v>
      </c>
      <c r="Q10" s="213">
        <v>1</v>
      </c>
      <c r="R10" s="213">
        <v>1</v>
      </c>
      <c r="S10" s="213">
        <v>3</v>
      </c>
      <c r="T10" s="213">
        <v>5</v>
      </c>
      <c r="U10" s="213">
        <v>2</v>
      </c>
      <c r="V10" s="213">
        <v>2</v>
      </c>
      <c r="W10" s="213">
        <v>2</v>
      </c>
      <c r="X10" s="4791"/>
      <c r="Y10" s="4791"/>
      <c r="Z10" s="80"/>
      <c r="AA10" s="163"/>
      <c r="AB10" s="80"/>
    </row>
    <row r="11" spans="1:31" ht="14.25" customHeight="1">
      <c r="A11" s="4796">
        <v>1</v>
      </c>
      <c r="B11" s="4796" t="s">
        <v>100</v>
      </c>
      <c r="C11" s="4799"/>
      <c r="D11" s="81">
        <v>1</v>
      </c>
      <c r="E11" s="81">
        <v>1</v>
      </c>
      <c r="F11" s="81">
        <v>1.3</v>
      </c>
      <c r="G11" s="82"/>
      <c r="H11" s="81" t="s">
        <v>150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3"/>
      <c r="X11" s="4799" t="s">
        <v>160</v>
      </c>
      <c r="Y11" s="4799"/>
      <c r="Z11" s="84">
        <f t="shared" ref="Z11:Z75" si="0">SUMIF(G11:W11,"X",$G$10:$W$10)</f>
        <v>4</v>
      </c>
      <c r="AA11" s="164">
        <f>SUM(Z11:Z15)</f>
        <v>4</v>
      </c>
      <c r="AB11" s="4811" t="str">
        <f>IF(AA11&gt;=21,"E",IF(AA11&gt;=16,"D",IF(AA11&gt;=11,"C",IF(AA11&gt;=6,"B","A"))))</f>
        <v>A</v>
      </c>
      <c r="AD11" s="77" t="s">
        <v>152</v>
      </c>
      <c r="AE11" s="77" t="s">
        <v>52</v>
      </c>
    </row>
    <row r="12" spans="1:31" ht="14.25" customHeight="1">
      <c r="A12" s="4797"/>
      <c r="B12" s="4797"/>
      <c r="C12" s="4800"/>
      <c r="D12" s="85">
        <v>1.3</v>
      </c>
      <c r="E12" s="85">
        <v>1.1000000000000001</v>
      </c>
      <c r="F12" s="85">
        <v>1.2</v>
      </c>
      <c r="G12" s="86"/>
      <c r="H12" s="87"/>
      <c r="I12" s="87"/>
      <c r="J12" s="87"/>
      <c r="K12" s="88"/>
      <c r="L12" s="87"/>
      <c r="M12" s="87"/>
      <c r="N12" s="87"/>
      <c r="O12" s="89"/>
      <c r="P12" s="85"/>
      <c r="Q12" s="85"/>
      <c r="R12" s="85"/>
      <c r="S12" s="85"/>
      <c r="T12" s="85"/>
      <c r="U12" s="85"/>
      <c r="V12" s="85"/>
      <c r="W12" s="85"/>
      <c r="X12" s="4800"/>
      <c r="Y12" s="4800"/>
      <c r="Z12" s="84">
        <f t="shared" si="0"/>
        <v>0</v>
      </c>
      <c r="AA12" s="164"/>
      <c r="AB12" s="4811"/>
      <c r="AD12" s="90" t="s">
        <v>153</v>
      </c>
      <c r="AE12" s="77" t="s">
        <v>92</v>
      </c>
    </row>
    <row r="13" spans="1:31" ht="14.25" customHeight="1">
      <c r="A13" s="4797"/>
      <c r="B13" s="4797"/>
      <c r="C13" s="4800"/>
      <c r="D13" s="85">
        <v>1.1000000000000001</v>
      </c>
      <c r="E13" s="85">
        <v>1.2</v>
      </c>
      <c r="F13" s="85">
        <v>1.3</v>
      </c>
      <c r="G13" s="86"/>
      <c r="H13" s="89"/>
      <c r="I13" s="85"/>
      <c r="J13" s="85"/>
      <c r="K13" s="85"/>
      <c r="L13" s="85"/>
      <c r="M13" s="85"/>
      <c r="N13" s="85"/>
      <c r="O13" s="87"/>
      <c r="P13" s="87"/>
      <c r="Q13" s="87"/>
      <c r="R13" s="87"/>
      <c r="S13" s="85"/>
      <c r="T13" s="85"/>
      <c r="U13" s="85"/>
      <c r="V13" s="85"/>
      <c r="W13" s="91"/>
      <c r="X13" s="4800"/>
      <c r="Y13" s="4800"/>
      <c r="Z13" s="84">
        <f t="shared" si="0"/>
        <v>0</v>
      </c>
      <c r="AA13" s="164"/>
      <c r="AB13" s="4811"/>
      <c r="AD13" s="92" t="s">
        <v>154</v>
      </c>
      <c r="AE13" s="77" t="s">
        <v>53</v>
      </c>
    </row>
    <row r="14" spans="1:31" ht="14.25" customHeight="1">
      <c r="A14" s="4797"/>
      <c r="B14" s="4797"/>
      <c r="C14" s="4800"/>
      <c r="D14" s="85">
        <v>1.3</v>
      </c>
      <c r="E14" s="85">
        <v>1.1000000000000001</v>
      </c>
      <c r="F14" s="85">
        <v>1.2</v>
      </c>
      <c r="G14" s="86"/>
      <c r="H14" s="87"/>
      <c r="I14" s="93"/>
      <c r="J14" s="87"/>
      <c r="K14" s="87"/>
      <c r="L14" s="87"/>
      <c r="M14" s="87"/>
      <c r="N14" s="87"/>
      <c r="O14" s="85"/>
      <c r="P14" s="85"/>
      <c r="Q14" s="85"/>
      <c r="R14" s="85"/>
      <c r="S14" s="85"/>
      <c r="T14" s="85"/>
      <c r="U14" s="85"/>
      <c r="V14" s="85"/>
      <c r="W14" s="85"/>
      <c r="X14" s="4800"/>
      <c r="Y14" s="4800"/>
      <c r="Z14" s="84">
        <f t="shared" si="0"/>
        <v>0</v>
      </c>
      <c r="AA14" s="164"/>
      <c r="AB14" s="4811"/>
      <c r="AD14" s="92" t="s">
        <v>155</v>
      </c>
      <c r="AE14" s="77" t="s">
        <v>93</v>
      </c>
    </row>
    <row r="15" spans="1:31" ht="14.25" customHeight="1">
      <c r="A15" s="4798"/>
      <c r="B15" s="4798"/>
      <c r="C15" s="4801"/>
      <c r="D15" s="94">
        <v>1.3</v>
      </c>
      <c r="E15" s="94">
        <v>1.1000000000000001</v>
      </c>
      <c r="F15" s="94">
        <v>1.2</v>
      </c>
      <c r="G15" s="95"/>
      <c r="H15" s="95"/>
      <c r="I15" s="95"/>
      <c r="J15" s="95"/>
      <c r="K15" s="95"/>
      <c r="L15" s="95"/>
      <c r="M15" s="95"/>
      <c r="N15" s="95"/>
      <c r="O15" s="96"/>
      <c r="P15" s="95"/>
      <c r="Q15" s="95"/>
      <c r="R15" s="95"/>
      <c r="S15" s="95"/>
      <c r="T15" s="96"/>
      <c r="U15" s="95"/>
      <c r="V15" s="95"/>
      <c r="W15" s="95"/>
      <c r="X15" s="4801"/>
      <c r="Y15" s="4801"/>
      <c r="Z15" s="84">
        <f t="shared" si="0"/>
        <v>0</v>
      </c>
      <c r="AA15" s="164"/>
      <c r="AB15" s="4811"/>
      <c r="AD15" s="92" t="s">
        <v>156</v>
      </c>
      <c r="AE15" s="77" t="s">
        <v>157</v>
      </c>
    </row>
    <row r="16" spans="1:31" ht="14.25" customHeight="1">
      <c r="A16" s="4796">
        <v>2</v>
      </c>
      <c r="B16" s="4796" t="s">
        <v>101</v>
      </c>
      <c r="C16" s="4799"/>
      <c r="D16" s="81">
        <v>1.1000000000000001</v>
      </c>
      <c r="E16" s="81">
        <v>1.2</v>
      </c>
      <c r="F16" s="81">
        <v>1.3</v>
      </c>
      <c r="G16" s="82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4802" t="s">
        <v>159</v>
      </c>
      <c r="Y16" s="4802"/>
      <c r="Z16" s="84">
        <f t="shared" si="0"/>
        <v>0</v>
      </c>
      <c r="AA16" s="164">
        <f>SUM(Z16:Z20)</f>
        <v>2</v>
      </c>
      <c r="AB16" s="4811" t="str">
        <f>IF(AA16&gt;=21,"E",IF(AA16&gt;=16,"D",IF(AA16&gt;=11,"C",IF(AA16&gt;=6,"B","A"))))</f>
        <v>A</v>
      </c>
    </row>
    <row r="17" spans="1:28" ht="14.25" customHeight="1">
      <c r="A17" s="4797"/>
      <c r="B17" s="4797"/>
      <c r="C17" s="4800"/>
      <c r="D17" s="85">
        <v>1.3</v>
      </c>
      <c r="E17" s="85">
        <v>1.1000000000000001</v>
      </c>
      <c r="F17" s="85">
        <v>1.2</v>
      </c>
      <c r="G17" s="9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98"/>
      <c r="X17" s="4803"/>
      <c r="Y17" s="4803"/>
      <c r="Z17" s="84">
        <f t="shared" si="0"/>
        <v>0</v>
      </c>
      <c r="AA17" s="164"/>
      <c r="AB17" s="4811"/>
    </row>
    <row r="18" spans="1:28" ht="14.25" customHeight="1">
      <c r="A18" s="4797"/>
      <c r="B18" s="4797"/>
      <c r="C18" s="4800"/>
      <c r="D18" s="85">
        <v>1.1000000000000001</v>
      </c>
      <c r="E18" s="85">
        <v>1.2</v>
      </c>
      <c r="F18" s="85">
        <v>1.3</v>
      </c>
      <c r="G18" s="97"/>
      <c r="H18" s="87"/>
      <c r="I18" s="93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93"/>
      <c r="X18" s="4803"/>
      <c r="Y18" s="4803"/>
      <c r="Z18" s="84">
        <f t="shared" si="0"/>
        <v>0</v>
      </c>
      <c r="AA18" s="164"/>
      <c r="AB18" s="4811"/>
    </row>
    <row r="19" spans="1:28" ht="14.25" customHeight="1">
      <c r="A19" s="4797"/>
      <c r="B19" s="4797"/>
      <c r="C19" s="4800"/>
      <c r="D19" s="85">
        <v>1.3</v>
      </c>
      <c r="E19" s="85">
        <v>1.1000000000000001</v>
      </c>
      <c r="F19" s="85">
        <v>1.2</v>
      </c>
      <c r="G19" s="9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93"/>
      <c r="X19" s="4803"/>
      <c r="Y19" s="4803"/>
      <c r="Z19" s="84">
        <f t="shared" si="0"/>
        <v>0</v>
      </c>
      <c r="AA19" s="164"/>
      <c r="AB19" s="4811"/>
    </row>
    <row r="20" spans="1:28" ht="14.25" customHeight="1">
      <c r="A20" s="4798"/>
      <c r="B20" s="4798"/>
      <c r="C20" s="4801"/>
      <c r="D20" s="94">
        <v>1.2</v>
      </c>
      <c r="E20" s="94">
        <v>1.1000000000000001</v>
      </c>
      <c r="F20" s="94">
        <v>1.3</v>
      </c>
      <c r="G20" s="99"/>
      <c r="H20" s="95"/>
      <c r="I20" s="95"/>
      <c r="J20" s="95"/>
      <c r="K20" s="95"/>
      <c r="L20" s="95"/>
      <c r="M20" s="95"/>
      <c r="N20" s="95"/>
      <c r="O20" s="95"/>
      <c r="P20" s="95" t="s">
        <v>150</v>
      </c>
      <c r="Q20" s="95"/>
      <c r="R20" s="95"/>
      <c r="S20" s="95"/>
      <c r="T20" s="95"/>
      <c r="U20" s="95"/>
      <c r="V20" s="95"/>
      <c r="W20" s="95"/>
      <c r="X20" s="4804"/>
      <c r="Y20" s="4804"/>
      <c r="Z20" s="84">
        <f t="shared" si="0"/>
        <v>2</v>
      </c>
      <c r="AA20" s="164"/>
      <c r="AB20" s="4811"/>
    </row>
    <row r="21" spans="1:28" ht="14.25" customHeight="1">
      <c r="A21" s="4796">
        <v>3</v>
      </c>
      <c r="B21" s="4796" t="s">
        <v>225</v>
      </c>
      <c r="C21" s="4799"/>
      <c r="D21" s="81">
        <v>1.1000000000000001</v>
      </c>
      <c r="E21" s="81">
        <v>1.2</v>
      </c>
      <c r="F21" s="81">
        <v>1.3</v>
      </c>
      <c r="G21" s="100"/>
      <c r="H21" s="100"/>
      <c r="I21" s="100"/>
      <c r="J21" s="100"/>
      <c r="K21" s="101" t="s">
        <v>150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4802" t="s">
        <v>206</v>
      </c>
      <c r="Y21" s="4802"/>
      <c r="Z21" s="84">
        <f t="shared" si="0"/>
        <v>3</v>
      </c>
      <c r="AA21" s="164">
        <f>SUM(Z21:Z25)</f>
        <v>7</v>
      </c>
      <c r="AB21" s="4811" t="str">
        <f>IF(AA21&gt;=21,"E",IF(AA21&gt;=16,"D",IF(AA21&gt;=11,"C",IF(AA21&gt;=6,"B","A"))))</f>
        <v>B</v>
      </c>
    </row>
    <row r="22" spans="1:28" ht="14.25" customHeight="1">
      <c r="A22" s="4797"/>
      <c r="B22" s="4797"/>
      <c r="C22" s="4800"/>
      <c r="D22" s="85">
        <v>1.3</v>
      </c>
      <c r="E22" s="85">
        <v>1.1000000000000001</v>
      </c>
      <c r="F22" s="85">
        <v>1.2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4803"/>
      <c r="Y22" s="4803"/>
      <c r="Z22" s="84">
        <f t="shared" si="0"/>
        <v>0</v>
      </c>
      <c r="AA22" s="164"/>
      <c r="AB22" s="4811"/>
    </row>
    <row r="23" spans="1:28" ht="14.25" customHeight="1">
      <c r="A23" s="4797"/>
      <c r="B23" s="4797"/>
      <c r="C23" s="4800"/>
      <c r="D23" s="85">
        <v>1.1000000000000001</v>
      </c>
      <c r="E23" s="85">
        <v>1.2</v>
      </c>
      <c r="F23" s="85">
        <v>1.3</v>
      </c>
      <c r="G23" s="87"/>
      <c r="H23" s="87"/>
      <c r="I23" s="93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4803"/>
      <c r="Y23" s="4803"/>
      <c r="Z23" s="84">
        <f t="shared" si="0"/>
        <v>0</v>
      </c>
      <c r="AA23" s="164"/>
      <c r="AB23" s="4811"/>
    </row>
    <row r="24" spans="1:28" ht="14.25" customHeight="1">
      <c r="A24" s="4797"/>
      <c r="B24" s="4797"/>
      <c r="C24" s="4800"/>
      <c r="D24" s="85">
        <v>1.3</v>
      </c>
      <c r="E24" s="85">
        <v>1.1000000000000001</v>
      </c>
      <c r="F24" s="85">
        <v>1.2</v>
      </c>
      <c r="G24" s="87"/>
      <c r="H24" s="87" t="s">
        <v>150</v>
      </c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4803"/>
      <c r="Y24" s="4803"/>
      <c r="Z24" s="84">
        <f t="shared" si="0"/>
        <v>4</v>
      </c>
      <c r="AA24" s="164"/>
      <c r="AB24" s="4811"/>
    </row>
    <row r="25" spans="1:28" ht="14.25" customHeight="1">
      <c r="A25" s="4798"/>
      <c r="B25" s="4798"/>
      <c r="C25" s="4801"/>
      <c r="D25" s="94">
        <v>1.2</v>
      </c>
      <c r="E25" s="94">
        <v>1.1000000000000001</v>
      </c>
      <c r="F25" s="94">
        <v>1.3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804"/>
      <c r="Y25" s="4804"/>
      <c r="Z25" s="84">
        <f t="shared" si="0"/>
        <v>0</v>
      </c>
      <c r="AA25" s="164"/>
      <c r="AB25" s="4811"/>
    </row>
    <row r="26" spans="1:28" ht="14.25" customHeight="1">
      <c r="A26" s="4796">
        <v>4</v>
      </c>
      <c r="B26" s="4796" t="s">
        <v>102</v>
      </c>
      <c r="C26" s="4799"/>
      <c r="D26" s="81">
        <v>1.2</v>
      </c>
      <c r="E26" s="81">
        <v>1.3</v>
      </c>
      <c r="F26" s="81">
        <v>1.1000000000000001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4802" t="s">
        <v>160</v>
      </c>
      <c r="Y26" s="4802"/>
      <c r="Z26" s="84">
        <f t="shared" si="0"/>
        <v>0</v>
      </c>
      <c r="AA26" s="164">
        <f>SUM(Z26:Z30)</f>
        <v>4</v>
      </c>
      <c r="AB26" s="4811" t="str">
        <f>IF(AA26&gt;=21,"E",IF(AA26&gt;=16,"D",IF(AA26&gt;=11,"C",IF(AA26&gt;=6,"B","A"))))</f>
        <v>A</v>
      </c>
    </row>
    <row r="27" spans="1:28" ht="14.25" customHeight="1">
      <c r="A27" s="4797"/>
      <c r="B27" s="4797"/>
      <c r="C27" s="4800"/>
      <c r="D27" s="85">
        <v>1.3</v>
      </c>
      <c r="E27" s="85">
        <v>1.1000000000000001</v>
      </c>
      <c r="F27" s="85">
        <v>1.2</v>
      </c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4803"/>
      <c r="Y27" s="4803"/>
      <c r="Z27" s="84">
        <f t="shared" si="0"/>
        <v>0</v>
      </c>
      <c r="AA27" s="164"/>
      <c r="AB27" s="4811"/>
    </row>
    <row r="28" spans="1:28" ht="14.25" customHeight="1">
      <c r="A28" s="4797"/>
      <c r="B28" s="4797"/>
      <c r="C28" s="4800"/>
      <c r="D28" s="85">
        <v>1.5</v>
      </c>
      <c r="E28" s="85">
        <v>2</v>
      </c>
      <c r="F28" s="85">
        <v>1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4803"/>
      <c r="Y28" s="4803"/>
      <c r="Z28" s="84">
        <f t="shared" si="0"/>
        <v>0</v>
      </c>
      <c r="AA28" s="164"/>
      <c r="AB28" s="4811"/>
    </row>
    <row r="29" spans="1:28" ht="14.25" customHeight="1">
      <c r="A29" s="4797"/>
      <c r="B29" s="4797"/>
      <c r="C29" s="4800"/>
      <c r="D29" s="85">
        <v>1.2</v>
      </c>
      <c r="E29" s="85">
        <v>1.3</v>
      </c>
      <c r="F29" s="85">
        <v>1.1000000000000001</v>
      </c>
      <c r="G29" s="93"/>
      <c r="H29" s="93"/>
      <c r="I29" s="93"/>
      <c r="J29" s="93"/>
      <c r="K29" s="93" t="s">
        <v>150</v>
      </c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4803"/>
      <c r="Y29" s="4803"/>
      <c r="Z29" s="84">
        <f t="shared" si="0"/>
        <v>3</v>
      </c>
      <c r="AA29" s="164"/>
      <c r="AB29" s="4811"/>
    </row>
    <row r="30" spans="1:28" ht="14.25" customHeight="1">
      <c r="A30" s="4798"/>
      <c r="B30" s="4798"/>
      <c r="C30" s="4801"/>
      <c r="D30" s="94">
        <v>1.2</v>
      </c>
      <c r="E30" s="94">
        <v>1.1000000000000001</v>
      </c>
      <c r="F30" s="94">
        <v>1.3</v>
      </c>
      <c r="G30" s="96" t="s">
        <v>150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4804"/>
      <c r="Y30" s="4804"/>
      <c r="Z30" s="84">
        <f t="shared" si="0"/>
        <v>1</v>
      </c>
      <c r="AA30" s="164"/>
      <c r="AB30" s="4811"/>
    </row>
    <row r="31" spans="1:28" ht="14.25" customHeight="1">
      <c r="A31" s="4796">
        <v>5</v>
      </c>
      <c r="B31" s="4796" t="s">
        <v>103</v>
      </c>
      <c r="C31" s="4799"/>
      <c r="D31" s="81">
        <v>1.2</v>
      </c>
      <c r="E31" s="81">
        <v>1.3</v>
      </c>
      <c r="F31" s="81">
        <v>1.1000000000000001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4802" t="s">
        <v>158</v>
      </c>
      <c r="Y31" s="4802"/>
      <c r="Z31" s="84">
        <f t="shared" si="0"/>
        <v>0</v>
      </c>
      <c r="AA31" s="164">
        <f>SUM(Z31:Z35)</f>
        <v>3</v>
      </c>
      <c r="AB31" s="4811" t="str">
        <f>IF(AA31&gt;=21,"E",IF(AA31&gt;=16,"D",IF(AA31&gt;=11,"C",IF(AA31&gt;=6,"B","A"))))</f>
        <v>A</v>
      </c>
    </row>
    <row r="32" spans="1:28" ht="14.25" customHeight="1">
      <c r="A32" s="4797"/>
      <c r="B32" s="4797"/>
      <c r="C32" s="4800"/>
      <c r="D32" s="85">
        <v>1.3</v>
      </c>
      <c r="E32" s="85">
        <v>1.1000000000000001</v>
      </c>
      <c r="F32" s="85">
        <v>1.2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4803"/>
      <c r="Y32" s="4803"/>
      <c r="Z32" s="84">
        <f t="shared" si="0"/>
        <v>0</v>
      </c>
      <c r="AA32" s="164"/>
      <c r="AB32" s="4811"/>
    </row>
    <row r="33" spans="1:28" ht="14.25" customHeight="1">
      <c r="A33" s="4797"/>
      <c r="B33" s="4797"/>
      <c r="C33" s="4800"/>
      <c r="D33" s="85">
        <v>1.3</v>
      </c>
      <c r="E33" s="85">
        <v>1.2</v>
      </c>
      <c r="F33" s="85">
        <v>1.1000000000000001</v>
      </c>
      <c r="G33" s="93"/>
      <c r="H33" s="93"/>
      <c r="I33" s="93"/>
      <c r="J33" s="93"/>
      <c r="K33" s="93"/>
      <c r="L33" s="93"/>
      <c r="M33" s="93"/>
      <c r="N33" s="93"/>
      <c r="O33" s="93" t="s">
        <v>150</v>
      </c>
      <c r="P33" s="93"/>
      <c r="Q33" s="93"/>
      <c r="R33" s="93"/>
      <c r="S33" s="93"/>
      <c r="T33" s="93"/>
      <c r="U33" s="93"/>
      <c r="V33" s="93"/>
      <c r="W33" s="93"/>
      <c r="X33" s="4803"/>
      <c r="Y33" s="4803"/>
      <c r="Z33" s="84">
        <f t="shared" si="0"/>
        <v>1</v>
      </c>
      <c r="AA33" s="164"/>
      <c r="AB33" s="4811"/>
    </row>
    <row r="34" spans="1:28" ht="14.25" customHeight="1">
      <c r="A34" s="4797"/>
      <c r="B34" s="4797"/>
      <c r="C34" s="4800"/>
      <c r="D34" s="85">
        <v>1.2</v>
      </c>
      <c r="E34" s="85">
        <v>1.3</v>
      </c>
      <c r="F34" s="85">
        <v>1.1000000000000001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4803"/>
      <c r="Y34" s="4803"/>
      <c r="Z34" s="84">
        <f t="shared" si="0"/>
        <v>0</v>
      </c>
      <c r="AA34" s="164"/>
      <c r="AB34" s="4811"/>
    </row>
    <row r="35" spans="1:28" ht="14.25" customHeight="1">
      <c r="A35" s="4798"/>
      <c r="B35" s="4798"/>
      <c r="C35" s="4801"/>
      <c r="D35" s="94">
        <v>1.2</v>
      </c>
      <c r="E35" s="94">
        <v>1.1000000000000001</v>
      </c>
      <c r="F35" s="94">
        <v>1.3</v>
      </c>
      <c r="G35" s="96"/>
      <c r="H35" s="96"/>
      <c r="I35" s="96"/>
      <c r="J35" s="96"/>
      <c r="K35" s="96"/>
      <c r="L35" s="96"/>
      <c r="M35" s="96"/>
      <c r="N35" s="96"/>
      <c r="O35" s="96"/>
      <c r="P35" s="96" t="s">
        <v>150</v>
      </c>
      <c r="Q35" s="96"/>
      <c r="R35" s="96"/>
      <c r="S35" s="96"/>
      <c r="T35" s="96"/>
      <c r="U35" s="96"/>
      <c r="V35" s="96"/>
      <c r="W35" s="96"/>
      <c r="X35" s="4804"/>
      <c r="Y35" s="4804"/>
      <c r="Z35" s="84">
        <f t="shared" si="0"/>
        <v>2</v>
      </c>
      <c r="AA35" s="164"/>
      <c r="AB35" s="4811"/>
    </row>
    <row r="36" spans="1:28" ht="41.25" customHeight="1">
      <c r="A36" s="219"/>
      <c r="B36" s="219"/>
      <c r="C36" s="219"/>
      <c r="D36" s="219"/>
      <c r="E36" s="219"/>
      <c r="F36" s="219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192"/>
      <c r="Y36" s="192"/>
      <c r="Z36" s="84"/>
      <c r="AA36" s="164"/>
      <c r="AB36" s="191"/>
    </row>
    <row r="37" spans="1:28" ht="14.25" customHeight="1">
      <c r="A37" s="4796">
        <v>6</v>
      </c>
      <c r="B37" s="4796" t="s">
        <v>104</v>
      </c>
      <c r="C37" s="4799"/>
      <c r="D37" s="81">
        <v>0.3</v>
      </c>
      <c r="E37" s="81">
        <v>1.5</v>
      </c>
      <c r="F37" s="81">
        <v>1.3</v>
      </c>
      <c r="G37" s="101"/>
      <c r="H37" s="101" t="s">
        <v>150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4802" t="s">
        <v>209</v>
      </c>
      <c r="Y37" s="4802"/>
      <c r="Z37" s="84">
        <f t="shared" si="0"/>
        <v>4</v>
      </c>
      <c r="AA37" s="164">
        <f>SUM(Z37:Z41)</f>
        <v>9</v>
      </c>
      <c r="AB37" s="4811" t="str">
        <f>IF(AA37&gt;=21,"E",IF(AA37&gt;=16,"D",IF(AA37&gt;=11,"C",IF(AA37&gt;=6,"B","A"))))</f>
        <v>B</v>
      </c>
    </row>
    <row r="38" spans="1:28" ht="14.25" customHeight="1">
      <c r="A38" s="4797"/>
      <c r="B38" s="4797"/>
      <c r="C38" s="4800"/>
      <c r="D38" s="85">
        <v>0.6</v>
      </c>
      <c r="E38" s="85">
        <v>0.9</v>
      </c>
      <c r="F38" s="85">
        <v>0.6</v>
      </c>
      <c r="G38" s="93"/>
      <c r="H38" s="93"/>
      <c r="I38" s="93" t="s">
        <v>150</v>
      </c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4803"/>
      <c r="Y38" s="4803"/>
      <c r="Z38" s="84">
        <f t="shared" si="0"/>
        <v>2</v>
      </c>
      <c r="AA38" s="164"/>
      <c r="AB38" s="4811"/>
    </row>
    <row r="39" spans="1:28" ht="14.25" customHeight="1">
      <c r="A39" s="4797"/>
      <c r="B39" s="4797"/>
      <c r="C39" s="4800"/>
      <c r="D39" s="85">
        <v>0.5</v>
      </c>
      <c r="E39" s="85">
        <v>1</v>
      </c>
      <c r="F39" s="85">
        <v>1.4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4803"/>
      <c r="Y39" s="4803"/>
      <c r="Z39" s="84">
        <f t="shared" si="0"/>
        <v>0</v>
      </c>
      <c r="AA39" s="164"/>
      <c r="AB39" s="4811"/>
    </row>
    <row r="40" spans="1:28" ht="14.25" customHeight="1">
      <c r="A40" s="4797"/>
      <c r="B40" s="4797"/>
      <c r="C40" s="4800"/>
      <c r="D40" s="85">
        <v>1</v>
      </c>
      <c r="E40" s="85">
        <v>1.3</v>
      </c>
      <c r="F40" s="85">
        <v>1.3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4803"/>
      <c r="Y40" s="4803"/>
      <c r="Z40" s="84">
        <f t="shared" si="0"/>
        <v>0</v>
      </c>
      <c r="AA40" s="164"/>
      <c r="AB40" s="4811"/>
    </row>
    <row r="41" spans="1:28" ht="14.25" customHeight="1">
      <c r="A41" s="4798"/>
      <c r="B41" s="4798"/>
      <c r="C41" s="4801"/>
      <c r="D41" s="94">
        <v>1.5</v>
      </c>
      <c r="E41" s="94">
        <v>1.8</v>
      </c>
      <c r="F41" s="94">
        <v>1.3</v>
      </c>
      <c r="G41" s="96"/>
      <c r="H41" s="96"/>
      <c r="I41" s="96"/>
      <c r="J41" s="96"/>
      <c r="K41" s="96" t="s">
        <v>150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4804"/>
      <c r="Y41" s="4804"/>
      <c r="Z41" s="84">
        <f t="shared" si="0"/>
        <v>3</v>
      </c>
      <c r="AA41" s="164"/>
      <c r="AB41" s="4811"/>
    </row>
    <row r="42" spans="1:28" ht="14.25" customHeight="1">
      <c r="A42" s="4796">
        <v>7</v>
      </c>
      <c r="B42" s="4796" t="s">
        <v>198</v>
      </c>
      <c r="C42" s="4799"/>
      <c r="D42" s="81">
        <v>1.1000000000000001</v>
      </c>
      <c r="E42" s="81">
        <v>1.5</v>
      </c>
      <c r="F42" s="81">
        <v>1.2</v>
      </c>
      <c r="G42" s="101"/>
      <c r="H42" s="101" t="s">
        <v>150</v>
      </c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4802" t="s">
        <v>151</v>
      </c>
      <c r="Y42" s="4802"/>
      <c r="Z42" s="84">
        <f t="shared" si="0"/>
        <v>4</v>
      </c>
      <c r="AA42" s="164">
        <f>SUM(Z42:Z46)</f>
        <v>8</v>
      </c>
      <c r="AB42" s="4811" t="str">
        <f>IF(AA42&gt;=21,"E",IF(AA42&gt;=16,"D",IF(AA42&gt;=11,"C",IF(AA42&gt;=6,"B","A"))))</f>
        <v>B</v>
      </c>
    </row>
    <row r="43" spans="1:28" ht="14.25" customHeight="1">
      <c r="A43" s="4797"/>
      <c r="B43" s="4797"/>
      <c r="C43" s="4800"/>
      <c r="D43" s="85">
        <v>1.2</v>
      </c>
      <c r="E43" s="85">
        <v>1.3</v>
      </c>
      <c r="F43" s="85">
        <v>1.5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4803"/>
      <c r="Y43" s="4803"/>
      <c r="Z43" s="84">
        <f t="shared" si="0"/>
        <v>0</v>
      </c>
      <c r="AA43" s="164"/>
      <c r="AB43" s="4811"/>
    </row>
    <row r="44" spans="1:28" ht="14.25" customHeight="1">
      <c r="A44" s="4797"/>
      <c r="B44" s="4797"/>
      <c r="C44" s="4800"/>
      <c r="D44" s="85">
        <v>1</v>
      </c>
      <c r="E44" s="85">
        <v>1</v>
      </c>
      <c r="F44" s="85">
        <v>0.5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4803"/>
      <c r="Y44" s="4803"/>
      <c r="Z44" s="84">
        <f t="shared" si="0"/>
        <v>0</v>
      </c>
      <c r="AA44" s="164"/>
      <c r="AB44" s="4811"/>
    </row>
    <row r="45" spans="1:28" ht="14.25" customHeight="1">
      <c r="A45" s="4797"/>
      <c r="B45" s="4797"/>
      <c r="C45" s="4800"/>
      <c r="D45" s="85">
        <v>0.6</v>
      </c>
      <c r="E45" s="85">
        <v>1.5</v>
      </c>
      <c r="F45" s="85">
        <v>1</v>
      </c>
      <c r="G45" s="93" t="s">
        <v>150</v>
      </c>
      <c r="H45" s="93"/>
      <c r="I45" s="93"/>
      <c r="J45" s="93"/>
      <c r="K45" s="93"/>
      <c r="L45" s="93"/>
      <c r="M45" s="93"/>
      <c r="N45" s="93"/>
      <c r="O45" s="93"/>
      <c r="P45" s="93" t="s">
        <v>150</v>
      </c>
      <c r="Q45" s="93"/>
      <c r="R45" s="93"/>
      <c r="S45" s="93"/>
      <c r="T45" s="93"/>
      <c r="U45" s="93"/>
      <c r="V45" s="93"/>
      <c r="W45" s="93"/>
      <c r="X45" s="4803"/>
      <c r="Y45" s="4803"/>
      <c r="Z45" s="84">
        <f t="shared" si="0"/>
        <v>3</v>
      </c>
      <c r="AA45" s="164"/>
      <c r="AB45" s="4811"/>
    </row>
    <row r="46" spans="1:28" ht="14.25" customHeight="1">
      <c r="A46" s="4798"/>
      <c r="B46" s="4798"/>
      <c r="C46" s="4801"/>
      <c r="D46" s="94">
        <v>1.3</v>
      </c>
      <c r="E46" s="94">
        <v>1.1000000000000001</v>
      </c>
      <c r="F46" s="94">
        <v>1.2</v>
      </c>
      <c r="G46" s="96" t="s">
        <v>150</v>
      </c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4804"/>
      <c r="Y46" s="4804"/>
      <c r="Z46" s="84">
        <f t="shared" si="0"/>
        <v>1</v>
      </c>
      <c r="AA46" s="164"/>
      <c r="AB46" s="4811"/>
    </row>
    <row r="47" spans="1:28" ht="14.25" customHeight="1">
      <c r="A47" s="4796">
        <v>8</v>
      </c>
      <c r="B47" s="4796" t="s">
        <v>199</v>
      </c>
      <c r="C47" s="4799"/>
      <c r="D47" s="81">
        <v>1.2</v>
      </c>
      <c r="E47" s="81">
        <v>1.3</v>
      </c>
      <c r="F47" s="81">
        <v>1.1000000000000001</v>
      </c>
      <c r="G47" s="100"/>
      <c r="H47" s="100"/>
      <c r="I47" s="100"/>
      <c r="J47" s="101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4802" t="s">
        <v>208</v>
      </c>
      <c r="Y47" s="4802"/>
      <c r="Z47" s="84">
        <f t="shared" si="0"/>
        <v>0</v>
      </c>
      <c r="AA47" s="164">
        <f>SUM(Z47:Z51)</f>
        <v>5</v>
      </c>
      <c r="AB47" s="4811" t="str">
        <f>IF(AA47&gt;=21,"E",IF(AA47&gt;=16,"D",IF(AA47&gt;=11,"C",IF(AA47&gt;=6,"B","A"))))</f>
        <v>A</v>
      </c>
    </row>
    <row r="48" spans="1:28" ht="14.25" customHeight="1">
      <c r="A48" s="4797"/>
      <c r="B48" s="4797"/>
      <c r="C48" s="4800"/>
      <c r="D48" s="85">
        <v>1.2</v>
      </c>
      <c r="E48" s="85">
        <v>1.3</v>
      </c>
      <c r="F48" s="85">
        <v>1.1000000000000001</v>
      </c>
      <c r="G48" s="87"/>
      <c r="H48" s="93"/>
      <c r="I48" s="93"/>
      <c r="J48" s="93"/>
      <c r="K48" s="87"/>
      <c r="L48" s="87"/>
      <c r="M48" s="87"/>
      <c r="N48" s="87"/>
      <c r="O48" s="87" t="s">
        <v>150</v>
      </c>
      <c r="P48" s="87"/>
      <c r="Q48" s="87"/>
      <c r="R48" s="87"/>
      <c r="S48" s="87"/>
      <c r="T48" s="87"/>
      <c r="U48" s="87"/>
      <c r="V48" s="87"/>
      <c r="W48" s="87"/>
      <c r="X48" s="4803"/>
      <c r="Y48" s="4803"/>
      <c r="Z48" s="84">
        <f t="shared" si="0"/>
        <v>1</v>
      </c>
      <c r="AA48" s="164"/>
      <c r="AB48" s="4811"/>
    </row>
    <row r="49" spans="1:28" ht="14.25" customHeight="1">
      <c r="A49" s="4797"/>
      <c r="B49" s="4797"/>
      <c r="C49" s="4800"/>
      <c r="D49" s="85">
        <v>0.9</v>
      </c>
      <c r="E49" s="85">
        <v>1.2</v>
      </c>
      <c r="F49" s="85">
        <v>0.6</v>
      </c>
      <c r="G49" s="87"/>
      <c r="H49" s="93"/>
      <c r="I49" s="93" t="s">
        <v>150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4803"/>
      <c r="Y49" s="4803"/>
      <c r="Z49" s="84">
        <f t="shared" si="0"/>
        <v>2</v>
      </c>
      <c r="AA49" s="164"/>
      <c r="AB49" s="4811"/>
    </row>
    <row r="50" spans="1:28" ht="14.25" customHeight="1">
      <c r="A50" s="4797"/>
      <c r="B50" s="4797"/>
      <c r="C50" s="4800"/>
      <c r="D50" s="85">
        <v>1.2</v>
      </c>
      <c r="E50" s="85">
        <v>1.1000000000000001</v>
      </c>
      <c r="F50" s="85">
        <v>1.3</v>
      </c>
      <c r="G50" s="87"/>
      <c r="H50" s="93"/>
      <c r="I50" s="93"/>
      <c r="J50" s="87"/>
      <c r="K50" s="87"/>
      <c r="L50" s="87"/>
      <c r="M50" s="87"/>
      <c r="N50" s="87"/>
      <c r="O50" s="87"/>
      <c r="P50" s="87" t="s">
        <v>150</v>
      </c>
      <c r="Q50" s="87"/>
      <c r="R50" s="87"/>
      <c r="S50" s="87"/>
      <c r="T50" s="87"/>
      <c r="U50" s="87"/>
      <c r="V50" s="87"/>
      <c r="W50" s="87"/>
      <c r="X50" s="4803"/>
      <c r="Y50" s="4803"/>
      <c r="Z50" s="84">
        <f t="shared" si="0"/>
        <v>2</v>
      </c>
      <c r="AA50" s="164"/>
      <c r="AB50" s="4811"/>
    </row>
    <row r="51" spans="1:28" ht="14.25" customHeight="1">
      <c r="A51" s="4798"/>
      <c r="B51" s="4798"/>
      <c r="C51" s="4801"/>
      <c r="D51" s="94">
        <v>1.3</v>
      </c>
      <c r="E51" s="94">
        <v>1.2</v>
      </c>
      <c r="F51" s="94">
        <v>1.1000000000000001</v>
      </c>
      <c r="G51" s="95"/>
      <c r="H51" s="96"/>
      <c r="I51" s="96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4804"/>
      <c r="Y51" s="4804"/>
      <c r="Z51" s="84">
        <f t="shared" si="0"/>
        <v>0</v>
      </c>
      <c r="AA51" s="164"/>
      <c r="AB51" s="4811"/>
    </row>
    <row r="52" spans="1:28" ht="14.25" customHeight="1">
      <c r="A52" s="4796">
        <v>9</v>
      </c>
      <c r="B52" s="4799" t="s">
        <v>106</v>
      </c>
      <c r="C52" s="4799"/>
      <c r="D52" s="81">
        <v>1</v>
      </c>
      <c r="E52" s="81">
        <v>0.6</v>
      </c>
      <c r="F52" s="81">
        <v>0.5</v>
      </c>
      <c r="G52" s="101" t="s">
        <v>150</v>
      </c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4802" t="s">
        <v>209</v>
      </c>
      <c r="Y52" s="4802"/>
      <c r="Z52" s="84">
        <f t="shared" si="0"/>
        <v>1</v>
      </c>
      <c r="AA52" s="164">
        <f>SUM(Z52:Z56)</f>
        <v>9</v>
      </c>
      <c r="AB52" s="4811" t="str">
        <f>IF(AA52&gt;=21,"E",IF(AA52&gt;=16,"D",IF(AA52&gt;=11,"C",IF(AA52&gt;=6,"B","A"))))</f>
        <v>B</v>
      </c>
    </row>
    <row r="53" spans="1:28" ht="14.25" customHeight="1">
      <c r="A53" s="4797"/>
      <c r="B53" s="4800"/>
      <c r="C53" s="4800"/>
      <c r="D53" s="85">
        <v>0.5</v>
      </c>
      <c r="E53" s="85">
        <v>1.3</v>
      </c>
      <c r="F53" s="85">
        <v>0.5</v>
      </c>
      <c r="G53" s="93"/>
      <c r="H53" s="93" t="s">
        <v>150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4803"/>
      <c r="Y53" s="4803"/>
      <c r="Z53" s="84">
        <f t="shared" si="0"/>
        <v>4</v>
      </c>
      <c r="AA53" s="164"/>
      <c r="AB53" s="4811"/>
    </row>
    <row r="54" spans="1:28" ht="14.25" customHeight="1">
      <c r="A54" s="4797"/>
      <c r="B54" s="4800"/>
      <c r="C54" s="4800"/>
      <c r="D54" s="85">
        <v>1.1000000000000001</v>
      </c>
      <c r="E54" s="85">
        <v>1.2</v>
      </c>
      <c r="F54" s="85">
        <v>1.3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4803"/>
      <c r="Y54" s="4803"/>
      <c r="Z54" s="84">
        <f t="shared" si="0"/>
        <v>0</v>
      </c>
      <c r="AA54" s="164"/>
      <c r="AB54" s="4811"/>
    </row>
    <row r="55" spans="1:28" ht="14.25" customHeight="1">
      <c r="A55" s="4797"/>
      <c r="B55" s="4800"/>
      <c r="C55" s="4800"/>
      <c r="D55" s="85">
        <v>0.5</v>
      </c>
      <c r="E55" s="85">
        <v>1.5</v>
      </c>
      <c r="F55" s="85">
        <v>1.2</v>
      </c>
      <c r="G55" s="93"/>
      <c r="H55" s="93" t="s">
        <v>150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4803"/>
      <c r="Y55" s="4803"/>
      <c r="Z55" s="84">
        <f t="shared" si="0"/>
        <v>4</v>
      </c>
      <c r="AA55" s="164"/>
      <c r="AB55" s="4811"/>
    </row>
    <row r="56" spans="1:28" ht="14.25" customHeight="1">
      <c r="A56" s="4798"/>
      <c r="B56" s="4801"/>
      <c r="C56" s="4801"/>
      <c r="D56" s="94">
        <v>1.3</v>
      </c>
      <c r="E56" s="94">
        <v>1.2</v>
      </c>
      <c r="F56" s="94">
        <v>1.1000000000000001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4804"/>
      <c r="Y56" s="4804"/>
      <c r="Z56" s="84">
        <f t="shared" si="0"/>
        <v>0</v>
      </c>
      <c r="AA56" s="164"/>
      <c r="AB56" s="4811"/>
    </row>
    <row r="57" spans="1:28" ht="13.5" customHeight="1">
      <c r="A57" s="4796">
        <v>10</v>
      </c>
      <c r="B57" s="4799" t="s">
        <v>200</v>
      </c>
      <c r="C57" s="4799"/>
      <c r="D57" s="81">
        <v>1.2</v>
      </c>
      <c r="E57" s="81">
        <v>1.1000000000000001</v>
      </c>
      <c r="F57" s="81">
        <v>1.3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4802" t="s">
        <v>209</v>
      </c>
      <c r="Y57" s="4802"/>
      <c r="Z57" s="84">
        <f t="shared" si="0"/>
        <v>0</v>
      </c>
      <c r="AA57" s="164">
        <f>SUM(Z57:Z61)</f>
        <v>9</v>
      </c>
      <c r="AB57" s="4811" t="str">
        <f>IF(AA57&gt;=21,"E",IF(AA57&gt;=16,"D",IF(AA57&gt;=11,"C",IF(AA57&gt;=6,"B","A"))))</f>
        <v>B</v>
      </c>
    </row>
    <row r="58" spans="1:28" ht="13.5" customHeight="1">
      <c r="A58" s="4797"/>
      <c r="B58" s="4800"/>
      <c r="C58" s="4800"/>
      <c r="D58" s="85">
        <v>1.2</v>
      </c>
      <c r="E58" s="85">
        <v>1.3</v>
      </c>
      <c r="F58" s="85">
        <v>1.1000000000000001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4803"/>
      <c r="Y58" s="4803"/>
      <c r="Z58" s="84">
        <f t="shared" si="0"/>
        <v>0</v>
      </c>
      <c r="AA58" s="164"/>
      <c r="AB58" s="4811"/>
    </row>
    <row r="59" spans="1:28" ht="13.5" customHeight="1">
      <c r="A59" s="4797"/>
      <c r="B59" s="4800"/>
      <c r="C59" s="4800"/>
      <c r="D59" s="85">
        <v>0.5</v>
      </c>
      <c r="E59" s="85">
        <v>1.2</v>
      </c>
      <c r="F59" s="85">
        <v>0.5</v>
      </c>
      <c r="G59" s="93"/>
      <c r="H59" s="93" t="s">
        <v>150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4803"/>
      <c r="Y59" s="4803"/>
      <c r="Z59" s="84">
        <f t="shared" si="0"/>
        <v>4</v>
      </c>
      <c r="AA59" s="164"/>
      <c r="AB59" s="4811"/>
    </row>
    <row r="60" spans="1:28" ht="13.5" customHeight="1">
      <c r="A60" s="4797"/>
      <c r="B60" s="4800"/>
      <c r="C60" s="4800"/>
      <c r="D60" s="85">
        <v>0.5</v>
      </c>
      <c r="E60" s="85">
        <v>0.5</v>
      </c>
      <c r="F60" s="85">
        <v>1.2</v>
      </c>
      <c r="G60" s="93"/>
      <c r="H60" s="93" t="s">
        <v>150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4803"/>
      <c r="Y60" s="4803"/>
      <c r="Z60" s="84">
        <f t="shared" si="0"/>
        <v>4</v>
      </c>
      <c r="AA60" s="164"/>
      <c r="AB60" s="4811"/>
    </row>
    <row r="61" spans="1:28" ht="13.5" customHeight="1">
      <c r="A61" s="4798"/>
      <c r="B61" s="4801"/>
      <c r="C61" s="4801"/>
      <c r="D61" s="94">
        <v>1</v>
      </c>
      <c r="E61" s="94">
        <v>1.2</v>
      </c>
      <c r="F61" s="94">
        <v>0.8</v>
      </c>
      <c r="G61" s="96" t="s">
        <v>150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4804"/>
      <c r="Y61" s="4804"/>
      <c r="Z61" s="84">
        <f t="shared" si="0"/>
        <v>1</v>
      </c>
      <c r="AA61" s="164"/>
      <c r="AB61" s="4811"/>
    </row>
    <row r="62" spans="1:28" ht="13.5" customHeight="1">
      <c r="A62" s="4796">
        <v>11</v>
      </c>
      <c r="B62" s="4799" t="s">
        <v>108</v>
      </c>
      <c r="C62" s="4799"/>
      <c r="D62" s="81">
        <v>1.2</v>
      </c>
      <c r="E62" s="81">
        <v>1.1000000000000001</v>
      </c>
      <c r="F62" s="81">
        <v>1.3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 t="s">
        <v>150</v>
      </c>
      <c r="Q62" s="101"/>
      <c r="R62" s="101"/>
      <c r="S62" s="101"/>
      <c r="T62" s="101"/>
      <c r="U62" s="101"/>
      <c r="V62" s="101"/>
      <c r="W62" s="101"/>
      <c r="X62" s="4802" t="s">
        <v>160</v>
      </c>
      <c r="Y62" s="4802"/>
      <c r="Z62" s="84">
        <f t="shared" si="0"/>
        <v>2</v>
      </c>
      <c r="AA62" s="164">
        <f>SUM(Z62:Z66)</f>
        <v>4</v>
      </c>
      <c r="AB62" s="4811" t="str">
        <f>IF(AA62&gt;=21,"E",IF(AA62&gt;=16,"D",IF(AA62&gt;=11,"C",IF(AA62&gt;=6,"B","A"))))</f>
        <v>A</v>
      </c>
    </row>
    <row r="63" spans="1:28" ht="13.5" customHeight="1">
      <c r="A63" s="4797"/>
      <c r="B63" s="4800"/>
      <c r="C63" s="4800"/>
      <c r="D63" s="85">
        <v>1</v>
      </c>
      <c r="E63" s="85">
        <v>0.6</v>
      </c>
      <c r="F63" s="85">
        <v>1.1000000000000001</v>
      </c>
      <c r="G63" s="93" t="s">
        <v>150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4803"/>
      <c r="Y63" s="4803"/>
      <c r="Z63" s="84">
        <f t="shared" si="0"/>
        <v>1</v>
      </c>
      <c r="AA63" s="164"/>
      <c r="AB63" s="4811"/>
    </row>
    <row r="64" spans="1:28" ht="13.5" customHeight="1">
      <c r="A64" s="4797"/>
      <c r="B64" s="4800"/>
      <c r="C64" s="4800"/>
      <c r="D64" s="85">
        <v>1.1000000000000001</v>
      </c>
      <c r="E64" s="85">
        <v>1.2</v>
      </c>
      <c r="F64" s="85">
        <v>1.3</v>
      </c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4803"/>
      <c r="Y64" s="4803"/>
      <c r="Z64" s="84">
        <f t="shared" si="0"/>
        <v>0</v>
      </c>
      <c r="AA64" s="164"/>
      <c r="AB64" s="4811"/>
    </row>
    <row r="65" spans="1:28" ht="13.5" customHeight="1">
      <c r="A65" s="4797"/>
      <c r="B65" s="4800"/>
      <c r="C65" s="4800"/>
      <c r="D65" s="85">
        <v>1.3</v>
      </c>
      <c r="E65" s="85">
        <v>1.1000000000000001</v>
      </c>
      <c r="F65" s="85">
        <v>1.2</v>
      </c>
      <c r="G65" s="93"/>
      <c r="H65" s="93"/>
      <c r="I65" s="93"/>
      <c r="J65" s="93"/>
      <c r="K65" s="93"/>
      <c r="L65" s="93"/>
      <c r="M65" s="93"/>
      <c r="N65" s="93"/>
      <c r="O65" s="93" t="s">
        <v>150</v>
      </c>
      <c r="P65" s="93"/>
      <c r="Q65" s="93"/>
      <c r="R65" s="93"/>
      <c r="S65" s="93"/>
      <c r="T65" s="93"/>
      <c r="U65" s="93"/>
      <c r="V65" s="93"/>
      <c r="W65" s="93"/>
      <c r="X65" s="4803"/>
      <c r="Y65" s="4803"/>
      <c r="Z65" s="84">
        <f t="shared" si="0"/>
        <v>1</v>
      </c>
      <c r="AA65" s="164"/>
      <c r="AB65" s="4811"/>
    </row>
    <row r="66" spans="1:28" ht="13.5" customHeight="1">
      <c r="A66" s="4798"/>
      <c r="B66" s="4801"/>
      <c r="C66" s="4801"/>
      <c r="D66" s="94">
        <v>1.3</v>
      </c>
      <c r="E66" s="94">
        <v>1.2</v>
      </c>
      <c r="F66" s="94">
        <v>1.1000000000000001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4804"/>
      <c r="Y66" s="4804"/>
      <c r="Z66" s="84">
        <f t="shared" si="0"/>
        <v>0</v>
      </c>
      <c r="AA66" s="164"/>
      <c r="AB66" s="4811"/>
    </row>
    <row r="67" spans="1:28" ht="13.5" customHeight="1">
      <c r="A67" s="4796">
        <v>12</v>
      </c>
      <c r="B67" s="4799" t="s">
        <v>201</v>
      </c>
      <c r="C67" s="4799"/>
      <c r="D67" s="81">
        <v>1.2</v>
      </c>
      <c r="E67" s="81">
        <v>1.1000000000000001</v>
      </c>
      <c r="F67" s="81">
        <v>0.5</v>
      </c>
      <c r="G67" s="101" t="s">
        <v>150</v>
      </c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4802" t="s">
        <v>160</v>
      </c>
      <c r="Y67" s="4802"/>
      <c r="Z67" s="84">
        <f t="shared" si="0"/>
        <v>1</v>
      </c>
      <c r="AA67" s="164">
        <f>SUM(Z67:Z71)</f>
        <v>4</v>
      </c>
      <c r="AB67" s="4811" t="str">
        <f>IF(AA67&gt;=21,"E",IF(AA67&gt;=16,"D",IF(AA67&gt;=11,"C",IF(AA67&gt;=6,"B","A"))))</f>
        <v>A</v>
      </c>
    </row>
    <row r="68" spans="1:28" ht="13.5" customHeight="1">
      <c r="A68" s="4797"/>
      <c r="B68" s="4800"/>
      <c r="C68" s="4800"/>
      <c r="D68" s="85">
        <v>1.2</v>
      </c>
      <c r="E68" s="85">
        <v>1.3</v>
      </c>
      <c r="F68" s="85">
        <v>1.1000000000000001</v>
      </c>
      <c r="G68" s="93"/>
      <c r="H68" s="93"/>
      <c r="I68" s="93"/>
      <c r="J68" s="93"/>
      <c r="K68" s="93"/>
      <c r="L68" s="93"/>
      <c r="M68" s="93"/>
      <c r="N68" s="93"/>
      <c r="O68" s="93"/>
      <c r="P68" s="93" t="s">
        <v>150</v>
      </c>
      <c r="Q68" s="93"/>
      <c r="R68" s="93"/>
      <c r="S68" s="93"/>
      <c r="T68" s="93"/>
      <c r="U68" s="93"/>
      <c r="V68" s="93"/>
      <c r="W68" s="93"/>
      <c r="X68" s="4803"/>
      <c r="Y68" s="4803"/>
      <c r="Z68" s="84">
        <f t="shared" si="0"/>
        <v>2</v>
      </c>
      <c r="AA68" s="164"/>
      <c r="AB68" s="4811"/>
    </row>
    <row r="69" spans="1:28" ht="13.5" customHeight="1">
      <c r="A69" s="4797"/>
      <c r="B69" s="4800"/>
      <c r="C69" s="4800"/>
      <c r="D69" s="85">
        <v>1.1000000000000001</v>
      </c>
      <c r="E69" s="85">
        <v>1.2</v>
      </c>
      <c r="F69" s="85">
        <v>1.3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4803"/>
      <c r="Y69" s="4803"/>
      <c r="Z69" s="84">
        <f t="shared" si="0"/>
        <v>0</v>
      </c>
      <c r="AA69" s="164"/>
      <c r="AB69" s="4811"/>
    </row>
    <row r="70" spans="1:28" ht="13.5" customHeight="1">
      <c r="A70" s="4797"/>
      <c r="B70" s="4800"/>
      <c r="C70" s="4800"/>
      <c r="D70" s="85">
        <v>1.3</v>
      </c>
      <c r="E70" s="85">
        <v>0.6</v>
      </c>
      <c r="F70" s="85">
        <v>1.2</v>
      </c>
      <c r="G70" s="93" t="s">
        <v>150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4803"/>
      <c r="Y70" s="4803"/>
      <c r="Z70" s="84">
        <f t="shared" si="0"/>
        <v>1</v>
      </c>
      <c r="AA70" s="164"/>
      <c r="AB70" s="4811"/>
    </row>
    <row r="71" spans="1:28" ht="13.5" customHeight="1">
      <c r="A71" s="4798"/>
      <c r="B71" s="4801"/>
      <c r="C71" s="4801"/>
      <c r="D71" s="94">
        <v>1.3</v>
      </c>
      <c r="E71" s="94">
        <v>1.2</v>
      </c>
      <c r="F71" s="94">
        <v>1.1000000000000001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4804"/>
      <c r="Y71" s="4804"/>
      <c r="Z71" s="84">
        <f t="shared" si="0"/>
        <v>0</v>
      </c>
      <c r="AA71" s="164"/>
      <c r="AB71" s="4811"/>
    </row>
    <row r="72" spans="1:28" ht="14.25" customHeight="1">
      <c r="A72" s="4796">
        <v>13</v>
      </c>
      <c r="B72" s="4799" t="s">
        <v>109</v>
      </c>
      <c r="C72" s="4799"/>
      <c r="D72" s="81">
        <v>1.7</v>
      </c>
      <c r="E72" s="81">
        <v>1.6</v>
      </c>
      <c r="F72" s="81">
        <v>1.7</v>
      </c>
      <c r="G72" s="101"/>
      <c r="H72" s="101"/>
      <c r="I72" s="101"/>
      <c r="J72" s="101"/>
      <c r="K72" s="101" t="s">
        <v>150</v>
      </c>
      <c r="L72" s="101"/>
      <c r="M72" s="101"/>
      <c r="N72" s="101"/>
      <c r="O72" s="101"/>
      <c r="P72" s="101"/>
      <c r="Q72" s="101" t="s">
        <v>150</v>
      </c>
      <c r="R72" s="101"/>
      <c r="S72" s="101"/>
      <c r="T72" s="101"/>
      <c r="U72" s="101"/>
      <c r="V72" s="101"/>
      <c r="W72" s="101"/>
      <c r="X72" s="4802" t="s">
        <v>208</v>
      </c>
      <c r="Y72" s="4802"/>
      <c r="Z72" s="84">
        <f t="shared" si="0"/>
        <v>4</v>
      </c>
      <c r="AA72" s="164">
        <f>SUM(Z72:Z76)</f>
        <v>5</v>
      </c>
      <c r="AB72" s="4811" t="str">
        <f>IF(AA72&gt;=21,"E",IF(AA72&gt;=16,"D",IF(AA72&gt;=11,"C",IF(AA72&gt;=6,"B","A"))))</f>
        <v>A</v>
      </c>
    </row>
    <row r="73" spans="1:28" ht="14.25" customHeight="1">
      <c r="A73" s="4797"/>
      <c r="B73" s="4800"/>
      <c r="C73" s="4800"/>
      <c r="D73" s="85">
        <v>1.2</v>
      </c>
      <c r="E73" s="85">
        <v>1.3</v>
      </c>
      <c r="F73" s="85">
        <v>1.1000000000000001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4803"/>
      <c r="Y73" s="4803"/>
      <c r="Z73" s="84">
        <f t="shared" si="0"/>
        <v>0</v>
      </c>
      <c r="AA73" s="164"/>
      <c r="AB73" s="4811"/>
    </row>
    <row r="74" spans="1:28" ht="14.25" customHeight="1">
      <c r="A74" s="4797"/>
      <c r="B74" s="4800"/>
      <c r="C74" s="4800"/>
      <c r="D74" s="85">
        <v>1</v>
      </c>
      <c r="E74" s="85">
        <v>1.5</v>
      </c>
      <c r="F74" s="85">
        <v>1.2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 t="s">
        <v>150</v>
      </c>
      <c r="R74" s="93"/>
      <c r="S74" s="93"/>
      <c r="T74" s="93"/>
      <c r="U74" s="93"/>
      <c r="V74" s="93"/>
      <c r="W74" s="93"/>
      <c r="X74" s="4803"/>
      <c r="Y74" s="4803"/>
      <c r="Z74" s="84">
        <f t="shared" si="0"/>
        <v>1</v>
      </c>
      <c r="AA74" s="164"/>
      <c r="AB74" s="4811"/>
    </row>
    <row r="75" spans="1:28" ht="14.25" customHeight="1">
      <c r="A75" s="4797"/>
      <c r="B75" s="4800"/>
      <c r="C75" s="4800"/>
      <c r="D75" s="85">
        <v>1.3</v>
      </c>
      <c r="E75" s="85">
        <v>1.1000000000000001</v>
      </c>
      <c r="F75" s="85">
        <v>1.2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4803"/>
      <c r="Y75" s="4803"/>
      <c r="Z75" s="84">
        <f t="shared" si="0"/>
        <v>0</v>
      </c>
      <c r="AA75" s="164"/>
      <c r="AB75" s="4811"/>
    </row>
    <row r="76" spans="1:28" ht="14.25" customHeight="1">
      <c r="A76" s="4798"/>
      <c r="B76" s="4801"/>
      <c r="C76" s="4801"/>
      <c r="D76" s="94">
        <v>1.3</v>
      </c>
      <c r="E76" s="94">
        <v>1.2</v>
      </c>
      <c r="F76" s="94">
        <v>1.1000000000000001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4804"/>
      <c r="Y76" s="4804"/>
      <c r="Z76" s="84">
        <f t="shared" ref="Z76:Z96" si="1">SUMIF(G76:W76,"X",$G$10:$W$10)</f>
        <v>0</v>
      </c>
      <c r="AA76" s="164"/>
      <c r="AB76" s="4811"/>
    </row>
    <row r="77" spans="1:28" ht="14.25" customHeight="1">
      <c r="A77" s="4796">
        <v>14</v>
      </c>
      <c r="B77" s="4799" t="s">
        <v>202</v>
      </c>
      <c r="C77" s="4799"/>
      <c r="D77" s="81">
        <v>1.2</v>
      </c>
      <c r="E77" s="81">
        <v>1.1000000000000001</v>
      </c>
      <c r="F77" s="81">
        <v>1.3</v>
      </c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4802" t="s">
        <v>208</v>
      </c>
      <c r="Y77" s="4802"/>
      <c r="Z77" s="84">
        <f t="shared" si="1"/>
        <v>0</v>
      </c>
      <c r="AA77" s="164">
        <f>SUM(Z77:Z81)</f>
        <v>5</v>
      </c>
      <c r="AB77" s="4811" t="str">
        <f>IF(AA77&gt;=21,"E",IF(AA77&gt;=16,"D",IF(AA77&gt;=11,"C",IF(AA77&gt;=6,"B","A"))))</f>
        <v>A</v>
      </c>
    </row>
    <row r="78" spans="1:28" ht="14.25" customHeight="1">
      <c r="A78" s="4797"/>
      <c r="B78" s="4800"/>
      <c r="C78" s="4800"/>
      <c r="D78" s="85">
        <v>1.2</v>
      </c>
      <c r="E78" s="85">
        <v>1.3</v>
      </c>
      <c r="F78" s="85">
        <v>1.1000000000000001</v>
      </c>
      <c r="G78" s="93"/>
      <c r="H78" s="93"/>
      <c r="I78" s="93"/>
      <c r="J78" s="93"/>
      <c r="K78" s="93"/>
      <c r="L78" s="93"/>
      <c r="M78" s="93"/>
      <c r="N78" s="93"/>
      <c r="O78" s="93"/>
      <c r="P78" s="93" t="s">
        <v>150</v>
      </c>
      <c r="Q78" s="93"/>
      <c r="R78" s="93"/>
      <c r="S78" s="93"/>
      <c r="T78" s="93"/>
      <c r="U78" s="93"/>
      <c r="V78" s="93"/>
      <c r="W78" s="93"/>
      <c r="X78" s="4803"/>
      <c r="Y78" s="4803"/>
      <c r="Z78" s="84">
        <f t="shared" si="1"/>
        <v>2</v>
      </c>
      <c r="AA78" s="164"/>
      <c r="AB78" s="4811"/>
    </row>
    <row r="79" spans="1:28" ht="14.25" customHeight="1">
      <c r="A79" s="4797"/>
      <c r="B79" s="4800"/>
      <c r="C79" s="4800"/>
      <c r="D79" s="85">
        <v>1.5</v>
      </c>
      <c r="E79" s="85">
        <v>1.5</v>
      </c>
      <c r="F79" s="85">
        <v>1.6</v>
      </c>
      <c r="G79" s="93"/>
      <c r="H79" s="93"/>
      <c r="I79" s="93"/>
      <c r="J79" s="93"/>
      <c r="K79" s="93" t="s">
        <v>150</v>
      </c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4803"/>
      <c r="Y79" s="4803"/>
      <c r="Z79" s="84">
        <f t="shared" si="1"/>
        <v>3</v>
      </c>
      <c r="AA79" s="164"/>
      <c r="AB79" s="4811"/>
    </row>
    <row r="80" spans="1:28" ht="14.25" customHeight="1">
      <c r="A80" s="4797"/>
      <c r="B80" s="4800"/>
      <c r="C80" s="4800"/>
      <c r="D80" s="85">
        <v>1.3</v>
      </c>
      <c r="E80" s="85">
        <v>1.1000000000000001</v>
      </c>
      <c r="F80" s="85">
        <v>1.2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4803"/>
      <c r="Y80" s="4803"/>
      <c r="Z80" s="84">
        <f t="shared" si="1"/>
        <v>0</v>
      </c>
      <c r="AA80" s="164"/>
      <c r="AB80" s="4811"/>
    </row>
    <row r="81" spans="1:28" ht="14.25" customHeight="1">
      <c r="A81" s="4798"/>
      <c r="B81" s="4801"/>
      <c r="C81" s="4801"/>
      <c r="D81" s="94">
        <v>1.3</v>
      </c>
      <c r="E81" s="94">
        <v>1.2</v>
      </c>
      <c r="F81" s="94">
        <v>1.1000000000000001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4804"/>
      <c r="Y81" s="4804"/>
      <c r="Z81" s="84">
        <f t="shared" si="1"/>
        <v>0</v>
      </c>
      <c r="AA81" s="164"/>
      <c r="AB81" s="4811"/>
    </row>
    <row r="82" spans="1:28" ht="14.25" customHeight="1">
      <c r="A82" s="4796">
        <v>15</v>
      </c>
      <c r="B82" s="4799" t="s">
        <v>110</v>
      </c>
      <c r="C82" s="4799"/>
      <c r="D82" s="81">
        <v>1.2</v>
      </c>
      <c r="E82" s="81">
        <v>1.1000000000000001</v>
      </c>
      <c r="F82" s="81">
        <v>1.3</v>
      </c>
      <c r="G82" s="101"/>
      <c r="H82" s="101"/>
      <c r="I82" s="101"/>
      <c r="J82" s="101"/>
      <c r="K82" s="101"/>
      <c r="L82" s="101"/>
      <c r="M82" s="101"/>
      <c r="N82" s="101"/>
      <c r="O82" s="101" t="s">
        <v>150</v>
      </c>
      <c r="P82" s="101"/>
      <c r="Q82" s="101"/>
      <c r="R82" s="101"/>
      <c r="S82" s="101"/>
      <c r="T82" s="101"/>
      <c r="U82" s="101"/>
      <c r="V82" s="101"/>
      <c r="W82" s="101"/>
      <c r="X82" s="4802" t="s">
        <v>208</v>
      </c>
      <c r="Y82" s="4802"/>
      <c r="Z82" s="84">
        <f t="shared" si="1"/>
        <v>1</v>
      </c>
      <c r="AA82" s="164">
        <f>SUM(Z82:Z86)</f>
        <v>5</v>
      </c>
      <c r="AB82" s="4811" t="str">
        <f>IF(AA82&gt;=21,"E",IF(AA82&gt;=16,"D",IF(AA82&gt;=11,"C",IF(AA82&gt;=6,"B","A"))))</f>
        <v>A</v>
      </c>
    </row>
    <row r="83" spans="1:28" ht="14.25" customHeight="1">
      <c r="A83" s="4797"/>
      <c r="B83" s="4800"/>
      <c r="C83" s="4800"/>
      <c r="D83" s="85">
        <v>1.2</v>
      </c>
      <c r="E83" s="85">
        <v>0.6</v>
      </c>
      <c r="F83" s="85">
        <v>1.1000000000000001</v>
      </c>
      <c r="G83" s="93" t="s">
        <v>150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4803"/>
      <c r="Y83" s="4803"/>
      <c r="Z83" s="84">
        <f t="shared" si="1"/>
        <v>1</v>
      </c>
      <c r="AA83" s="164"/>
      <c r="AB83" s="4811"/>
    </row>
    <row r="84" spans="1:28" ht="14.25" customHeight="1">
      <c r="A84" s="4797"/>
      <c r="B84" s="4800"/>
      <c r="C84" s="4800"/>
      <c r="D84" s="85">
        <v>1.1000000000000001</v>
      </c>
      <c r="E84" s="85">
        <v>1.2</v>
      </c>
      <c r="F84" s="85">
        <v>1.3</v>
      </c>
      <c r="G84" s="93"/>
      <c r="H84" s="93"/>
      <c r="I84" s="93"/>
      <c r="J84" s="93"/>
      <c r="K84" s="93"/>
      <c r="L84" s="93"/>
      <c r="M84" s="93"/>
      <c r="N84" s="93"/>
      <c r="O84" s="93"/>
      <c r="P84" s="93" t="s">
        <v>150</v>
      </c>
      <c r="Q84" s="93"/>
      <c r="R84" s="93"/>
      <c r="S84" s="93"/>
      <c r="T84" s="93"/>
      <c r="U84" s="93"/>
      <c r="V84" s="93"/>
      <c r="W84" s="93"/>
      <c r="X84" s="4803"/>
      <c r="Y84" s="4803"/>
      <c r="Z84" s="84">
        <f t="shared" si="1"/>
        <v>2</v>
      </c>
      <c r="AA84" s="164"/>
      <c r="AB84" s="4811"/>
    </row>
    <row r="85" spans="1:28" ht="14.25" customHeight="1">
      <c r="A85" s="4797"/>
      <c r="B85" s="4800"/>
      <c r="C85" s="4800"/>
      <c r="D85" s="85">
        <v>1.3</v>
      </c>
      <c r="E85" s="85">
        <v>1.1000000000000001</v>
      </c>
      <c r="F85" s="85">
        <v>1.2</v>
      </c>
      <c r="G85" s="93"/>
      <c r="H85" s="93"/>
      <c r="I85" s="93"/>
      <c r="J85" s="93"/>
      <c r="K85" s="93"/>
      <c r="L85" s="93"/>
      <c r="M85" s="93"/>
      <c r="N85" s="93"/>
      <c r="O85" s="93" t="s">
        <v>150</v>
      </c>
      <c r="P85" s="93"/>
      <c r="Q85" s="93"/>
      <c r="R85" s="93"/>
      <c r="S85" s="93"/>
      <c r="T85" s="93"/>
      <c r="U85" s="93"/>
      <c r="V85" s="93"/>
      <c r="W85" s="93"/>
      <c r="X85" s="4803"/>
      <c r="Y85" s="4803"/>
      <c r="Z85" s="84">
        <f t="shared" si="1"/>
        <v>1</v>
      </c>
      <c r="AA85" s="164"/>
      <c r="AB85" s="4811"/>
    </row>
    <row r="86" spans="1:28" ht="14.25" customHeight="1">
      <c r="A86" s="4798"/>
      <c r="B86" s="4801"/>
      <c r="C86" s="4801"/>
      <c r="D86" s="94">
        <v>1.3</v>
      </c>
      <c r="E86" s="94">
        <v>1.5</v>
      </c>
      <c r="F86" s="94">
        <v>2</v>
      </c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4804"/>
      <c r="Y86" s="4804"/>
      <c r="Z86" s="84">
        <f t="shared" si="1"/>
        <v>0</v>
      </c>
      <c r="AA86" s="164"/>
      <c r="AB86" s="4811"/>
    </row>
    <row r="87" spans="1:28" ht="14.25" customHeight="1">
      <c r="A87" s="4796">
        <v>16</v>
      </c>
      <c r="B87" s="4799" t="s">
        <v>111</v>
      </c>
      <c r="C87" s="4799"/>
      <c r="D87" s="81">
        <v>1.5</v>
      </c>
      <c r="E87" s="81">
        <v>1</v>
      </c>
      <c r="F87" s="81">
        <v>1.8</v>
      </c>
      <c r="G87" s="101"/>
      <c r="H87" s="101"/>
      <c r="I87" s="101"/>
      <c r="J87" s="101"/>
      <c r="K87" s="101" t="s">
        <v>150</v>
      </c>
      <c r="L87" s="101"/>
      <c r="M87" s="101"/>
      <c r="N87" s="101"/>
      <c r="O87" s="101"/>
      <c r="P87" s="101" t="s">
        <v>150</v>
      </c>
      <c r="Q87" s="101"/>
      <c r="R87" s="101"/>
      <c r="S87" s="101"/>
      <c r="T87" s="101"/>
      <c r="U87" s="101"/>
      <c r="V87" s="101"/>
      <c r="W87" s="101"/>
      <c r="X87" s="4802" t="s">
        <v>207</v>
      </c>
      <c r="Y87" s="4802"/>
      <c r="Z87" s="84">
        <f t="shared" si="1"/>
        <v>5</v>
      </c>
      <c r="AA87" s="164">
        <f>SUM(Z87:Z91)</f>
        <v>10</v>
      </c>
      <c r="AB87" s="4811" t="str">
        <f>IF(AA87&gt;=21,"E",IF(AA87&gt;=16,"D",IF(AA87&gt;=11,"C",IF(AA87&gt;=6,"B","A"))))</f>
        <v>B</v>
      </c>
    </row>
    <row r="88" spans="1:28" ht="14.25" customHeight="1">
      <c r="A88" s="4797"/>
      <c r="B88" s="4800"/>
      <c r="C88" s="4800"/>
      <c r="D88" s="85">
        <v>1.2</v>
      </c>
      <c r="E88" s="85">
        <v>2</v>
      </c>
      <c r="F88" s="85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 t="s">
        <v>150</v>
      </c>
      <c r="Q88" s="93"/>
      <c r="R88" s="93"/>
      <c r="S88" s="93"/>
      <c r="T88" s="93"/>
      <c r="U88" s="93"/>
      <c r="V88" s="93"/>
      <c r="W88" s="93"/>
      <c r="X88" s="4803"/>
      <c r="Y88" s="4803"/>
      <c r="Z88" s="84">
        <f t="shared" si="1"/>
        <v>2</v>
      </c>
      <c r="AA88" s="164"/>
      <c r="AB88" s="4811"/>
    </row>
    <row r="89" spans="1:28" ht="14.25" customHeight="1">
      <c r="A89" s="4797"/>
      <c r="B89" s="4800"/>
      <c r="C89" s="4800"/>
      <c r="D89" s="85">
        <v>1.5</v>
      </c>
      <c r="E89" s="85">
        <v>1.6</v>
      </c>
      <c r="F89" s="85">
        <v>1.9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4803"/>
      <c r="Y89" s="4803"/>
      <c r="Z89" s="84">
        <f t="shared" si="1"/>
        <v>0</v>
      </c>
      <c r="AA89" s="164"/>
      <c r="AB89" s="4811"/>
    </row>
    <row r="90" spans="1:28" ht="14.25" customHeight="1">
      <c r="A90" s="4797"/>
      <c r="B90" s="4800"/>
      <c r="C90" s="4800"/>
      <c r="D90" s="85">
        <v>1</v>
      </c>
      <c r="E90" s="85">
        <v>1.2</v>
      </c>
      <c r="F90" s="85">
        <v>0.7</v>
      </c>
      <c r="G90" s="93"/>
      <c r="H90" s="93"/>
      <c r="I90" s="93"/>
      <c r="J90" s="93"/>
      <c r="K90" s="93" t="s">
        <v>150</v>
      </c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4803"/>
      <c r="Y90" s="4803"/>
      <c r="Z90" s="84">
        <f t="shared" si="1"/>
        <v>3</v>
      </c>
      <c r="AA90" s="164"/>
      <c r="AB90" s="4811"/>
    </row>
    <row r="91" spans="1:28" ht="14.25" customHeight="1">
      <c r="A91" s="4798"/>
      <c r="B91" s="4801"/>
      <c r="C91" s="4801"/>
      <c r="D91" s="94">
        <v>1.3</v>
      </c>
      <c r="E91" s="94">
        <v>1.2</v>
      </c>
      <c r="F91" s="94">
        <v>1.1000000000000001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4804"/>
      <c r="Y91" s="4804"/>
      <c r="Z91" s="84">
        <f t="shared" si="1"/>
        <v>0</v>
      </c>
      <c r="AA91" s="164"/>
      <c r="AB91" s="4811"/>
    </row>
    <row r="92" spans="1:28" ht="14.25" customHeight="1">
      <c r="A92" s="4796">
        <v>17</v>
      </c>
      <c r="B92" s="4799" t="s">
        <v>203</v>
      </c>
      <c r="C92" s="4799"/>
      <c r="D92" s="81">
        <v>1.2</v>
      </c>
      <c r="E92" s="81">
        <v>1.1000000000000001</v>
      </c>
      <c r="F92" s="81">
        <v>1.3</v>
      </c>
      <c r="G92" s="101"/>
      <c r="H92" s="101"/>
      <c r="I92" s="101"/>
      <c r="J92" s="101"/>
      <c r="K92" s="101" t="s">
        <v>150</v>
      </c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4802" t="s">
        <v>206</v>
      </c>
      <c r="Y92" s="4802"/>
      <c r="Z92" s="84">
        <f t="shared" si="1"/>
        <v>3</v>
      </c>
      <c r="AA92" s="164">
        <f>SUM(Z92:Z96)</f>
        <v>7</v>
      </c>
      <c r="AB92" s="4811" t="str">
        <f>IF(AA92&gt;=21,"E",IF(AA92&gt;=16,"D",IF(AA92&gt;=11,"C",IF(AA92&gt;=6,"B","A"))))</f>
        <v>B</v>
      </c>
    </row>
    <row r="93" spans="1:28" ht="14.25" customHeight="1">
      <c r="A93" s="4797"/>
      <c r="B93" s="4800"/>
      <c r="C93" s="4800"/>
      <c r="D93" s="85">
        <v>1.2</v>
      </c>
      <c r="E93" s="85">
        <v>1.3</v>
      </c>
      <c r="F93" s="85">
        <v>1.1000000000000001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4803"/>
      <c r="Y93" s="4803"/>
      <c r="Z93" s="84">
        <f t="shared" si="1"/>
        <v>0</v>
      </c>
      <c r="AA93" s="164"/>
      <c r="AB93" s="4811"/>
    </row>
    <row r="94" spans="1:28" ht="14.25" customHeight="1">
      <c r="A94" s="4797"/>
      <c r="B94" s="4800"/>
      <c r="C94" s="4800"/>
      <c r="D94" s="85">
        <v>1.1000000000000001</v>
      </c>
      <c r="E94" s="85">
        <v>1.2</v>
      </c>
      <c r="F94" s="85">
        <v>1.3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4803"/>
      <c r="Y94" s="4803"/>
      <c r="Z94" s="84">
        <f t="shared" si="1"/>
        <v>0</v>
      </c>
      <c r="AA94" s="164"/>
      <c r="AB94" s="4811"/>
    </row>
    <row r="95" spans="1:28" ht="14.25" customHeight="1">
      <c r="A95" s="4797"/>
      <c r="B95" s="4800"/>
      <c r="C95" s="4800"/>
      <c r="D95" s="85">
        <v>1.3</v>
      </c>
      <c r="E95" s="85">
        <v>1.1000000000000001</v>
      </c>
      <c r="F95" s="85">
        <v>1.2</v>
      </c>
      <c r="G95" s="93"/>
      <c r="H95" s="93" t="s">
        <v>150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4803"/>
      <c r="Y95" s="4803"/>
      <c r="Z95" s="84">
        <f t="shared" si="1"/>
        <v>4</v>
      </c>
      <c r="AA95" s="164"/>
      <c r="AB95" s="4811"/>
    </row>
    <row r="96" spans="1:28" ht="14.25" customHeight="1">
      <c r="A96" s="4798"/>
      <c r="B96" s="4801"/>
      <c r="C96" s="4801"/>
      <c r="D96" s="94">
        <v>1.3</v>
      </c>
      <c r="E96" s="94">
        <v>1.2</v>
      </c>
      <c r="F96" s="94">
        <v>1.1000000000000001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4804"/>
      <c r="Y96" s="4804"/>
      <c r="Z96" s="84">
        <f t="shared" si="1"/>
        <v>0</v>
      </c>
      <c r="AA96" s="164"/>
      <c r="AB96" s="4811"/>
    </row>
    <row r="98" spans="2:28" ht="17.25">
      <c r="T98" s="4812" t="s">
        <v>193</v>
      </c>
      <c r="U98" s="4812"/>
      <c r="V98" s="4812"/>
      <c r="W98" s="4812"/>
      <c r="X98" s="4812"/>
      <c r="Y98" s="4812"/>
      <c r="Z98" s="103"/>
      <c r="AA98" s="159"/>
      <c r="AB98" s="103"/>
    </row>
    <row r="99" spans="2:28" ht="17.25" customHeight="1">
      <c r="B99" s="4806" t="s">
        <v>192</v>
      </c>
      <c r="C99" s="4807"/>
      <c r="D99" s="4807"/>
      <c r="E99" s="4808"/>
      <c r="F99" s="104"/>
      <c r="H99" s="4809" t="s">
        <v>191</v>
      </c>
      <c r="I99" s="4809"/>
      <c r="J99" s="4809"/>
      <c r="K99" s="4809"/>
      <c r="L99" s="4809"/>
      <c r="M99" s="154"/>
      <c r="N99" s="4809" t="s">
        <v>161</v>
      </c>
      <c r="O99" s="4809"/>
      <c r="P99" s="4809"/>
      <c r="Q99" s="4809"/>
      <c r="R99" s="154"/>
      <c r="T99" s="4809" t="s">
        <v>162</v>
      </c>
      <c r="U99" s="4809"/>
      <c r="V99" s="4809"/>
      <c r="W99" s="4809"/>
      <c r="X99" s="4809"/>
      <c r="Y99" s="4809"/>
      <c r="Z99" s="105"/>
      <c r="AA99" s="105"/>
      <c r="AB99" s="105"/>
    </row>
    <row r="100" spans="2:28" ht="17.25" customHeight="1">
      <c r="B100" s="106" t="s">
        <v>113</v>
      </c>
      <c r="C100" s="106"/>
      <c r="D100" s="106" t="s">
        <v>52</v>
      </c>
      <c r="E100" s="110">
        <f>COUNTIF($AB$11:$AB$96,"A")</f>
        <v>10</v>
      </c>
      <c r="F100" s="104"/>
      <c r="H100" s="154"/>
      <c r="I100" s="154"/>
      <c r="J100" s="154"/>
      <c r="K100" s="154"/>
      <c r="L100" s="154"/>
    </row>
    <row r="101" spans="2:28" ht="17.25" customHeight="1">
      <c r="B101" s="107" t="s">
        <v>113</v>
      </c>
      <c r="C101" s="107"/>
      <c r="D101" s="107" t="s">
        <v>92</v>
      </c>
      <c r="E101" s="110">
        <f>COUNTIF($AB$11:$AB$96,"B")</f>
        <v>7</v>
      </c>
      <c r="F101" s="104"/>
      <c r="H101" s="154"/>
      <c r="I101" s="154"/>
      <c r="J101" s="154"/>
      <c r="K101" s="154"/>
      <c r="L101" s="154"/>
    </row>
    <row r="102" spans="2:28" ht="17.25" customHeight="1">
      <c r="B102" s="107" t="s">
        <v>113</v>
      </c>
      <c r="C102" s="107"/>
      <c r="D102" s="107" t="s">
        <v>53</v>
      </c>
      <c r="E102" s="110">
        <f>COUNTIF($AB$11:$AB$96,"C")</f>
        <v>0</v>
      </c>
      <c r="F102" s="104"/>
      <c r="H102" s="154"/>
      <c r="I102" s="154"/>
      <c r="J102" s="154"/>
      <c r="K102" s="154"/>
      <c r="L102" s="154"/>
    </row>
    <row r="103" spans="2:28" ht="17.25" customHeight="1">
      <c r="B103" s="107" t="s">
        <v>113</v>
      </c>
      <c r="C103" s="107"/>
      <c r="D103" s="107" t="s">
        <v>93</v>
      </c>
      <c r="E103" s="110">
        <f>COUNTIF($AB$11:$AB$96,"D")</f>
        <v>0</v>
      </c>
      <c r="F103" s="104"/>
      <c r="H103" s="154"/>
      <c r="I103" s="154"/>
      <c r="J103" s="154"/>
      <c r="K103" s="154"/>
      <c r="L103" s="154"/>
    </row>
    <row r="104" spans="2:28" ht="17.25" customHeight="1">
      <c r="B104" s="108" t="s">
        <v>113</v>
      </c>
      <c r="C104" s="108"/>
      <c r="D104" s="108" t="s">
        <v>157</v>
      </c>
      <c r="E104" s="110">
        <f>COUNTIF($AB$11:$AB$96,"E")</f>
        <v>0</v>
      </c>
      <c r="F104" s="104"/>
      <c r="H104" s="4810" t="s">
        <v>94</v>
      </c>
      <c r="I104" s="4810"/>
      <c r="J104" s="4810"/>
      <c r="K104" s="4810"/>
      <c r="L104" s="4810"/>
      <c r="M104" s="155"/>
      <c r="N104" s="4810" t="s">
        <v>96</v>
      </c>
      <c r="O104" s="4810"/>
      <c r="P104" s="4810"/>
      <c r="Q104" s="4810"/>
      <c r="R104" s="155"/>
      <c r="T104" s="4810" t="s">
        <v>98</v>
      </c>
      <c r="U104" s="4810"/>
      <c r="V104" s="4810"/>
      <c r="W104" s="4810"/>
      <c r="X104" s="4810"/>
      <c r="Y104" s="4810"/>
    </row>
    <row r="105" spans="2:28" ht="17.25" customHeight="1">
      <c r="B105" s="4805" t="s">
        <v>21</v>
      </c>
      <c r="C105" s="4805"/>
      <c r="D105" s="4805"/>
      <c r="E105" s="109">
        <f>SUM(E100:E104)</f>
        <v>17</v>
      </c>
      <c r="F105" s="104"/>
    </row>
    <row r="106" spans="2:28" ht="17.25" customHeight="1"/>
    <row r="107" spans="2:28" ht="17.25" customHeight="1"/>
    <row r="108" spans="2:28" ht="17.25" customHeight="1"/>
    <row r="109" spans="2:28" ht="17.25" customHeight="1"/>
    <row r="110" spans="2:28" ht="17.25" customHeight="1"/>
    <row r="111" spans="2:28" ht="17.25" customHeight="1"/>
  </sheetData>
  <mergeCells count="133">
    <mergeCell ref="Y82:Y86"/>
    <mergeCell ref="AB37:AB41"/>
    <mergeCell ref="AB42:AB46"/>
    <mergeCell ref="Y47:Y51"/>
    <mergeCell ref="AB47:AB51"/>
    <mergeCell ref="Y52:Y56"/>
    <mergeCell ref="AB52:AB56"/>
    <mergeCell ref="T104:Y104"/>
    <mergeCell ref="AB82:AB86"/>
    <mergeCell ref="Y87:Y91"/>
    <mergeCell ref="AB87:AB91"/>
    <mergeCell ref="Y92:Y96"/>
    <mergeCell ref="AB92:AB96"/>
    <mergeCell ref="T98:Y98"/>
    <mergeCell ref="T99:Y99"/>
    <mergeCell ref="AB57:AB61"/>
    <mergeCell ref="AB62:AB66"/>
    <mergeCell ref="Y77:Y81"/>
    <mergeCell ref="AB77:AB81"/>
    <mergeCell ref="Y67:Y71"/>
    <mergeCell ref="AB67:AB71"/>
    <mergeCell ref="Y72:Y76"/>
    <mergeCell ref="AB72:AB76"/>
    <mergeCell ref="Y62:Y66"/>
    <mergeCell ref="Y57:Y61"/>
    <mergeCell ref="Y16:Y20"/>
    <mergeCell ref="Y31:Y35"/>
    <mergeCell ref="Y21:Y25"/>
    <mergeCell ref="AB21:AB25"/>
    <mergeCell ref="Y26:Y30"/>
    <mergeCell ref="AB26:AB30"/>
    <mergeCell ref="Y11:Y15"/>
    <mergeCell ref="AB11:AB15"/>
    <mergeCell ref="AB16:AB20"/>
    <mergeCell ref="AB31:AB35"/>
    <mergeCell ref="Y42:Y46"/>
    <mergeCell ref="Y37:Y41"/>
    <mergeCell ref="B105:D105"/>
    <mergeCell ref="B99:E99"/>
    <mergeCell ref="H99:L99"/>
    <mergeCell ref="N99:Q99"/>
    <mergeCell ref="H104:L104"/>
    <mergeCell ref="N104:Q104"/>
    <mergeCell ref="X21:X25"/>
    <mergeCell ref="X16:X20"/>
    <mergeCell ref="X11:X15"/>
    <mergeCell ref="A87:A91"/>
    <mergeCell ref="B87:B91"/>
    <mergeCell ref="C87:C91"/>
    <mergeCell ref="X87:X91"/>
    <mergeCell ref="A82:A86"/>
    <mergeCell ref="B82:B86"/>
    <mergeCell ref="C82:C86"/>
    <mergeCell ref="X82:X86"/>
    <mergeCell ref="A92:A96"/>
    <mergeCell ref="B92:B96"/>
    <mergeCell ref="C92:C96"/>
    <mergeCell ref="X92:X96"/>
    <mergeCell ref="A57:A61"/>
    <mergeCell ref="B57:B61"/>
    <mergeCell ref="C57:C61"/>
    <mergeCell ref="X57:X61"/>
    <mergeCell ref="A72:A76"/>
    <mergeCell ref="B72:B76"/>
    <mergeCell ref="C72:C76"/>
    <mergeCell ref="X72:X76"/>
    <mergeCell ref="A77:A81"/>
    <mergeCell ref="B77:B81"/>
    <mergeCell ref="C77:C81"/>
    <mergeCell ref="X77:X81"/>
    <mergeCell ref="A62:A66"/>
    <mergeCell ref="B62:B66"/>
    <mergeCell ref="C62:C66"/>
    <mergeCell ref="X62:X66"/>
    <mergeCell ref="A67:A71"/>
    <mergeCell ref="B67:B71"/>
    <mergeCell ref="C67:C71"/>
    <mergeCell ref="X67:X71"/>
    <mergeCell ref="A52:A56"/>
    <mergeCell ref="B52:B56"/>
    <mergeCell ref="C52:C56"/>
    <mergeCell ref="X52:X56"/>
    <mergeCell ref="A26:A30"/>
    <mergeCell ref="B26:B30"/>
    <mergeCell ref="C26:C30"/>
    <mergeCell ref="X26:X30"/>
    <mergeCell ref="A31:A35"/>
    <mergeCell ref="B31:B35"/>
    <mergeCell ref="C31:C35"/>
    <mergeCell ref="X31:X35"/>
    <mergeCell ref="A37:A41"/>
    <mergeCell ref="B37:B41"/>
    <mergeCell ref="C37:C41"/>
    <mergeCell ref="X37:X41"/>
    <mergeCell ref="A42:A46"/>
    <mergeCell ref="B42:B46"/>
    <mergeCell ref="C42:C46"/>
    <mergeCell ref="X42:X46"/>
    <mergeCell ref="A47:A51"/>
    <mergeCell ref="B47:B51"/>
    <mergeCell ref="C47:C51"/>
    <mergeCell ref="X47:X51"/>
    <mergeCell ref="A11:A15"/>
    <mergeCell ref="A21:A25"/>
    <mergeCell ref="B21:B25"/>
    <mergeCell ref="C21:C25"/>
    <mergeCell ref="A16:A20"/>
    <mergeCell ref="B16:B20"/>
    <mergeCell ref="C16:C20"/>
    <mergeCell ref="B11:B15"/>
    <mergeCell ref="C11:C15"/>
    <mergeCell ref="A1:H1"/>
    <mergeCell ref="A2:H2"/>
    <mergeCell ref="A6:A9"/>
    <mergeCell ref="B6:B9"/>
    <mergeCell ref="C6:C9"/>
    <mergeCell ref="A4:Y4"/>
    <mergeCell ref="V5:Y5"/>
    <mergeCell ref="Y6:Y10"/>
    <mergeCell ref="V7:V8"/>
    <mergeCell ref="W7:W8"/>
    <mergeCell ref="A10:C10"/>
    <mergeCell ref="T7:T8"/>
    <mergeCell ref="G7:G8"/>
    <mergeCell ref="H7:I7"/>
    <mergeCell ref="D6:F9"/>
    <mergeCell ref="G6:W6"/>
    <mergeCell ref="X6:X10"/>
    <mergeCell ref="J7:K7"/>
    <mergeCell ref="L7:N7"/>
    <mergeCell ref="O7:R7"/>
    <mergeCell ref="S7:S8"/>
    <mergeCell ref="U7:U8"/>
  </mergeCells>
  <phoneticPr fontId="57" type="noConversion"/>
  <pageMargins left="0.26" right="0.2" top="0.39" bottom="0.26" header="0.3" footer="0.2"/>
  <pageSetup paperSize="9" scale="9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1"/>
  <sheetViews>
    <sheetView zoomScaleNormal="100" workbookViewId="0">
      <selection activeCell="I25" sqref="I25:J25"/>
    </sheetView>
  </sheetViews>
  <sheetFormatPr defaultColWidth="9" defaultRowHeight="15"/>
  <cols>
    <col min="1" max="1" width="4.625" style="289" customWidth="1"/>
    <col min="2" max="2" width="15.25" style="289" customWidth="1"/>
    <col min="3" max="3" width="13.375" style="29" customWidth="1"/>
    <col min="4" max="4" width="12.875" style="29" customWidth="1"/>
    <col min="5" max="5" width="24.875" style="29" customWidth="1"/>
    <col min="6" max="6" width="9.375" style="29" hidden="1" customWidth="1"/>
    <col min="7" max="7" width="15" style="29" customWidth="1"/>
    <col min="8" max="8" width="15.625" style="29" customWidth="1"/>
    <col min="9" max="9" width="18.75" style="29" customWidth="1"/>
    <col min="10" max="10" width="15.8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</row>
    <row r="2" spans="1:21" ht="15.75">
      <c r="A2" s="4155" t="s">
        <v>171</v>
      </c>
      <c r="B2" s="4155"/>
      <c r="C2" s="4155"/>
      <c r="D2" s="4155"/>
      <c r="E2" s="4155"/>
      <c r="F2" s="4155"/>
      <c r="G2" s="4155"/>
      <c r="H2" s="4155"/>
      <c r="I2" s="4155"/>
      <c r="J2" s="4155"/>
    </row>
    <row r="3" spans="1:21" ht="14.25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 ht="15.75">
      <c r="A4" s="4666" t="s">
        <v>734</v>
      </c>
      <c r="B4" s="4666"/>
      <c r="C4" s="4666"/>
      <c r="D4" s="4666"/>
      <c r="E4" s="4666"/>
      <c r="F4" s="40"/>
      <c r="G4" s="599"/>
      <c r="H4" s="599"/>
      <c r="I4" s="599"/>
      <c r="J4" s="599"/>
      <c r="K4" s="42"/>
    </row>
    <row r="5" spans="1:21" ht="15.75">
      <c r="A5" s="4155" t="s">
        <v>541</v>
      </c>
      <c r="B5" s="4155"/>
      <c r="C5" s="4155"/>
      <c r="D5" s="4155"/>
      <c r="E5" s="4155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951" t="s">
        <v>1871</v>
      </c>
      <c r="B7" s="3951"/>
      <c r="C7" s="3951"/>
      <c r="D7" s="3951"/>
      <c r="E7" s="3951"/>
      <c r="F7" s="3951"/>
      <c r="G7" s="3951"/>
      <c r="H7" s="3951"/>
      <c r="I7" s="3951"/>
      <c r="J7" s="3951"/>
    </row>
    <row r="8" spans="1:21" ht="17.25" customHeight="1"/>
    <row r="9" spans="1:21" ht="24.75" customHeight="1">
      <c r="A9" s="4509" t="s">
        <v>1</v>
      </c>
      <c r="B9" s="4705" t="s">
        <v>509</v>
      </c>
      <c r="C9" s="4509" t="s">
        <v>542</v>
      </c>
      <c r="D9" s="4701" t="s">
        <v>1561</v>
      </c>
      <c r="E9" s="4509" t="s">
        <v>543</v>
      </c>
      <c r="F9" s="4701" t="s">
        <v>544</v>
      </c>
      <c r="G9" s="4705" t="s">
        <v>1872</v>
      </c>
      <c r="H9" s="4705" t="s">
        <v>545</v>
      </c>
      <c r="I9" s="4705" t="s">
        <v>546</v>
      </c>
      <c r="J9" s="4509" t="s">
        <v>345</v>
      </c>
    </row>
    <row r="10" spans="1:21" ht="24.75" customHeight="1">
      <c r="A10" s="4509"/>
      <c r="B10" s="4706"/>
      <c r="C10" s="4509"/>
      <c r="D10" s="4702"/>
      <c r="E10" s="4509"/>
      <c r="F10" s="4702"/>
      <c r="G10" s="4706"/>
      <c r="H10" s="4706"/>
      <c r="I10" s="4706"/>
      <c r="J10" s="4509"/>
    </row>
    <row r="11" spans="1:21" ht="18" customHeight="1">
      <c r="A11" s="774">
        <v>1</v>
      </c>
      <c r="B11" s="602" t="s">
        <v>1725</v>
      </c>
      <c r="C11" s="774" t="s">
        <v>1882</v>
      </c>
      <c r="D11" s="774">
        <v>19</v>
      </c>
      <c r="E11" s="774" t="s">
        <v>549</v>
      </c>
      <c r="F11" s="606">
        <v>0</v>
      </c>
      <c r="G11" s="3237">
        <v>500000</v>
      </c>
      <c r="H11" s="604">
        <f>G11</f>
        <v>500000</v>
      </c>
      <c r="I11" s="605"/>
      <c r="J11" s="606"/>
      <c r="K11" s="606"/>
    </row>
    <row r="12" spans="1:21" ht="18" customHeight="1">
      <c r="A12" s="682">
        <v>2</v>
      </c>
      <c r="B12" s="607" t="s">
        <v>1885</v>
      </c>
      <c r="C12" s="682" t="s">
        <v>515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21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38">
        <v>600000</v>
      </c>
      <c r="H13" s="609">
        <f t="shared" si="0"/>
        <v>600000</v>
      </c>
      <c r="I13" s="610"/>
      <c r="J13" s="611"/>
      <c r="K13" s="611"/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39">
        <v>150000</v>
      </c>
      <c r="H14" s="609">
        <f t="shared" si="0"/>
        <v>150000</v>
      </c>
      <c r="I14" s="610"/>
      <c r="J14" s="611"/>
      <c r="K14" s="611"/>
    </row>
    <row r="15" spans="1:21" ht="18" customHeight="1">
      <c r="A15" s="682">
        <v>5</v>
      </c>
      <c r="B15" s="607" t="s">
        <v>556</v>
      </c>
      <c r="C15" s="682" t="s">
        <v>553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/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38">
        <v>600000</v>
      </c>
      <c r="H16" s="609">
        <f t="shared" si="0"/>
        <v>600000</v>
      </c>
      <c r="I16" s="610"/>
      <c r="J16" s="611"/>
      <c r="K16" s="611"/>
      <c r="Q16" s="599">
        <f>2300+900</f>
        <v>3200</v>
      </c>
    </row>
    <row r="17" spans="1:13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39">
        <v>150000</v>
      </c>
      <c r="H17" s="609">
        <f t="shared" si="0"/>
        <v>150000</v>
      </c>
      <c r="I17" s="610"/>
      <c r="J17" s="611"/>
      <c r="K17" s="611"/>
    </row>
    <row r="18" spans="1:13" ht="18" customHeight="1">
      <c r="A18" s="682">
        <v>8</v>
      </c>
      <c r="B18" s="607" t="s">
        <v>1595</v>
      </c>
      <c r="C18" s="1699" t="s">
        <v>563</v>
      </c>
      <c r="D18" s="1699">
        <v>11</v>
      </c>
      <c r="E18" s="682" t="s">
        <v>549</v>
      </c>
      <c r="F18" s="258">
        <v>0</v>
      </c>
      <c r="G18" s="609">
        <v>500000</v>
      </c>
      <c r="H18" s="609">
        <f t="shared" si="0"/>
        <v>500000</v>
      </c>
      <c r="I18" s="610"/>
      <c r="J18" s="611"/>
      <c r="K18" s="611"/>
    </row>
    <row r="19" spans="1:13" ht="18" customHeight="1">
      <c r="A19" s="682">
        <v>9</v>
      </c>
      <c r="B19" s="607" t="s">
        <v>1884</v>
      </c>
      <c r="C19" s="1699" t="s">
        <v>1883</v>
      </c>
      <c r="D19" s="1699">
        <v>0</v>
      </c>
      <c r="E19" s="3453" t="s">
        <v>549</v>
      </c>
      <c r="F19" s="258">
        <v>0</v>
      </c>
      <c r="G19" s="609">
        <v>150000</v>
      </c>
      <c r="H19" s="609">
        <f t="shared" si="0"/>
        <v>150000</v>
      </c>
      <c r="I19" s="610"/>
      <c r="J19" s="611"/>
      <c r="K19" s="611"/>
    </row>
    <row r="20" spans="1:13" ht="18" customHeight="1">
      <c r="A20" s="682">
        <v>8</v>
      </c>
      <c r="B20" s="607" t="s">
        <v>1502</v>
      </c>
      <c r="C20" s="1699"/>
      <c r="D20" s="1699"/>
      <c r="E20" s="682" t="s">
        <v>1726</v>
      </c>
      <c r="F20" s="258"/>
      <c r="G20" s="609">
        <v>2100000</v>
      </c>
      <c r="H20" s="609">
        <f t="shared" si="0"/>
        <v>2100000</v>
      </c>
      <c r="I20" s="610"/>
      <c r="J20" s="682" t="s">
        <v>1887</v>
      </c>
      <c r="K20" s="611"/>
      <c r="M20" s="3452"/>
    </row>
    <row r="21" spans="1:13" ht="18" customHeight="1">
      <c r="A21" s="682">
        <v>9</v>
      </c>
      <c r="B21" s="607" t="s">
        <v>1886</v>
      </c>
      <c r="C21" s="1699"/>
      <c r="D21" s="1699"/>
      <c r="E21" s="688" t="s">
        <v>1727</v>
      </c>
      <c r="F21" s="258"/>
      <c r="G21" s="609">
        <v>2100000</v>
      </c>
      <c r="H21" s="609">
        <f t="shared" si="0"/>
        <v>2100000</v>
      </c>
      <c r="I21" s="610"/>
      <c r="J21" s="682" t="s">
        <v>1887</v>
      </c>
      <c r="K21" s="611"/>
      <c r="M21" s="3452"/>
    </row>
    <row r="22" spans="1:13" ht="22.5" customHeight="1">
      <c r="A22" s="3948" t="s">
        <v>21</v>
      </c>
      <c r="B22" s="3948"/>
      <c r="C22" s="3948"/>
      <c r="D22" s="3173">
        <f>SUM(D11:D19)</f>
        <v>139</v>
      </c>
      <c r="E22" s="3607"/>
      <c r="F22" s="773">
        <f>SUM(F11:F19)</f>
        <v>22</v>
      </c>
      <c r="G22" s="615">
        <f>SUM(G11:G21)</f>
        <v>7950000</v>
      </c>
      <c r="H22" s="615">
        <f>SUM(H11:H21)</f>
        <v>7950000</v>
      </c>
      <c r="I22" s="615"/>
      <c r="J22" s="614"/>
    </row>
    <row r="23" spans="1:13" ht="22.5" customHeight="1">
      <c r="A23" s="4756" t="s">
        <v>1888</v>
      </c>
      <c r="B23" s="4756"/>
      <c r="C23" s="4756"/>
      <c r="D23" s="4756"/>
      <c r="E23" s="4756"/>
      <c r="F23" s="4756"/>
      <c r="G23" s="4756"/>
      <c r="H23" s="4756"/>
      <c r="I23" s="4756"/>
      <c r="J23" s="4756"/>
    </row>
    <row r="24" spans="1:13" ht="16.5">
      <c r="A24" s="157"/>
      <c r="B24" s="157"/>
      <c r="C24" s="157"/>
      <c r="D24" s="157"/>
      <c r="E24" s="157"/>
      <c r="F24" s="283"/>
      <c r="G24" s="283"/>
      <c r="I24" s="4813" t="s">
        <v>1913</v>
      </c>
      <c r="J24" s="4813"/>
    </row>
    <row r="25" spans="1:13" s="2447" customFormat="1" ht="18.75" customHeight="1">
      <c r="A25" s="4814" t="s">
        <v>567</v>
      </c>
      <c r="B25" s="4814"/>
      <c r="C25" s="4814"/>
      <c r="D25" s="3174"/>
      <c r="E25" s="4155" t="s">
        <v>44</v>
      </c>
      <c r="F25" s="4155"/>
      <c r="G25" s="4155"/>
      <c r="H25" s="1736"/>
      <c r="I25" s="4155" t="s">
        <v>1104</v>
      </c>
      <c r="J25" s="4155"/>
    </row>
    <row r="31" spans="1:13">
      <c r="G31" s="4700"/>
      <c r="H31" s="4700"/>
      <c r="I31" s="4700"/>
      <c r="J31" s="4700"/>
    </row>
  </sheetData>
  <mergeCells count="24">
    <mergeCell ref="I31:J31"/>
    <mergeCell ref="I25:J25"/>
    <mergeCell ref="G9:G10"/>
    <mergeCell ref="J9:J10"/>
    <mergeCell ref="G31:H31"/>
    <mergeCell ref="I9:I10"/>
    <mergeCell ref="I24:J24"/>
    <mergeCell ref="A23:J23"/>
    <mergeCell ref="A22:C22"/>
    <mergeCell ref="H9:H10"/>
    <mergeCell ref="E9:E10"/>
    <mergeCell ref="A25:C25"/>
    <mergeCell ref="E25:G25"/>
    <mergeCell ref="A1:J1"/>
    <mergeCell ref="A4:E4"/>
    <mergeCell ref="A5:E5"/>
    <mergeCell ref="A7:J7"/>
    <mergeCell ref="A9:A10"/>
    <mergeCell ref="B9:B10"/>
    <mergeCell ref="C9:C10"/>
    <mergeCell ref="A2:J2"/>
    <mergeCell ref="A3:J3"/>
    <mergeCell ref="F9:F10"/>
    <mergeCell ref="D9:D10"/>
  </mergeCells>
  <pageMargins left="0.19685039370078741" right="0.19685039370078741" top="0.35433070866141736" bottom="0.39370078740157483" header="0.31496062992125984" footer="0.31496062992125984"/>
  <pageSetup paperSize="9" scale="97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9"/>
  <sheetViews>
    <sheetView topLeftCell="A7" workbookViewId="0">
      <selection activeCell="I19" sqref="I19"/>
    </sheetView>
  </sheetViews>
  <sheetFormatPr defaultColWidth="9" defaultRowHeight="15"/>
  <cols>
    <col min="1" max="1" width="4.125" style="289" customWidth="1"/>
    <col min="2" max="2" width="15.25" style="289" customWidth="1"/>
    <col min="3" max="3" width="13.375" style="29" customWidth="1"/>
    <col min="4" max="4" width="9.25" style="29" customWidth="1"/>
    <col min="5" max="5" width="20.25" style="29" customWidth="1"/>
    <col min="6" max="6" width="9.375" style="29" hidden="1" customWidth="1"/>
    <col min="7" max="7" width="15" style="29" customWidth="1"/>
    <col min="8" max="8" width="15.125" style="29" customWidth="1"/>
    <col min="9" max="9" width="16.875" style="29" customWidth="1"/>
    <col min="10" max="10" width="14.3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</row>
    <row r="2" spans="1:21" ht="15.75">
      <c r="A2" s="4155" t="s">
        <v>171</v>
      </c>
      <c r="B2" s="4155"/>
      <c r="C2" s="4155"/>
      <c r="D2" s="4155"/>
      <c r="E2" s="4155"/>
      <c r="F2" s="4155"/>
      <c r="G2" s="4155"/>
      <c r="H2" s="4155"/>
      <c r="I2" s="4155"/>
      <c r="J2" s="4155"/>
    </row>
    <row r="3" spans="1:21" ht="14.25">
      <c r="A3" s="3950" t="s">
        <v>726</v>
      </c>
      <c r="B3" s="3950"/>
      <c r="C3" s="3950"/>
      <c r="D3" s="3950"/>
      <c r="E3" s="3950"/>
      <c r="F3" s="3950"/>
      <c r="G3" s="3950"/>
      <c r="H3" s="3950"/>
      <c r="I3" s="3950"/>
      <c r="J3" s="3950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 ht="15.75">
      <c r="A4" s="4666" t="s">
        <v>734</v>
      </c>
      <c r="B4" s="4666"/>
      <c r="C4" s="4666"/>
      <c r="D4" s="4666"/>
      <c r="E4" s="4666"/>
      <c r="F4" s="40"/>
      <c r="G4" s="599"/>
      <c r="H4" s="599"/>
      <c r="I4" s="599"/>
      <c r="J4" s="599"/>
      <c r="K4" s="42"/>
    </row>
    <row r="5" spans="1:21" ht="15.75">
      <c r="A5" s="4155" t="s">
        <v>541</v>
      </c>
      <c r="B5" s="4155"/>
      <c r="C5" s="4155"/>
      <c r="D5" s="4155"/>
      <c r="E5" s="4155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951" t="s">
        <v>1675</v>
      </c>
      <c r="B7" s="3951"/>
      <c r="C7" s="3951"/>
      <c r="D7" s="3951"/>
      <c r="E7" s="3951"/>
      <c r="F7" s="3951"/>
      <c r="G7" s="3951"/>
      <c r="H7" s="3951"/>
      <c r="I7" s="3951"/>
      <c r="J7" s="3951"/>
    </row>
    <row r="8" spans="1:21" ht="17.25" customHeight="1"/>
    <row r="9" spans="1:21" ht="24.75" customHeight="1">
      <c r="A9" s="4509" t="s">
        <v>1</v>
      </c>
      <c r="B9" s="4705" t="s">
        <v>509</v>
      </c>
      <c r="C9" s="4509" t="s">
        <v>542</v>
      </c>
      <c r="D9" s="4701" t="s">
        <v>1561</v>
      </c>
      <c r="E9" s="4509" t="s">
        <v>543</v>
      </c>
      <c r="F9" s="4701" t="s">
        <v>544</v>
      </c>
      <c r="G9" s="4705" t="s">
        <v>1676</v>
      </c>
      <c r="H9" s="4705" t="s">
        <v>545</v>
      </c>
      <c r="I9" s="4705" t="s">
        <v>546</v>
      </c>
      <c r="J9" s="4509" t="s">
        <v>345</v>
      </c>
    </row>
    <row r="10" spans="1:21" ht="24.75" customHeight="1">
      <c r="A10" s="4509"/>
      <c r="B10" s="4706"/>
      <c r="C10" s="4509"/>
      <c r="D10" s="4702"/>
      <c r="E10" s="4509"/>
      <c r="F10" s="4702"/>
      <c r="G10" s="4706"/>
      <c r="H10" s="4706"/>
      <c r="I10" s="4706"/>
      <c r="J10" s="4509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37">
        <v>400000</v>
      </c>
      <c r="H11" s="604">
        <f>G11</f>
        <v>400000</v>
      </c>
      <c r="I11" s="605"/>
      <c r="J11" s="606"/>
      <c r="K11" s="606">
        <v>304788375</v>
      </c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38">
        <v>600000</v>
      </c>
      <c r="H13" s="609">
        <f t="shared" si="0"/>
        <v>600000</v>
      </c>
      <c r="I13" s="610"/>
      <c r="J13" s="611"/>
      <c r="K13" s="611">
        <v>97105288</v>
      </c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39">
        <v>350000</v>
      </c>
      <c r="H14" s="609">
        <f t="shared" si="0"/>
        <v>350000</v>
      </c>
      <c r="I14" s="610"/>
      <c r="J14" s="611"/>
      <c r="K14" s="611">
        <v>97355399</v>
      </c>
    </row>
    <row r="15" spans="1:21" ht="18" customHeight="1">
      <c r="A15" s="682">
        <v>5</v>
      </c>
      <c r="B15" s="607" t="s">
        <v>556</v>
      </c>
      <c r="C15" s="682" t="s">
        <v>973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>
        <v>304559731</v>
      </c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38">
        <v>600000</v>
      </c>
      <c r="H16" s="609">
        <f t="shared" si="0"/>
        <v>600000</v>
      </c>
      <c r="I16" s="610"/>
      <c r="J16" s="611"/>
      <c r="K16" s="611">
        <v>91287661</v>
      </c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39">
        <v>200000</v>
      </c>
      <c r="H17" s="609">
        <f t="shared" si="0"/>
        <v>200000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699" t="s">
        <v>563</v>
      </c>
      <c r="D18" s="1699">
        <v>11</v>
      </c>
      <c r="E18" s="682" t="s">
        <v>549</v>
      </c>
      <c r="F18" s="258">
        <v>0</v>
      </c>
      <c r="G18" s="609">
        <v>300000</v>
      </c>
      <c r="H18" s="609">
        <f t="shared" si="0"/>
        <v>300000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699" t="s">
        <v>565</v>
      </c>
      <c r="D19" s="1699">
        <v>0</v>
      </c>
      <c r="E19" s="682" t="s">
        <v>549</v>
      </c>
      <c r="F19" s="258">
        <v>0</v>
      </c>
      <c r="G19" s="609">
        <v>200000</v>
      </c>
      <c r="H19" s="609">
        <f t="shared" si="0"/>
        <v>200000</v>
      </c>
      <c r="I19" s="610"/>
      <c r="J19" s="611"/>
      <c r="K19" s="611">
        <v>22626101</v>
      </c>
    </row>
    <row r="20" spans="1:11" ht="22.5" customHeight="1">
      <c r="A20" s="3948" t="s">
        <v>21</v>
      </c>
      <c r="B20" s="3948"/>
      <c r="C20" s="3948"/>
      <c r="D20" s="3380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756" t="s">
        <v>1572</v>
      </c>
      <c r="B21" s="4756"/>
      <c r="C21" s="4756"/>
      <c r="D21" s="4756"/>
      <c r="E21" s="4756"/>
      <c r="F21" s="4756"/>
      <c r="G21" s="4756"/>
      <c r="H21" s="4756"/>
      <c r="I21" s="4756"/>
      <c r="J21" s="4756"/>
    </row>
    <row r="22" spans="1:11" ht="16.5">
      <c r="A22" s="157"/>
      <c r="B22" s="157"/>
      <c r="C22" s="157"/>
      <c r="D22" s="157"/>
      <c r="E22" s="157"/>
      <c r="F22" s="283"/>
      <c r="G22" s="283"/>
      <c r="I22" s="4813" t="s">
        <v>1674</v>
      </c>
      <c r="J22" s="4813"/>
    </row>
    <row r="23" spans="1:11" s="2447" customFormat="1" ht="18.75" customHeight="1">
      <c r="A23" s="4155" t="s">
        <v>567</v>
      </c>
      <c r="B23" s="4155"/>
      <c r="C23" s="4155"/>
      <c r="D23" s="3381"/>
      <c r="G23" s="1735" t="s">
        <v>44</v>
      </c>
      <c r="H23" s="1736"/>
      <c r="I23" s="4155" t="s">
        <v>1104</v>
      </c>
      <c r="J23" s="4155"/>
    </row>
    <row r="29" spans="1:11">
      <c r="G29" s="4700"/>
      <c r="H29" s="4700"/>
      <c r="I29" s="4700"/>
      <c r="J29" s="4700"/>
    </row>
  </sheetData>
  <mergeCells count="23">
    <mergeCell ref="I22:J22"/>
    <mergeCell ref="A23:C23"/>
    <mergeCell ref="I23:J23"/>
    <mergeCell ref="G29:H29"/>
    <mergeCell ref="I29:J29"/>
    <mergeCell ref="A21:J2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20:C20"/>
    <mergeCell ref="A7:J7"/>
    <mergeCell ref="A1:J1"/>
    <mergeCell ref="A2:J2"/>
    <mergeCell ref="A3:J3"/>
    <mergeCell ref="A4:E4"/>
    <mergeCell ref="A5:E5"/>
  </mergeCells>
  <pageMargins left="0.7" right="0.32" top="0.75" bottom="0.75" header="0.3" footer="0.3"/>
  <pageSetup paperSize="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2"/>
  <sheetViews>
    <sheetView topLeftCell="A7" workbookViewId="0">
      <selection activeCell="C21" sqref="C21"/>
    </sheetView>
  </sheetViews>
  <sheetFormatPr defaultColWidth="9.125" defaultRowHeight="15.75"/>
  <cols>
    <col min="1" max="1" width="10.875" style="3176" customWidth="1"/>
    <col min="2" max="2" width="39.75" style="3176" customWidth="1"/>
    <col min="3" max="3" width="15.25" style="2114" customWidth="1"/>
    <col min="4" max="4" width="13.25" style="3177" hidden="1" customWidth="1"/>
    <col min="5" max="5" width="15.75" style="3178" hidden="1" customWidth="1"/>
    <col min="6" max="6" width="16.375" style="3179" hidden="1" customWidth="1"/>
    <col min="7" max="7" width="30.25" style="3179" customWidth="1"/>
    <col min="8" max="8" width="23.875" style="3229" customWidth="1"/>
    <col min="9" max="9" width="11.75" style="3176" bestFit="1" customWidth="1"/>
    <col min="10" max="10" width="29.125" style="3176" bestFit="1" customWidth="1"/>
    <col min="11" max="11" width="21.25" style="3176" bestFit="1" customWidth="1"/>
    <col min="12" max="12" width="15.625" style="3176" bestFit="1" customWidth="1"/>
    <col min="13" max="13" width="11.875" style="3176" customWidth="1"/>
    <col min="14" max="16384" width="9.125" style="3176"/>
  </cols>
  <sheetData>
    <row r="1" spans="1:12">
      <c r="A1" s="4343" t="s">
        <v>165</v>
      </c>
      <c r="B1" s="4343"/>
      <c r="C1" s="4343"/>
      <c r="D1" s="4343"/>
      <c r="E1" s="4343"/>
      <c r="F1" s="4343"/>
      <c r="G1" s="4343"/>
      <c r="H1" s="4343"/>
    </row>
    <row r="2" spans="1:12">
      <c r="A2" s="4343" t="s">
        <v>171</v>
      </c>
      <c r="B2" s="4343"/>
      <c r="C2" s="4343"/>
      <c r="D2" s="4343"/>
      <c r="E2" s="4343"/>
      <c r="F2" s="4343"/>
      <c r="G2" s="4343"/>
      <c r="H2" s="4343"/>
    </row>
    <row r="3" spans="1:12">
      <c r="A3" s="4821" t="s">
        <v>1556</v>
      </c>
      <c r="B3" s="4343"/>
      <c r="C3" s="4343"/>
      <c r="D3" s="4343"/>
      <c r="E3" s="4343"/>
      <c r="F3" s="4343"/>
      <c r="G3" s="4343"/>
      <c r="H3" s="4343"/>
    </row>
    <row r="4" spans="1:12">
      <c r="G4" s="3177"/>
      <c r="H4" s="3180"/>
    </row>
    <row r="5" spans="1:12">
      <c r="A5" s="4822" t="s">
        <v>574</v>
      </c>
      <c r="B5" s="4822"/>
      <c r="C5" s="4822"/>
      <c r="D5" s="3181"/>
      <c r="E5" s="3181"/>
      <c r="F5" s="3181"/>
      <c r="G5" s="3181"/>
      <c r="H5" s="3180"/>
    </row>
    <row r="6" spans="1:12">
      <c r="A6" s="4823" t="s">
        <v>541</v>
      </c>
      <c r="B6" s="4823"/>
      <c r="C6" s="4823"/>
      <c r="D6" s="3182"/>
      <c r="E6" s="3182"/>
      <c r="F6" s="3182"/>
      <c r="G6" s="3182"/>
      <c r="H6" s="3180"/>
    </row>
    <row r="7" spans="1:12">
      <c r="A7" s="3670"/>
      <c r="B7" s="3670"/>
      <c r="C7" s="3670"/>
      <c r="G7" s="3177"/>
      <c r="H7" s="3180"/>
    </row>
    <row r="8" spans="1:12" s="3182" customFormat="1" ht="20.25">
      <c r="A8" s="4820" t="s">
        <v>1873</v>
      </c>
      <c r="B8" s="4820"/>
      <c r="C8" s="4820"/>
      <c r="D8" s="4820"/>
      <c r="E8" s="4820"/>
      <c r="F8" s="4820"/>
      <c r="G8" s="4820"/>
      <c r="H8" s="4820"/>
    </row>
    <row r="9" spans="1:12">
      <c r="A9" s="4816" t="s">
        <v>1874</v>
      </c>
      <c r="B9" s="4816"/>
      <c r="C9" s="4816"/>
      <c r="D9" s="4816"/>
      <c r="E9" s="4816"/>
      <c r="F9" s="4816"/>
      <c r="G9" s="4816"/>
      <c r="H9" s="4816"/>
    </row>
    <row r="10" spans="1:12">
      <c r="A10" s="3671"/>
      <c r="B10" s="3671"/>
      <c r="F10" s="3177"/>
      <c r="G10" s="3177"/>
      <c r="H10" s="3180"/>
    </row>
    <row r="11" spans="1:12" s="3187" customFormat="1" ht="31.5">
      <c r="A11" s="3665" t="s">
        <v>1</v>
      </c>
      <c r="B11" s="3665" t="s">
        <v>669</v>
      </c>
      <c r="C11" s="3184" t="s">
        <v>7</v>
      </c>
      <c r="D11" s="3185" t="s">
        <v>670</v>
      </c>
      <c r="E11" s="3185" t="s">
        <v>671</v>
      </c>
      <c r="F11" s="3185" t="s">
        <v>1557</v>
      </c>
      <c r="G11" s="3185" t="s">
        <v>1875</v>
      </c>
      <c r="H11" s="3186" t="s">
        <v>634</v>
      </c>
    </row>
    <row r="12" spans="1:12" s="3193" customFormat="1">
      <c r="A12" s="3188">
        <v>1</v>
      </c>
      <c r="B12" s="3189" t="s">
        <v>1583</v>
      </c>
      <c r="C12" s="3190" t="s">
        <v>247</v>
      </c>
      <c r="D12" s="3191"/>
      <c r="E12" s="3191"/>
      <c r="F12" s="3191"/>
      <c r="G12" s="3191">
        <f>'TRƯỞNG BẢN'!H22</f>
        <v>7950000</v>
      </c>
      <c r="H12" s="3192"/>
      <c r="J12" s="3176"/>
      <c r="K12" s="3194">
        <v>4500000</v>
      </c>
    </row>
    <row r="13" spans="1:12" s="3193" customFormat="1">
      <c r="A13" s="3188">
        <v>2</v>
      </c>
      <c r="B13" s="3189" t="s">
        <v>1558</v>
      </c>
      <c r="C13" s="3190" t="s">
        <v>247</v>
      </c>
      <c r="D13" s="3191"/>
      <c r="E13" s="3191"/>
      <c r="F13" s="3191"/>
      <c r="G13" s="3191">
        <v>3000000</v>
      </c>
      <c r="H13" s="3192"/>
      <c r="J13" s="3176"/>
      <c r="K13" s="3194">
        <v>5000000</v>
      </c>
      <c r="L13" s="3193">
        <v>870</v>
      </c>
    </row>
    <row r="14" spans="1:12" s="3193" customFormat="1">
      <c r="A14" s="3188">
        <v>3</v>
      </c>
      <c r="B14" s="3189" t="s">
        <v>1559</v>
      </c>
      <c r="C14" s="3190" t="s">
        <v>247</v>
      </c>
      <c r="D14" s="3191"/>
      <c r="E14" s="3191"/>
      <c r="F14" s="3191"/>
      <c r="G14" s="3195">
        <f>'CV KHAC'!$L$14</f>
        <v>4763000</v>
      </c>
      <c r="H14" s="3192"/>
      <c r="J14" s="3196" t="e">
        <f>G17-#REF!</f>
        <v>#REF!</v>
      </c>
      <c r="K14" s="3194">
        <v>4356250</v>
      </c>
      <c r="L14" s="3193">
        <v>600</v>
      </c>
    </row>
    <row r="15" spans="1:12" s="3193" customFormat="1">
      <c r="A15" s="3188">
        <v>4</v>
      </c>
      <c r="B15" s="3189" t="s">
        <v>1560</v>
      </c>
      <c r="C15" s="3190" t="s">
        <v>247</v>
      </c>
      <c r="D15" s="3191"/>
      <c r="E15" s="3191"/>
      <c r="F15" s="3191"/>
      <c r="G15" s="3191">
        <f>'Hổ trợ 2421'!D15</f>
        <v>500000</v>
      </c>
      <c r="H15" s="3192"/>
      <c r="J15" s="3176"/>
      <c r="K15" s="3194">
        <v>1573120</v>
      </c>
      <c r="L15" s="3193">
        <v>4560</v>
      </c>
    </row>
    <row r="16" spans="1:12" s="3193" customFormat="1">
      <c r="A16" s="3188">
        <v>5</v>
      </c>
      <c r="B16" s="3189" t="s">
        <v>1718</v>
      </c>
      <c r="C16" s="3190" t="s">
        <v>247</v>
      </c>
      <c r="D16" s="3191"/>
      <c r="E16" s="3191"/>
      <c r="F16" s="3191"/>
      <c r="G16" s="3191">
        <f>'PC XĂNG XE'!I19</f>
        <v>4440000</v>
      </c>
      <c r="H16" s="3192"/>
      <c r="J16" s="3176"/>
      <c r="K16" s="3194"/>
    </row>
    <row r="17" spans="1:12">
      <c r="A17" s="4817" t="s">
        <v>677</v>
      </c>
      <c r="B17" s="4817"/>
      <c r="C17" s="3197"/>
      <c r="D17" s="3191"/>
      <c r="E17" s="3198"/>
      <c r="F17" s="3191"/>
      <c r="G17" s="3198">
        <f>SUM(G12:G16)</f>
        <v>20653000</v>
      </c>
      <c r="H17" s="3199"/>
      <c r="J17" s="56" t="e">
        <f>#REF!</f>
        <v>#REF!</v>
      </c>
      <c r="K17" s="3179">
        <f>SUM(K12:K15)</f>
        <v>15429370</v>
      </c>
      <c r="L17" s="3200"/>
    </row>
    <row r="18" spans="1:12">
      <c r="A18" s="4406" t="s">
        <v>1911</v>
      </c>
      <c r="B18" s="4407"/>
      <c r="C18" s="4407"/>
      <c r="D18" s="4407"/>
      <c r="E18" s="4407"/>
      <c r="F18" s="4407"/>
      <c r="G18" s="4407"/>
      <c r="H18" s="4408"/>
      <c r="J18" s="3200">
        <v>5960000</v>
      </c>
      <c r="K18" s="2655"/>
    </row>
    <row r="19" spans="1:12" s="3207" customFormat="1" ht="18.75">
      <c r="A19" s="3201"/>
      <c r="B19" s="3201"/>
      <c r="C19" s="3202"/>
      <c r="D19" s="3203"/>
      <c r="E19" s="3204"/>
      <c r="F19" s="3205"/>
      <c r="G19" s="3205"/>
      <c r="H19" s="3206"/>
      <c r="J19" s="3208" t="e">
        <f>G17+#REF!</f>
        <v>#REF!</v>
      </c>
      <c r="K19" s="3209"/>
      <c r="L19" s="3210"/>
    </row>
    <row r="20" spans="1:12" s="3207" customFormat="1" ht="18.75">
      <c r="A20" s="3211"/>
      <c r="B20" s="3211"/>
      <c r="C20" s="4818" t="s">
        <v>1913</v>
      </c>
      <c r="D20" s="4818"/>
      <c r="E20" s="4818"/>
      <c r="F20" s="4818"/>
      <c r="G20" s="4818"/>
      <c r="H20" s="4818"/>
      <c r="J20" s="3212">
        <v>5940000</v>
      </c>
      <c r="K20" s="3213"/>
    </row>
    <row r="21" spans="1:12" s="3207" customFormat="1" ht="18.75">
      <c r="A21" s="3211"/>
      <c r="B21" s="3211"/>
      <c r="C21" s="3214"/>
      <c r="D21" s="3215"/>
      <c r="E21" s="3204"/>
      <c r="F21" s="3660"/>
      <c r="G21" s="3660"/>
      <c r="H21" s="3660"/>
      <c r="J21" s="3212"/>
      <c r="K21" s="3213"/>
    </row>
    <row r="22" spans="1:12" s="3216" customFormat="1" ht="18.75">
      <c r="A22" s="4819" t="s">
        <v>1719</v>
      </c>
      <c r="B22" s="4819"/>
      <c r="C22" s="4819"/>
      <c r="D22" s="4819"/>
      <c r="E22" s="4819"/>
      <c r="F22" s="4819"/>
      <c r="G22" s="4819"/>
      <c r="H22" s="4819"/>
      <c r="J22" s="3217" t="e">
        <f>SUM(J17:J18)</f>
        <v>#REF!</v>
      </c>
      <c r="K22" s="3218"/>
    </row>
    <row r="23" spans="1:12" s="3207" customFormat="1" ht="18.75">
      <c r="A23" s="3211"/>
      <c r="B23" s="3211"/>
      <c r="C23" s="3214"/>
      <c r="D23" s="3215"/>
      <c r="E23" s="3204"/>
      <c r="F23" s="3219"/>
      <c r="G23" s="3215"/>
      <c r="H23" s="3220"/>
      <c r="J23" s="3221">
        <v>109000000</v>
      </c>
    </row>
    <row r="24" spans="1:12" s="3207" customFormat="1" ht="18.75">
      <c r="A24" s="3211"/>
      <c r="B24" s="3211"/>
      <c r="C24" s="3214"/>
      <c r="D24" s="3215"/>
      <c r="E24" s="3204"/>
      <c r="F24" s="3219"/>
      <c r="G24" s="3215"/>
      <c r="H24" s="3220"/>
      <c r="J24" s="3221" t="e">
        <f>J23-J22</f>
        <v>#REF!</v>
      </c>
    </row>
    <row r="25" spans="1:12" s="3207" customFormat="1" ht="18.75">
      <c r="A25" s="3211"/>
      <c r="B25" s="3211"/>
      <c r="C25" s="3214"/>
      <c r="D25" s="3215"/>
      <c r="E25" s="3204"/>
      <c r="F25" s="3219"/>
      <c r="G25" s="3215"/>
      <c r="H25" s="3220"/>
    </row>
    <row r="26" spans="1:12" s="3207" customFormat="1" ht="18.75">
      <c r="A26" s="3211"/>
      <c r="B26" s="3211"/>
      <c r="C26" s="3214"/>
      <c r="D26" s="3215"/>
      <c r="E26" s="3204"/>
      <c r="F26" s="3219"/>
      <c r="G26" s="3215"/>
      <c r="H26" s="3220"/>
    </row>
    <row r="27" spans="1:12" s="3207" customFormat="1" ht="18.75">
      <c r="A27" s="3211"/>
      <c r="B27" s="3211"/>
      <c r="C27" s="3214"/>
      <c r="D27" s="3215"/>
      <c r="E27" s="3204"/>
      <c r="F27" s="4815"/>
      <c r="G27" s="4815"/>
      <c r="H27" s="4815"/>
    </row>
    <row r="28" spans="1:12">
      <c r="A28" s="3222"/>
      <c r="B28" s="3222"/>
      <c r="C28" s="3223"/>
      <c r="D28" s="3224"/>
      <c r="E28" s="3224"/>
      <c r="F28" s="3224"/>
      <c r="G28" s="3224"/>
      <c r="H28" s="3225"/>
    </row>
    <row r="29" spans="1:12">
      <c r="A29" s="3222"/>
      <c r="B29" s="3226"/>
      <c r="C29" s="3223"/>
      <c r="D29" s="3224"/>
      <c r="E29" s="3227"/>
      <c r="F29" s="3227"/>
      <c r="G29" s="3227"/>
      <c r="H29" s="3228"/>
      <c r="J29" s="3196" t="e">
        <f>G17+#REF!</f>
        <v>#REF!</v>
      </c>
    </row>
    <row r="32" spans="1:12" ht="18.75">
      <c r="A32" s="4815"/>
      <c r="B32" s="4815"/>
      <c r="C32" s="4815"/>
      <c r="D32" s="4815"/>
      <c r="E32" s="4815"/>
      <c r="F32" s="4815"/>
      <c r="G32" s="4815"/>
      <c r="H32" s="4815"/>
    </row>
  </sheetData>
  <mergeCells count="13">
    <mergeCell ref="A8:H8"/>
    <mergeCell ref="A1:H1"/>
    <mergeCell ref="A2:H2"/>
    <mergeCell ref="A3:H3"/>
    <mergeCell ref="A5:C5"/>
    <mergeCell ref="A6:C6"/>
    <mergeCell ref="A32:H32"/>
    <mergeCell ref="A9:H9"/>
    <mergeCell ref="A17:B17"/>
    <mergeCell ref="A18:H18"/>
    <mergeCell ref="C20:H20"/>
    <mergeCell ref="A22:H22"/>
    <mergeCell ref="F27:H27"/>
  </mergeCells>
  <pageMargins left="0.7" right="0.7" top="0.5" bottom="0.31" header="0.3" footer="0.3"/>
  <pageSetup paperSize="9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3"/>
  <sheetViews>
    <sheetView workbookViewId="0">
      <selection sqref="A1:XFD1048576"/>
    </sheetView>
  </sheetViews>
  <sheetFormatPr defaultRowHeight="15.75"/>
  <cols>
    <col min="1" max="1" width="4.25" style="1846" customWidth="1"/>
    <col min="2" max="2" width="28" style="1847" customWidth="1"/>
    <col min="3" max="3" width="6" style="1848" customWidth="1"/>
    <col min="4" max="4" width="5.125" style="2353" customWidth="1"/>
    <col min="5" max="5" width="5.75" style="1850" customWidth="1"/>
    <col min="6" max="6" width="5.75" style="1851" customWidth="1"/>
    <col min="7" max="7" width="5.75" style="1852" customWidth="1"/>
    <col min="8" max="8" width="5.75" style="1851" customWidth="1"/>
    <col min="9" max="9" width="5.75" style="2354" customWidth="1"/>
    <col min="10" max="10" width="5.75" style="2355" customWidth="1"/>
    <col min="11" max="11" width="5.75" style="2356" customWidth="1"/>
    <col min="12" max="12" width="5.75" style="2357" customWidth="1"/>
    <col min="13" max="13" width="7.25" style="1853" customWidth="1"/>
    <col min="14" max="14" width="3.75" style="1851" customWidth="1"/>
    <col min="15" max="15" width="8.875" style="1841" customWidth="1"/>
    <col min="16" max="17" width="6.375" style="1854" customWidth="1"/>
    <col min="18" max="18" width="9.75" customWidth="1"/>
  </cols>
  <sheetData>
    <row r="1" spans="1:21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1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1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1">
      <c r="A4" s="4340" t="s">
        <v>809</v>
      </c>
      <c r="B4" s="4340"/>
      <c r="C4" s="4340"/>
      <c r="D4" s="4340"/>
      <c r="E4" s="4340"/>
      <c r="F4" s="4340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295"/>
    </row>
    <row r="5" spans="1:21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295"/>
    </row>
    <row r="6" spans="1:21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</row>
    <row r="7" spans="1:21" ht="18.75">
      <c r="A7" s="4858" t="s">
        <v>1204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296"/>
      <c r="R7" s="1754"/>
      <c r="S7" s="1754"/>
      <c r="T7" s="1754"/>
      <c r="U7" s="1754"/>
    </row>
    <row r="8" spans="1:21" ht="15">
      <c r="A8" s="4859" t="s">
        <v>1205</v>
      </c>
      <c r="B8" s="4859"/>
      <c r="C8" s="4859"/>
      <c r="D8" s="4859"/>
      <c r="E8" s="4859"/>
      <c r="F8" s="4859"/>
      <c r="G8" s="4859"/>
      <c r="H8" s="4859"/>
      <c r="I8" s="4859"/>
      <c r="J8" s="4859"/>
      <c r="K8" s="4859"/>
      <c r="L8" s="4859"/>
      <c r="M8" s="4859"/>
      <c r="N8" s="4859"/>
      <c r="O8" s="4859"/>
      <c r="P8" s="4859"/>
      <c r="Q8" s="2294"/>
      <c r="R8" s="1754"/>
      <c r="S8" s="1754"/>
      <c r="T8" s="1754"/>
      <c r="U8" s="1754"/>
    </row>
    <row r="9" spans="1:21" ht="16.5">
      <c r="A9" s="4860" t="s">
        <v>19</v>
      </c>
      <c r="B9" s="4860" t="s">
        <v>1206</v>
      </c>
      <c r="C9" s="4861" t="s">
        <v>623</v>
      </c>
      <c r="D9" s="4862" t="s">
        <v>361</v>
      </c>
      <c r="E9" s="4863" t="s">
        <v>811</v>
      </c>
      <c r="F9" s="4863"/>
      <c r="G9" s="4863"/>
      <c r="H9" s="4863"/>
      <c r="I9" s="4863"/>
      <c r="J9" s="4863"/>
      <c r="K9" s="4863"/>
      <c r="L9" s="4863"/>
      <c r="M9" s="4863"/>
      <c r="N9" s="4863" t="s">
        <v>812</v>
      </c>
      <c r="O9" s="4864" t="s">
        <v>47</v>
      </c>
      <c r="P9" s="4865" t="s">
        <v>813</v>
      </c>
      <c r="Q9" s="2317"/>
      <c r="R9" s="1754"/>
      <c r="S9" s="1754"/>
      <c r="T9" s="1754"/>
      <c r="U9" s="1754"/>
    </row>
    <row r="10" spans="1:21" ht="16.5">
      <c r="A10" s="4860"/>
      <c r="B10" s="4860"/>
      <c r="C10" s="4861"/>
      <c r="D10" s="4862"/>
      <c r="E10" s="1755" t="s">
        <v>814</v>
      </c>
      <c r="F10" s="1755" t="s">
        <v>815</v>
      </c>
      <c r="G10" s="1755" t="s">
        <v>814</v>
      </c>
      <c r="H10" s="1755" t="s">
        <v>815</v>
      </c>
      <c r="I10" s="1755" t="s">
        <v>814</v>
      </c>
      <c r="J10" s="1755" t="s">
        <v>815</v>
      </c>
      <c r="K10" s="1755" t="s">
        <v>814</v>
      </c>
      <c r="L10" s="1756" t="s">
        <v>815</v>
      </c>
      <c r="M10" s="1757" t="s">
        <v>21</v>
      </c>
      <c r="N10" s="4863"/>
      <c r="O10" s="4864"/>
      <c r="P10" s="4865"/>
      <c r="Q10" s="2317"/>
      <c r="R10" s="1754"/>
      <c r="S10" s="1754"/>
      <c r="T10" s="1754"/>
      <c r="U10" s="1754"/>
    </row>
    <row r="11" spans="1:21" ht="33" customHeight="1">
      <c r="A11" s="1758" t="s">
        <v>52</v>
      </c>
      <c r="B11" s="1759" t="s">
        <v>816</v>
      </c>
      <c r="C11" s="1760"/>
      <c r="D11" s="2318"/>
      <c r="E11" s="1761"/>
      <c r="F11" s="1761"/>
      <c r="G11" s="1761"/>
      <c r="H11" s="1761"/>
      <c r="I11" s="1761"/>
      <c r="J11" s="1761"/>
      <c r="K11" s="1761"/>
      <c r="L11" s="1762"/>
      <c r="M11" s="1763"/>
      <c r="N11" s="1761"/>
      <c r="O11" s="1764">
        <f>O20+O15+O12</f>
        <v>11719.650720607002</v>
      </c>
      <c r="P11" s="1765"/>
      <c r="Q11" s="2319"/>
      <c r="R11" s="1754"/>
      <c r="S11" s="1754"/>
      <c r="T11" s="1754"/>
      <c r="U11" s="1754"/>
    </row>
    <row r="12" spans="1:21" ht="32.25" customHeight="1">
      <c r="A12" s="1766" t="s">
        <v>147</v>
      </c>
      <c r="B12" s="1767" t="s">
        <v>817</v>
      </c>
      <c r="C12" s="1768"/>
      <c r="D12" s="1770"/>
      <c r="E12" s="1769"/>
      <c r="F12" s="1769"/>
      <c r="G12" s="1769"/>
      <c r="H12" s="1769"/>
      <c r="I12" s="1769"/>
      <c r="J12" s="1769"/>
      <c r="K12" s="1769"/>
      <c r="L12" s="1770"/>
      <c r="M12" s="1771"/>
      <c r="N12" s="1769"/>
      <c r="O12" s="1772"/>
      <c r="P12" s="1773"/>
      <c r="Q12" s="2320"/>
      <c r="R12" s="1754"/>
      <c r="S12" s="1754"/>
      <c r="T12" s="1754"/>
      <c r="U12" s="1754"/>
    </row>
    <row r="13" spans="1:21" ht="32.25" customHeight="1">
      <c r="A13" s="1774">
        <v>1</v>
      </c>
      <c r="B13" s="1775" t="s">
        <v>49</v>
      </c>
      <c r="C13" s="1776" t="s">
        <v>818</v>
      </c>
      <c r="D13" s="2321"/>
      <c r="E13" s="1769"/>
      <c r="F13" s="2293"/>
      <c r="G13" s="1769"/>
      <c r="H13" s="1769"/>
      <c r="I13" s="1769"/>
      <c r="J13" s="1769"/>
      <c r="K13" s="1769"/>
      <c r="L13" s="1770"/>
      <c r="M13" s="1771"/>
      <c r="N13" s="2293"/>
      <c r="O13" s="1772"/>
      <c r="P13" s="1777"/>
      <c r="Q13" s="2322"/>
      <c r="R13" s="1754"/>
      <c r="S13" s="1754"/>
      <c r="T13" s="1754"/>
      <c r="U13" s="1754"/>
    </row>
    <row r="14" spans="1:21" ht="32.25" customHeight="1">
      <c r="A14" s="1774">
        <v>2</v>
      </c>
      <c r="B14" s="1775" t="s">
        <v>819</v>
      </c>
      <c r="C14" s="1776" t="s">
        <v>818</v>
      </c>
      <c r="D14" s="2321"/>
      <c r="E14" s="1769"/>
      <c r="F14" s="2293"/>
      <c r="G14" s="1769"/>
      <c r="H14" s="1769"/>
      <c r="I14" s="1769"/>
      <c r="J14" s="1769"/>
      <c r="K14" s="1769"/>
      <c r="L14" s="1770"/>
      <c r="M14" s="2323">
        <v>92</v>
      </c>
      <c r="N14" s="2293"/>
      <c r="O14" s="1772"/>
      <c r="P14" s="1779"/>
      <c r="Q14" s="2324"/>
      <c r="R14" s="1754"/>
      <c r="S14" s="1754"/>
      <c r="T14" s="1754"/>
      <c r="U14" s="1754"/>
    </row>
    <row r="15" spans="1:21" ht="27.75" customHeight="1">
      <c r="A15" s="1766" t="s">
        <v>148</v>
      </c>
      <c r="B15" s="1767" t="s">
        <v>820</v>
      </c>
      <c r="C15" s="1780"/>
      <c r="D15" s="1770"/>
      <c r="E15" s="1769"/>
      <c r="F15" s="1769"/>
      <c r="G15" s="1769"/>
      <c r="H15" s="1769"/>
      <c r="I15" s="1769"/>
      <c r="J15" s="1769"/>
      <c r="K15" s="1769"/>
      <c r="L15" s="1770"/>
      <c r="M15" s="1771"/>
      <c r="N15" s="1769"/>
      <c r="O15" s="1772">
        <f>SUM(O16:O19)</f>
        <v>4566.8</v>
      </c>
      <c r="P15" s="1773"/>
      <c r="Q15" s="2320"/>
      <c r="R15" s="1754"/>
      <c r="S15" s="1754"/>
      <c r="T15" s="1754"/>
      <c r="U15" s="1754"/>
    </row>
    <row r="16" spans="1:21" ht="38.25" customHeight="1">
      <c r="A16" s="1774">
        <v>1</v>
      </c>
      <c r="B16" s="1775" t="s">
        <v>821</v>
      </c>
      <c r="C16" s="1781" t="s">
        <v>362</v>
      </c>
      <c r="D16" s="2321"/>
      <c r="E16" s="4855" t="s">
        <v>1036</v>
      </c>
      <c r="F16" s="4855"/>
      <c r="G16" s="4855"/>
      <c r="H16" s="4855"/>
      <c r="I16" s="4855"/>
      <c r="J16" s="4855"/>
      <c r="K16" s="4855"/>
      <c r="L16" s="4855"/>
      <c r="M16" s="1771"/>
      <c r="N16" s="2293"/>
      <c r="O16" s="1782">
        <f>59*4*70/25</f>
        <v>660.8</v>
      </c>
      <c r="P16" s="1779"/>
      <c r="Q16" s="2324"/>
      <c r="R16" s="1754"/>
      <c r="S16" s="1754"/>
      <c r="T16" s="1754"/>
      <c r="U16" s="1754"/>
    </row>
    <row r="17" spans="1:29" ht="38.25" customHeight="1">
      <c r="A17" s="1774">
        <v>2</v>
      </c>
      <c r="B17" s="1775" t="s">
        <v>822</v>
      </c>
      <c r="C17" s="1776" t="s">
        <v>362</v>
      </c>
      <c r="D17" s="2321"/>
      <c r="E17" s="4855" t="s">
        <v>1037</v>
      </c>
      <c r="F17" s="4855"/>
      <c r="G17" s="4855"/>
      <c r="H17" s="4855"/>
      <c r="I17" s="4855"/>
      <c r="J17" s="4855"/>
      <c r="K17" s="4855"/>
      <c r="L17" s="4855"/>
      <c r="M17" s="1771"/>
      <c r="N17" s="2293"/>
      <c r="O17" s="1782">
        <f>59*27*50/25</f>
        <v>3186</v>
      </c>
      <c r="P17" s="1779"/>
      <c r="Q17" s="2324"/>
      <c r="R17" s="1754"/>
      <c r="S17" s="1754"/>
      <c r="T17" s="1754"/>
      <c r="U17" s="1754"/>
    </row>
    <row r="18" spans="1:29" ht="38.25" customHeight="1">
      <c r="A18" s="1774">
        <v>3</v>
      </c>
      <c r="B18" s="1775" t="s">
        <v>1038</v>
      </c>
      <c r="C18" s="1781" t="s">
        <v>362</v>
      </c>
      <c r="D18" s="2321"/>
      <c r="E18" s="4855" t="s">
        <v>1039</v>
      </c>
      <c r="F18" s="4855"/>
      <c r="G18" s="4855"/>
      <c r="H18" s="4855"/>
      <c r="I18" s="4855"/>
      <c r="J18" s="4855"/>
      <c r="K18" s="4855"/>
      <c r="L18" s="4855"/>
      <c r="M18" s="1771"/>
      <c r="N18" s="2293"/>
      <c r="O18" s="1782">
        <f>8*4*90/25</f>
        <v>115.2</v>
      </c>
      <c r="P18" s="1779"/>
      <c r="Q18" s="2324"/>
      <c r="R18" s="1754"/>
      <c r="S18" s="1754"/>
      <c r="T18" s="1754"/>
      <c r="U18" s="1754"/>
    </row>
    <row r="19" spans="1:29" ht="37.5" customHeight="1">
      <c r="A19" s="1774">
        <v>4</v>
      </c>
      <c r="B19" s="1775" t="s">
        <v>1040</v>
      </c>
      <c r="C19" s="1776" t="s">
        <v>362</v>
      </c>
      <c r="D19" s="2321"/>
      <c r="E19" s="4855" t="s">
        <v>1041</v>
      </c>
      <c r="F19" s="4855"/>
      <c r="G19" s="4855"/>
      <c r="H19" s="4855"/>
      <c r="I19" s="4855"/>
      <c r="J19" s="4855"/>
      <c r="K19" s="4855"/>
      <c r="L19" s="4855"/>
      <c r="M19" s="1771"/>
      <c r="N19" s="2293"/>
      <c r="O19" s="1782">
        <f>8*27*70/25</f>
        <v>604.79999999999995</v>
      </c>
      <c r="P19" s="1779"/>
      <c r="Q19" s="2324"/>
      <c r="R19" s="1754"/>
      <c r="S19" s="1754"/>
      <c r="T19" s="1754"/>
      <c r="U19" s="1754"/>
    </row>
    <row r="20" spans="1:29" ht="27" customHeight="1">
      <c r="A20" s="1783" t="s">
        <v>149</v>
      </c>
      <c r="B20" s="1784" t="s">
        <v>956</v>
      </c>
      <c r="C20" s="1781"/>
      <c r="D20" s="1814"/>
      <c r="E20" s="1786"/>
      <c r="F20" s="1787"/>
      <c r="G20" s="1786"/>
      <c r="H20" s="1787"/>
      <c r="I20" s="1810"/>
      <c r="J20" s="1789"/>
      <c r="K20" s="1810"/>
      <c r="L20" s="2325"/>
      <c r="M20" s="1788"/>
      <c r="N20" s="1789"/>
      <c r="O20" s="1790">
        <f>+O21+O49+O30</f>
        <v>7152.8507206070008</v>
      </c>
      <c r="P20" s="2326"/>
      <c r="Q20" s="2327"/>
      <c r="R20" s="1754"/>
      <c r="S20" s="1754"/>
      <c r="T20" s="1754"/>
      <c r="U20" s="1754"/>
    </row>
    <row r="21" spans="1:29" ht="27.75" customHeight="1">
      <c r="A21" s="1783">
        <v>1</v>
      </c>
      <c r="B21" s="1784" t="s">
        <v>927</v>
      </c>
      <c r="C21" s="1781"/>
      <c r="D21" s="1814"/>
      <c r="E21" s="1786"/>
      <c r="F21" s="1787"/>
      <c r="G21" s="1786"/>
      <c r="H21" s="1787"/>
      <c r="I21" s="1810"/>
      <c r="J21" s="1789"/>
      <c r="K21" s="1810"/>
      <c r="L21" s="2325"/>
      <c r="M21" s="1788"/>
      <c r="N21" s="1789"/>
      <c r="O21" s="1790">
        <f>+SUM(O22:O29)</f>
        <v>628.12057225199999</v>
      </c>
      <c r="P21" s="2326"/>
      <c r="Q21" s="2327"/>
      <c r="R21" s="4856" t="s">
        <v>1202</v>
      </c>
      <c r="S21" s="4857"/>
      <c r="T21" s="2328" t="s">
        <v>1207</v>
      </c>
      <c r="U21" s="2328"/>
      <c r="V21" s="2329" t="s">
        <v>1208</v>
      </c>
      <c r="W21" s="2329"/>
      <c r="X21" s="2329" t="s">
        <v>1209</v>
      </c>
      <c r="Y21" s="2329" t="s">
        <v>1210</v>
      </c>
      <c r="Z21" s="2329" t="s">
        <v>1211</v>
      </c>
      <c r="AA21" s="2329" t="s">
        <v>1212</v>
      </c>
    </row>
    <row r="22" spans="1:29" ht="33.75" customHeight="1">
      <c r="A22" s="1792" t="s">
        <v>837</v>
      </c>
      <c r="B22" s="1775" t="s">
        <v>1042</v>
      </c>
      <c r="C22" s="1781" t="s">
        <v>957</v>
      </c>
      <c r="D22" s="1814">
        <f>25000/175000</f>
        <v>0.14285714285714285</v>
      </c>
      <c r="E22" s="1793"/>
      <c r="F22" s="1794"/>
      <c r="G22" s="1795"/>
      <c r="H22" s="1796"/>
      <c r="I22" s="1793"/>
      <c r="J22" s="1796"/>
      <c r="K22" s="1810"/>
      <c r="L22" s="2325"/>
      <c r="M22" s="1788">
        <v>23</v>
      </c>
      <c r="N22" s="1789">
        <v>1</v>
      </c>
      <c r="O22" s="1782">
        <f>ROUND((M22/D22)*N22,9)</f>
        <v>161</v>
      </c>
      <c r="P22" s="2326"/>
      <c r="Q22" s="2327"/>
      <c r="R22" s="2330" t="s">
        <v>1213</v>
      </c>
      <c r="S22" s="2328">
        <f>M25+M37</f>
        <v>89.42</v>
      </c>
      <c r="T22" s="2328">
        <f>M36+M54</f>
        <v>56.05</v>
      </c>
      <c r="U22" s="2328"/>
      <c r="V22" s="2331">
        <f>M28+M42+M55+M58</f>
        <v>330.34000000000003</v>
      </c>
      <c r="W22" s="2331"/>
      <c r="X22" s="2332">
        <f>M22+M31+M33+M51</f>
        <v>268</v>
      </c>
      <c r="Y22" s="2332">
        <f>M23+M34+M52</f>
        <v>268</v>
      </c>
      <c r="Z22" s="2332">
        <f>M24+M35+M53</f>
        <v>268</v>
      </c>
      <c r="AA22" s="2332">
        <f>M32</f>
        <v>44</v>
      </c>
    </row>
    <row r="23" spans="1:29" ht="23.25" customHeight="1">
      <c r="A23" s="1792" t="s">
        <v>838</v>
      </c>
      <c r="B23" s="1775" t="s">
        <v>1043</v>
      </c>
      <c r="C23" s="1781" t="s">
        <v>957</v>
      </c>
      <c r="D23" s="1814">
        <f>25000/150000</f>
        <v>0.16666666666666666</v>
      </c>
      <c r="E23" s="1793"/>
      <c r="F23" s="1794"/>
      <c r="G23" s="1795"/>
      <c r="H23" s="1796"/>
      <c r="I23" s="1793"/>
      <c r="J23" s="1796"/>
      <c r="K23" s="1810"/>
      <c r="L23" s="2325"/>
      <c r="M23" s="1788">
        <v>23</v>
      </c>
      <c r="N23" s="1789">
        <v>1</v>
      </c>
      <c r="O23" s="1782">
        <f>ROUND((M23/D23)*N23,9)</f>
        <v>138</v>
      </c>
      <c r="P23" s="2326"/>
      <c r="Q23" s="2327"/>
      <c r="R23" s="2330" t="s">
        <v>1072</v>
      </c>
      <c r="S23" s="2328">
        <f>M39</f>
        <v>24.12</v>
      </c>
      <c r="T23" s="2328"/>
      <c r="U23" s="2328" t="s">
        <v>1214</v>
      </c>
      <c r="V23" s="2332">
        <f>V22-M58</f>
        <v>288.17</v>
      </c>
      <c r="W23" s="2332">
        <f>V23*1.7</f>
        <v>489.88900000000001</v>
      </c>
      <c r="X23" s="2332"/>
      <c r="Y23" s="2332"/>
      <c r="Z23" s="2332"/>
      <c r="AA23" s="2332"/>
      <c r="AC23">
        <v>199.929617009677</v>
      </c>
    </row>
    <row r="24" spans="1:29" ht="23.25" customHeight="1">
      <c r="A24" s="1792" t="s">
        <v>1044</v>
      </c>
      <c r="B24" s="1775" t="s">
        <v>204</v>
      </c>
      <c r="C24" s="1781" t="s">
        <v>957</v>
      </c>
      <c r="D24" s="1814">
        <v>1.25</v>
      </c>
      <c r="E24" s="1793"/>
      <c r="F24" s="1794"/>
      <c r="G24" s="1795"/>
      <c r="H24" s="1796"/>
      <c r="I24" s="1793"/>
      <c r="J24" s="1796"/>
      <c r="K24" s="1810"/>
      <c r="L24" s="2325"/>
      <c r="M24" s="1788">
        <v>23</v>
      </c>
      <c r="N24" s="1789">
        <v>1</v>
      </c>
      <c r="O24" s="1782">
        <f>ROUND((M24/D24)*N24,9)</f>
        <v>18.399999999999999</v>
      </c>
      <c r="P24" s="2326"/>
      <c r="Q24" s="2327"/>
      <c r="R24" s="2330"/>
      <c r="S24" s="2330">
        <f>S22+S23</f>
        <v>113.54</v>
      </c>
      <c r="T24" s="2330">
        <f>T22+T23</f>
        <v>56.05</v>
      </c>
      <c r="U24" s="2330" t="s">
        <v>1215</v>
      </c>
      <c r="V24" s="2332">
        <f>V22-V23</f>
        <v>42.170000000000016</v>
      </c>
      <c r="W24" s="2332">
        <f>V24*2</f>
        <v>84.340000000000032</v>
      </c>
      <c r="X24" s="2332"/>
      <c r="Y24" s="2332"/>
      <c r="Z24" s="2332"/>
      <c r="AA24" s="2332"/>
    </row>
    <row r="25" spans="1:29" ht="24.75" customHeight="1">
      <c r="A25" s="4832" t="s">
        <v>1045</v>
      </c>
      <c r="B25" s="4834" t="s">
        <v>1052</v>
      </c>
      <c r="C25" s="4836" t="s">
        <v>1047</v>
      </c>
      <c r="D25" s="4838">
        <f>1/5</f>
        <v>0.2</v>
      </c>
      <c r="E25" s="1793">
        <v>8</v>
      </c>
      <c r="F25" s="1794">
        <v>1.87</v>
      </c>
      <c r="G25" s="1793">
        <v>9</v>
      </c>
      <c r="H25" s="1796">
        <v>9.84</v>
      </c>
      <c r="I25" s="1810" t="s">
        <v>1053</v>
      </c>
      <c r="J25" s="2325">
        <v>3.31</v>
      </c>
      <c r="K25" s="1810" t="s">
        <v>1056</v>
      </c>
      <c r="L25" s="2325">
        <v>3.5</v>
      </c>
      <c r="M25" s="4840">
        <f>+F25+H25+J25+L25+F26+H26+J26+L26</f>
        <v>30.220000000000002</v>
      </c>
      <c r="N25" s="4842">
        <v>1</v>
      </c>
      <c r="O25" s="4825">
        <f>ROUND((M25/D25)*N25,9)</f>
        <v>151.1</v>
      </c>
      <c r="P25" s="4852" t="s">
        <v>1055</v>
      </c>
      <c r="Q25" s="2333"/>
      <c r="R25" s="1754"/>
      <c r="S25" s="1791"/>
      <c r="T25" s="1791"/>
      <c r="U25" s="1791"/>
      <c r="W25">
        <f>W23+W24</f>
        <v>574.22900000000004</v>
      </c>
    </row>
    <row r="26" spans="1:29" ht="24.75" customHeight="1">
      <c r="A26" s="4846"/>
      <c r="B26" s="4835"/>
      <c r="C26" s="4848"/>
      <c r="D26" s="4849"/>
      <c r="E26" s="1795" t="s">
        <v>1054</v>
      </c>
      <c r="F26" s="1796">
        <v>6.21</v>
      </c>
      <c r="G26" s="1793" t="s">
        <v>1057</v>
      </c>
      <c r="H26" s="1796">
        <v>3.75</v>
      </c>
      <c r="I26" s="1810" t="s">
        <v>209</v>
      </c>
      <c r="J26" s="2325">
        <v>1.74</v>
      </c>
      <c r="K26" s="1810"/>
      <c r="L26" s="2325"/>
      <c r="M26" s="4850"/>
      <c r="N26" s="4851"/>
      <c r="O26" s="4845"/>
      <c r="P26" s="4854"/>
      <c r="Q26" s="2333"/>
      <c r="R26" s="1754"/>
      <c r="S26" s="1791"/>
      <c r="T26" s="1791"/>
      <c r="U26" s="1791"/>
    </row>
    <row r="27" spans="1:29" ht="24.75" customHeight="1">
      <c r="A27" s="1792" t="s">
        <v>1051</v>
      </c>
      <c r="B27" s="1775" t="s">
        <v>1060</v>
      </c>
      <c r="C27" s="1781" t="s">
        <v>818</v>
      </c>
      <c r="D27" s="1814">
        <v>1</v>
      </c>
      <c r="E27" s="1795"/>
      <c r="F27" s="1796"/>
      <c r="G27" s="1793"/>
      <c r="H27" s="1796"/>
      <c r="I27" s="1810"/>
      <c r="J27" s="2325"/>
      <c r="K27" s="1810"/>
      <c r="L27" s="2325"/>
      <c r="M27" s="1788">
        <f>M25*200/1000</f>
        <v>6.0440000000000005</v>
      </c>
      <c r="N27" s="1789">
        <v>1</v>
      </c>
      <c r="O27" s="1782">
        <f>ROUND((M27/D27)*N27,9)</f>
        <v>6.0439999999999996</v>
      </c>
      <c r="P27" s="2334"/>
      <c r="Q27" s="2333"/>
    </row>
    <row r="28" spans="1:29" ht="27.75" customHeight="1">
      <c r="A28" s="4832" t="s">
        <v>1059</v>
      </c>
      <c r="B28" s="4834" t="s">
        <v>1061</v>
      </c>
      <c r="C28" s="4836" t="s">
        <v>1047</v>
      </c>
      <c r="D28" s="4838">
        <v>0.20829999999999999</v>
      </c>
      <c r="E28" s="1795" t="s">
        <v>1058</v>
      </c>
      <c r="F28" s="1796">
        <v>1.22</v>
      </c>
      <c r="G28" s="1793" t="s">
        <v>1056</v>
      </c>
      <c r="H28" s="1796">
        <v>3.36</v>
      </c>
      <c r="I28" s="1810" t="s">
        <v>1057</v>
      </c>
      <c r="J28" s="2325">
        <v>3.99</v>
      </c>
      <c r="K28" s="1810">
        <v>8</v>
      </c>
      <c r="L28" s="2325">
        <v>2.2999999999999998</v>
      </c>
      <c r="M28" s="4840">
        <f>F28+H28+J28+L28+F29+H29+J29+L29</f>
        <v>31.990000000000002</v>
      </c>
      <c r="N28" s="4842">
        <v>1</v>
      </c>
      <c r="O28" s="4825">
        <f>ROUND((M28/D28)*N28,9)</f>
        <v>153.57657225200001</v>
      </c>
      <c r="P28" s="2334"/>
      <c r="Q28" s="2333"/>
      <c r="R28">
        <f>M28*1.7</f>
        <v>54.383000000000003</v>
      </c>
    </row>
    <row r="29" spans="1:29" ht="27.75" customHeight="1">
      <c r="A29" s="4833"/>
      <c r="B29" s="4835"/>
      <c r="C29" s="4837"/>
      <c r="D29" s="4839"/>
      <c r="E29" s="1795" t="s">
        <v>1053</v>
      </c>
      <c r="F29" s="1796">
        <v>3.16</v>
      </c>
      <c r="G29" s="1793" t="s">
        <v>1054</v>
      </c>
      <c r="H29" s="1796">
        <v>6.09</v>
      </c>
      <c r="I29" s="1810" t="s">
        <v>209</v>
      </c>
      <c r="J29" s="2325">
        <v>1.77</v>
      </c>
      <c r="K29" s="1810">
        <v>9</v>
      </c>
      <c r="L29" s="2325">
        <v>10.1</v>
      </c>
      <c r="M29" s="4841"/>
      <c r="N29" s="4843"/>
      <c r="O29" s="4826"/>
      <c r="P29" s="2334"/>
      <c r="Q29" s="2333"/>
    </row>
    <row r="30" spans="1:29" ht="21" customHeight="1">
      <c r="A30" s="1783">
        <v>2</v>
      </c>
      <c r="B30" s="1784" t="s">
        <v>824</v>
      </c>
      <c r="C30" s="1781"/>
      <c r="D30" s="1814"/>
      <c r="E30" s="1793"/>
      <c r="F30" s="1796"/>
      <c r="G30" s="1793"/>
      <c r="H30" s="1796"/>
      <c r="I30" s="1795"/>
      <c r="J30" s="1796"/>
      <c r="K30" s="1795"/>
      <c r="L30" s="1796"/>
      <c r="M30" s="1788"/>
      <c r="N30" s="1789"/>
      <c r="O30" s="1790">
        <f>+SUM(O31:O45)</f>
        <v>4170.3764513940005</v>
      </c>
      <c r="P30" s="2326"/>
      <c r="Q30" s="2327"/>
    </row>
    <row r="31" spans="1:29" ht="36" customHeight="1">
      <c r="A31" s="1792" t="s">
        <v>967</v>
      </c>
      <c r="B31" s="1775" t="s">
        <v>1042</v>
      </c>
      <c r="C31" s="1781" t="s">
        <v>957</v>
      </c>
      <c r="D31" s="1814">
        <f>25000/180000</f>
        <v>0.1388888888888889</v>
      </c>
      <c r="E31" s="1793"/>
      <c r="F31" s="1794"/>
      <c r="G31" s="1795"/>
      <c r="H31" s="1796"/>
      <c r="I31" s="1793"/>
      <c r="J31" s="1796"/>
      <c r="K31" s="1810"/>
      <c r="L31" s="2325"/>
      <c r="M31" s="1788">
        <v>88</v>
      </c>
      <c r="N31" s="1789">
        <v>1</v>
      </c>
      <c r="O31" s="1782">
        <f t="shared" ref="O31:O37" si="0">ROUND((M31/D31)*N31,9)</f>
        <v>633.6</v>
      </c>
      <c r="P31" s="2326"/>
      <c r="Q31" s="2327"/>
      <c r="R31" s="1754"/>
      <c r="T31" s="1754"/>
      <c r="U31" s="1754"/>
    </row>
    <row r="32" spans="1:29" ht="34.5" customHeight="1">
      <c r="A32" s="1792" t="s">
        <v>1062</v>
      </c>
      <c r="B32" s="2335" t="s">
        <v>1216</v>
      </c>
      <c r="C32" s="1781" t="s">
        <v>957</v>
      </c>
      <c r="D32" s="1814">
        <v>0.13</v>
      </c>
      <c r="E32" s="1793"/>
      <c r="F32" s="1796"/>
      <c r="G32" s="1795"/>
      <c r="H32" s="1796"/>
      <c r="I32" s="1793"/>
      <c r="J32" s="1796"/>
      <c r="K32" s="1793"/>
      <c r="L32" s="1796"/>
      <c r="M32" s="1788">
        <v>44</v>
      </c>
      <c r="N32" s="1789">
        <v>1</v>
      </c>
      <c r="O32" s="1782">
        <f t="shared" si="0"/>
        <v>338.46153846200002</v>
      </c>
      <c r="P32" s="2326"/>
      <c r="Q32" s="2327"/>
      <c r="R32" s="1754"/>
      <c r="S32" s="1754"/>
      <c r="T32" s="1754"/>
      <c r="U32" s="1754"/>
    </row>
    <row r="33" spans="1:21" ht="39" customHeight="1">
      <c r="A33" s="1792" t="s">
        <v>1063</v>
      </c>
      <c r="B33" s="1775" t="s">
        <v>1077</v>
      </c>
      <c r="C33" s="1781" t="s">
        <v>957</v>
      </c>
      <c r="D33" s="1814">
        <f>25000/200000</f>
        <v>0.125</v>
      </c>
      <c r="E33" s="1793"/>
      <c r="F33" s="1796"/>
      <c r="G33" s="1795"/>
      <c r="H33" s="1796"/>
      <c r="I33" s="1795"/>
      <c r="J33" s="1796"/>
      <c r="K33" s="2336"/>
      <c r="L33" s="1801"/>
      <c r="M33" s="1788">
        <v>64</v>
      </c>
      <c r="N33" s="1789">
        <v>1</v>
      </c>
      <c r="O33" s="1782">
        <f t="shared" si="0"/>
        <v>512</v>
      </c>
      <c r="P33" s="2326"/>
      <c r="Q33" s="2327"/>
      <c r="R33" s="1754"/>
      <c r="S33" s="1754"/>
      <c r="T33" s="1754"/>
      <c r="U33" s="1754"/>
    </row>
    <row r="34" spans="1:21" ht="22.5" customHeight="1">
      <c r="A34" s="1792" t="s">
        <v>1064</v>
      </c>
      <c r="B34" s="1775" t="s">
        <v>1043</v>
      </c>
      <c r="C34" s="1781" t="s">
        <v>957</v>
      </c>
      <c r="D34" s="1814">
        <f>25000/150000</f>
        <v>0.16666666666666666</v>
      </c>
      <c r="E34" s="1793"/>
      <c r="F34" s="1796"/>
      <c r="G34" s="1795"/>
      <c r="H34" s="1796"/>
      <c r="I34" s="1795"/>
      <c r="J34" s="1796"/>
      <c r="K34" s="2336"/>
      <c r="L34" s="1801"/>
      <c r="M34" s="1788">
        <v>152</v>
      </c>
      <c r="N34" s="1789">
        <v>1</v>
      </c>
      <c r="O34" s="1782">
        <f t="shared" si="0"/>
        <v>912</v>
      </c>
      <c r="P34" s="2326"/>
      <c r="Q34" s="2327"/>
      <c r="R34" s="1754"/>
      <c r="S34" s="1754"/>
      <c r="T34" s="1754"/>
      <c r="U34" s="1754"/>
    </row>
    <row r="35" spans="1:21" ht="20.25" customHeight="1">
      <c r="A35" s="1792" t="s">
        <v>1065</v>
      </c>
      <c r="B35" s="1775" t="s">
        <v>204</v>
      </c>
      <c r="C35" s="1781" t="s">
        <v>957</v>
      </c>
      <c r="D35" s="1814">
        <v>1.25</v>
      </c>
      <c r="E35" s="1793"/>
      <c r="F35" s="1796"/>
      <c r="G35" s="1795"/>
      <c r="H35" s="1796"/>
      <c r="I35" s="1795"/>
      <c r="J35" s="1796"/>
      <c r="K35" s="2336"/>
      <c r="L35" s="1801"/>
      <c r="M35" s="1788">
        <v>152</v>
      </c>
      <c r="N35" s="1789">
        <v>1</v>
      </c>
      <c r="O35" s="1782">
        <f t="shared" si="0"/>
        <v>121.6</v>
      </c>
      <c r="P35" s="2326"/>
      <c r="Q35" s="2327"/>
      <c r="R35" s="1754"/>
      <c r="S35" s="1754"/>
      <c r="T35" s="1754"/>
      <c r="U35" s="1754"/>
    </row>
    <row r="36" spans="1:21" ht="24" customHeight="1">
      <c r="A36" s="1792" t="s">
        <v>1066</v>
      </c>
      <c r="B36" s="1775" t="s">
        <v>1046</v>
      </c>
      <c r="C36" s="1781" t="s">
        <v>1047</v>
      </c>
      <c r="D36" s="1814">
        <f>1/16</f>
        <v>6.25E-2</v>
      </c>
      <c r="E36" s="1793" t="s">
        <v>1070</v>
      </c>
      <c r="F36" s="1800">
        <v>7.4</v>
      </c>
      <c r="G36" s="1793">
        <v>4</v>
      </c>
      <c r="H36" s="1796">
        <v>11.43</v>
      </c>
      <c r="I36" s="1793" t="s">
        <v>159</v>
      </c>
      <c r="J36" s="1796">
        <v>20.03</v>
      </c>
      <c r="K36" s="1793" t="s">
        <v>1083</v>
      </c>
      <c r="L36" s="2325">
        <v>3.95</v>
      </c>
      <c r="M36" s="1788">
        <f>F36+H36+J36</f>
        <v>38.86</v>
      </c>
      <c r="N36" s="1789">
        <v>1</v>
      </c>
      <c r="O36" s="1782">
        <f>ROUND((M36/D36)*N36,9)</f>
        <v>621.76</v>
      </c>
      <c r="P36" s="2326"/>
      <c r="Q36" s="2327"/>
      <c r="T36" s="1754"/>
      <c r="U36" s="1754"/>
    </row>
    <row r="37" spans="1:21" ht="24.75" customHeight="1">
      <c r="A37" s="4832" t="s">
        <v>1069</v>
      </c>
      <c r="B37" s="4834" t="s">
        <v>1052</v>
      </c>
      <c r="C37" s="4836" t="s">
        <v>1047</v>
      </c>
      <c r="D37" s="4838">
        <f>1/5</f>
        <v>0.2</v>
      </c>
      <c r="E37" s="1793">
        <v>9</v>
      </c>
      <c r="F37" s="1796">
        <v>2.23</v>
      </c>
      <c r="G37" s="1793" t="s">
        <v>1071</v>
      </c>
      <c r="H37" s="1796">
        <v>2.99</v>
      </c>
      <c r="I37" s="1793" t="s">
        <v>159</v>
      </c>
      <c r="J37" s="1796">
        <v>19.63</v>
      </c>
      <c r="K37" s="1793" t="s">
        <v>1082</v>
      </c>
      <c r="L37" s="1801">
        <v>10.68</v>
      </c>
      <c r="M37" s="4840">
        <f>L37+L38+J37+J38+H37+H38+F37+F38</f>
        <v>59.199999999999996</v>
      </c>
      <c r="N37" s="4842">
        <v>1</v>
      </c>
      <c r="O37" s="4825">
        <f t="shared" si="0"/>
        <v>296</v>
      </c>
      <c r="P37" s="4852" t="s">
        <v>1055</v>
      </c>
      <c r="Q37" s="2333"/>
      <c r="T37" s="1754"/>
      <c r="U37" s="1754"/>
    </row>
    <row r="38" spans="1:21" ht="24.75" customHeight="1">
      <c r="A38" s="4846"/>
      <c r="B38" s="4847"/>
      <c r="C38" s="4837"/>
      <c r="D38" s="4839"/>
      <c r="E38" s="1793" t="s">
        <v>158</v>
      </c>
      <c r="F38" s="1796">
        <v>12.37</v>
      </c>
      <c r="G38" s="1793" t="s">
        <v>1083</v>
      </c>
      <c r="H38" s="1796">
        <v>3.71</v>
      </c>
      <c r="I38" s="1793" t="s">
        <v>159</v>
      </c>
      <c r="J38" s="1801">
        <v>1.01</v>
      </c>
      <c r="K38" s="1793" t="s">
        <v>159</v>
      </c>
      <c r="L38" s="1801">
        <v>6.58</v>
      </c>
      <c r="M38" s="4841"/>
      <c r="N38" s="4843"/>
      <c r="O38" s="4826"/>
      <c r="P38" s="4853"/>
      <c r="Q38" s="2333"/>
      <c r="T38" s="1754"/>
      <c r="U38" s="1754"/>
    </row>
    <row r="39" spans="1:21" ht="24.75" customHeight="1">
      <c r="A39" s="4846"/>
      <c r="B39" s="4847"/>
      <c r="C39" s="4836" t="s">
        <v>1047</v>
      </c>
      <c r="D39" s="4838">
        <v>0.33</v>
      </c>
      <c r="E39" s="1802">
        <v>10</v>
      </c>
      <c r="F39" s="1794">
        <v>5.46</v>
      </c>
      <c r="G39" s="1802" t="s">
        <v>1070</v>
      </c>
      <c r="H39" s="1794">
        <v>6.92</v>
      </c>
      <c r="I39" s="1802" t="s">
        <v>209</v>
      </c>
      <c r="J39" s="1794">
        <v>2.87</v>
      </c>
      <c r="K39" s="1802" t="s">
        <v>1057</v>
      </c>
      <c r="L39" s="1794">
        <v>1.64</v>
      </c>
      <c r="M39" s="4840">
        <f>F39+H39+J39+L39+F40+H40+J40+L40</f>
        <v>24.12</v>
      </c>
      <c r="N39" s="4842">
        <v>1</v>
      </c>
      <c r="O39" s="4825">
        <f>ROUND((M39/D39)*N39,9)</f>
        <v>73.090909091</v>
      </c>
      <c r="P39" s="4852" t="s">
        <v>1072</v>
      </c>
      <c r="Q39" s="2333"/>
      <c r="T39" s="1754"/>
      <c r="U39" s="1754"/>
    </row>
    <row r="40" spans="1:21" ht="24.75" customHeight="1">
      <c r="A40" s="4833"/>
      <c r="B40" s="4835"/>
      <c r="C40" s="4837"/>
      <c r="D40" s="4839"/>
      <c r="E40" s="1802" t="s">
        <v>1070</v>
      </c>
      <c r="F40" s="1794">
        <v>7.23</v>
      </c>
      <c r="G40" s="1802"/>
      <c r="H40" s="1794"/>
      <c r="I40" s="1802"/>
      <c r="J40" s="1794"/>
      <c r="K40" s="1802"/>
      <c r="L40" s="1796"/>
      <c r="M40" s="4841"/>
      <c r="N40" s="4843"/>
      <c r="O40" s="4826"/>
      <c r="P40" s="4853"/>
      <c r="Q40" s="2333"/>
      <c r="R40" s="1709"/>
      <c r="S40" s="1709"/>
      <c r="T40" s="1754"/>
      <c r="U40" s="1754"/>
    </row>
    <row r="41" spans="1:21" ht="33.75" customHeight="1">
      <c r="A41" s="2303" t="s">
        <v>1074</v>
      </c>
      <c r="B41" s="1775" t="s">
        <v>1060</v>
      </c>
      <c r="C41" s="1781" t="s">
        <v>818</v>
      </c>
      <c r="D41" s="1814">
        <v>1</v>
      </c>
      <c r="E41" s="1803"/>
      <c r="F41" s="1796"/>
      <c r="G41" s="1803"/>
      <c r="H41" s="1796"/>
      <c r="I41" s="1803"/>
      <c r="J41" s="1796"/>
      <c r="K41" s="1803"/>
      <c r="L41" s="1796"/>
      <c r="M41" s="1788">
        <f>M37*200/1000</f>
        <v>11.84</v>
      </c>
      <c r="N41" s="1789">
        <v>1</v>
      </c>
      <c r="O41" s="1782">
        <f>ROUND((M41/D41)*N41,9)</f>
        <v>11.84</v>
      </c>
      <c r="P41" s="2334"/>
      <c r="Q41" s="2333"/>
      <c r="R41" s="1709"/>
      <c r="S41" s="1709"/>
      <c r="T41" s="1754"/>
      <c r="U41" s="1754"/>
    </row>
    <row r="42" spans="1:21" ht="33.75" customHeight="1">
      <c r="A42" s="4832" t="s">
        <v>1075</v>
      </c>
      <c r="B42" s="4834" t="s">
        <v>1061</v>
      </c>
      <c r="C42" s="4836" t="s">
        <v>1047</v>
      </c>
      <c r="D42" s="4838">
        <v>0.20829999999999999</v>
      </c>
      <c r="E42" s="1793">
        <v>10</v>
      </c>
      <c r="F42" s="1796">
        <v>3.09</v>
      </c>
      <c r="G42" s="1793">
        <v>14</v>
      </c>
      <c r="H42" s="1796">
        <v>4.3499999999999996</v>
      </c>
      <c r="I42" s="1793" t="s">
        <v>1057</v>
      </c>
      <c r="J42" s="1796">
        <v>1.64</v>
      </c>
      <c r="K42" s="1793" t="s">
        <v>1071</v>
      </c>
      <c r="L42" s="1801">
        <v>2.96</v>
      </c>
      <c r="M42" s="4840">
        <f>L42+L43+L44+L45+J42+J43+J44+J45+F42+F43+F44+F45+H42+H43+H44+H45+F46+F47+F48+H46+H47+H48+J46+J47+J48+L46+L47+L48</f>
        <v>135.4</v>
      </c>
      <c r="N42" s="4842">
        <v>1</v>
      </c>
      <c r="O42" s="4825">
        <f>ROUND((M42/D42)*N42,9)</f>
        <v>650.02400384099997</v>
      </c>
      <c r="P42" s="2326"/>
      <c r="Q42" s="2327"/>
      <c r="R42" s="1709"/>
      <c r="S42" s="1709"/>
      <c r="T42" s="1754"/>
      <c r="U42" s="1754"/>
    </row>
    <row r="43" spans="1:21" ht="33.75" customHeight="1">
      <c r="A43" s="4846"/>
      <c r="B43" s="4847"/>
      <c r="C43" s="4848"/>
      <c r="D43" s="4849"/>
      <c r="E43" s="1793">
        <v>11</v>
      </c>
      <c r="F43" s="1796">
        <v>1.08</v>
      </c>
      <c r="G43" s="1793" t="s">
        <v>1070</v>
      </c>
      <c r="H43" s="1796">
        <v>6.81</v>
      </c>
      <c r="I43" s="1793" t="s">
        <v>209</v>
      </c>
      <c r="J43" s="1796">
        <v>2.87</v>
      </c>
      <c r="K43" s="1793">
        <v>9</v>
      </c>
      <c r="L43" s="1796">
        <v>2.46</v>
      </c>
      <c r="M43" s="4850"/>
      <c r="N43" s="4851"/>
      <c r="O43" s="4845"/>
      <c r="P43" s="2326"/>
      <c r="Q43" s="2327"/>
      <c r="R43" s="2337"/>
      <c r="S43" s="2337"/>
      <c r="T43" s="1754"/>
      <c r="U43" s="1754"/>
    </row>
    <row r="44" spans="1:21" ht="33.75" customHeight="1">
      <c r="A44" s="4846"/>
      <c r="B44" s="4847"/>
      <c r="C44" s="4848"/>
      <c r="D44" s="4849"/>
      <c r="E44" s="1793">
        <v>8</v>
      </c>
      <c r="F44" s="1796">
        <v>1.55</v>
      </c>
      <c r="G44" s="1793">
        <v>10</v>
      </c>
      <c r="H44" s="1796">
        <v>5.78</v>
      </c>
      <c r="I44" s="1793" t="s">
        <v>1082</v>
      </c>
      <c r="J44" s="1796">
        <v>11.11</v>
      </c>
      <c r="K44" s="1793" t="s">
        <v>158</v>
      </c>
      <c r="L44" s="1801">
        <v>12.57</v>
      </c>
      <c r="M44" s="4850"/>
      <c r="N44" s="4851"/>
      <c r="O44" s="4845"/>
      <c r="P44" s="2326"/>
      <c r="Q44" s="2327"/>
      <c r="R44" s="2337"/>
      <c r="S44" s="2337"/>
      <c r="T44" s="1754"/>
      <c r="U44" s="1754"/>
    </row>
    <row r="45" spans="1:21" ht="33.75" customHeight="1">
      <c r="A45" s="4846"/>
      <c r="B45" s="4847"/>
      <c r="C45" s="4848"/>
      <c r="D45" s="4849"/>
      <c r="E45" s="1793" t="s">
        <v>159</v>
      </c>
      <c r="F45" s="1796">
        <v>6.63</v>
      </c>
      <c r="G45" s="1793" t="s">
        <v>1073</v>
      </c>
      <c r="H45" s="1796">
        <v>15.52</v>
      </c>
      <c r="I45" s="1793" t="s">
        <v>159</v>
      </c>
      <c r="J45" s="1796">
        <v>0.5</v>
      </c>
      <c r="K45" s="1793">
        <v>7</v>
      </c>
      <c r="L45" s="1801">
        <v>0.95</v>
      </c>
      <c r="M45" s="4850"/>
      <c r="N45" s="4851"/>
      <c r="O45" s="4845"/>
      <c r="P45" s="2326"/>
      <c r="Q45" s="2327"/>
      <c r="R45" s="2337">
        <f>M42*1.7</f>
        <v>230.18</v>
      </c>
      <c r="S45" s="2337"/>
      <c r="T45" s="1754"/>
      <c r="U45" s="1754"/>
    </row>
    <row r="46" spans="1:21" ht="33.75" customHeight="1">
      <c r="A46" s="4846"/>
      <c r="B46" s="4847"/>
      <c r="C46" s="4848"/>
      <c r="D46" s="4849"/>
      <c r="E46" s="1793" t="s">
        <v>1084</v>
      </c>
      <c r="F46" s="1796">
        <v>1.32</v>
      </c>
      <c r="G46" s="1793">
        <v>6</v>
      </c>
      <c r="H46" s="1796">
        <v>4.03</v>
      </c>
      <c r="I46" s="1793" t="s">
        <v>206</v>
      </c>
      <c r="J46" s="1796">
        <v>8.86</v>
      </c>
      <c r="K46" s="1793" t="s">
        <v>1088</v>
      </c>
      <c r="L46" s="1796">
        <v>11.09</v>
      </c>
      <c r="M46" s="4850"/>
      <c r="N46" s="4851"/>
      <c r="O46" s="4845"/>
      <c r="P46" s="2326"/>
      <c r="Q46" s="2327"/>
      <c r="R46" s="2337"/>
      <c r="S46" s="2337"/>
      <c r="T46" s="1754"/>
      <c r="U46" s="1754"/>
    </row>
    <row r="47" spans="1:21" ht="33.75" customHeight="1">
      <c r="A47" s="4846"/>
      <c r="B47" s="4847"/>
      <c r="C47" s="4848"/>
      <c r="D47" s="4849"/>
      <c r="E47" s="1793" t="s">
        <v>1085</v>
      </c>
      <c r="F47" s="1796">
        <v>1.19</v>
      </c>
      <c r="G47" s="1793" t="s">
        <v>1089</v>
      </c>
      <c r="H47" s="1796">
        <v>6.48</v>
      </c>
      <c r="I47" s="1793" t="s">
        <v>1086</v>
      </c>
      <c r="J47" s="1796">
        <v>1.21</v>
      </c>
      <c r="K47" s="1793" t="s">
        <v>1086</v>
      </c>
      <c r="L47" s="1796">
        <v>13.34</v>
      </c>
      <c r="M47" s="4850"/>
      <c r="N47" s="4851"/>
      <c r="O47" s="4845"/>
      <c r="P47" s="2326"/>
      <c r="Q47" s="2327"/>
      <c r="R47" s="2337"/>
      <c r="S47" s="2337"/>
      <c r="T47" s="1754"/>
      <c r="U47" s="1754"/>
    </row>
    <row r="48" spans="1:21" ht="33.75" customHeight="1">
      <c r="A48" s="4833"/>
      <c r="B48" s="4835"/>
      <c r="C48" s="4837"/>
      <c r="D48" s="4839"/>
      <c r="E48" s="1793" t="s">
        <v>1087</v>
      </c>
      <c r="F48" s="1796">
        <v>8.01</v>
      </c>
      <c r="G48" s="1793"/>
      <c r="H48" s="1796"/>
      <c r="I48" s="1793"/>
      <c r="J48" s="1796"/>
      <c r="K48" s="1793"/>
      <c r="L48" s="1801"/>
      <c r="M48" s="4841"/>
      <c r="N48" s="4843"/>
      <c r="O48" s="4826"/>
      <c r="P48" s="2326"/>
      <c r="Q48" s="2327"/>
      <c r="R48" s="2337"/>
      <c r="S48" s="2337"/>
      <c r="T48" s="1754"/>
      <c r="U48" s="1754"/>
    </row>
    <row r="49" spans="1:23" ht="21" customHeight="1">
      <c r="A49" s="1783">
        <v>3</v>
      </c>
      <c r="B49" s="1784" t="s">
        <v>928</v>
      </c>
      <c r="C49" s="1781"/>
      <c r="D49" s="1814"/>
      <c r="E49" s="1806"/>
      <c r="F49" s="1785"/>
      <c r="G49" s="1806"/>
      <c r="H49" s="1785"/>
      <c r="I49" s="1802"/>
      <c r="J49" s="1794"/>
      <c r="K49" s="1795"/>
      <c r="L49" s="1796"/>
      <c r="M49" s="1788"/>
      <c r="N49" s="1789"/>
      <c r="O49" s="1790">
        <f>+SUM(O50:O56)</f>
        <v>2354.353696961</v>
      </c>
      <c r="P49" s="2326"/>
      <c r="Q49" s="2327"/>
      <c r="R49" s="2337"/>
      <c r="S49" s="2337"/>
      <c r="T49" s="1754"/>
      <c r="U49" s="1754"/>
    </row>
    <row r="50" spans="1:23" ht="37.5" customHeight="1">
      <c r="A50" s="1792" t="s">
        <v>889</v>
      </c>
      <c r="B50" s="2335" t="s">
        <v>1216</v>
      </c>
      <c r="C50" s="1781" t="s">
        <v>957</v>
      </c>
      <c r="D50" s="1814">
        <v>0.13</v>
      </c>
      <c r="E50" s="1793"/>
      <c r="F50" s="1796"/>
      <c r="G50" s="1795"/>
      <c r="H50" s="1796"/>
      <c r="I50" s="1793"/>
      <c r="J50" s="1796"/>
      <c r="K50" s="1793"/>
      <c r="L50" s="1796"/>
      <c r="M50" s="1788">
        <f>93-77</f>
        <v>16</v>
      </c>
      <c r="N50" s="1789">
        <v>1</v>
      </c>
      <c r="O50" s="1782">
        <f t="shared" ref="O50:O54" si="1">ROUND((M50/D50)*N50,9)</f>
        <v>123.076923077</v>
      </c>
      <c r="P50" s="2326"/>
      <c r="Q50" s="2327"/>
      <c r="R50" s="2337"/>
      <c r="S50" s="2337"/>
      <c r="T50" s="1754"/>
      <c r="U50" s="1754"/>
    </row>
    <row r="51" spans="1:23" ht="39" customHeight="1">
      <c r="A51" s="1792" t="s">
        <v>968</v>
      </c>
      <c r="B51" s="1775" t="s">
        <v>1077</v>
      </c>
      <c r="C51" s="1781" t="s">
        <v>957</v>
      </c>
      <c r="D51" s="1814">
        <f>25000/200000</f>
        <v>0.125</v>
      </c>
      <c r="E51" s="1793"/>
      <c r="F51" s="1796"/>
      <c r="G51" s="1795"/>
      <c r="H51" s="1796"/>
      <c r="I51" s="1795"/>
      <c r="J51" s="1796"/>
      <c r="K51" s="2336"/>
      <c r="L51" s="1801"/>
      <c r="M51" s="1788">
        <v>93</v>
      </c>
      <c r="N51" s="1789">
        <v>1</v>
      </c>
      <c r="O51" s="1782">
        <f t="shared" si="1"/>
        <v>744</v>
      </c>
      <c r="P51" s="2326"/>
      <c r="Q51" s="2327"/>
      <c r="R51" s="2337"/>
      <c r="S51" s="2337"/>
      <c r="T51" s="1754"/>
      <c r="U51" s="1754"/>
    </row>
    <row r="52" spans="1:23" ht="21" customHeight="1">
      <c r="A52" s="1792" t="s">
        <v>1076</v>
      </c>
      <c r="B52" s="1775" t="s">
        <v>1043</v>
      </c>
      <c r="C52" s="1781" t="s">
        <v>957</v>
      </c>
      <c r="D52" s="1814">
        <f>25000/150000</f>
        <v>0.16666666666666666</v>
      </c>
      <c r="E52" s="1793"/>
      <c r="F52" s="1796"/>
      <c r="G52" s="1795"/>
      <c r="H52" s="1796"/>
      <c r="I52" s="1795"/>
      <c r="J52" s="1796"/>
      <c r="K52" s="2336"/>
      <c r="L52" s="1801"/>
      <c r="M52" s="1788">
        <v>93</v>
      </c>
      <c r="N52" s="1789">
        <v>1</v>
      </c>
      <c r="O52" s="1782">
        <f t="shared" si="1"/>
        <v>558</v>
      </c>
      <c r="P52" s="2326"/>
      <c r="Q52" s="2327"/>
      <c r="R52" s="2338"/>
      <c r="S52" s="2337"/>
      <c r="T52" s="1754"/>
      <c r="U52" s="1754"/>
    </row>
    <row r="53" spans="1:23" ht="21" customHeight="1">
      <c r="A53" s="1792" t="s">
        <v>1078</v>
      </c>
      <c r="B53" s="1775" t="s">
        <v>204</v>
      </c>
      <c r="C53" s="1781" t="s">
        <v>957</v>
      </c>
      <c r="D53" s="1814">
        <v>1.25</v>
      </c>
      <c r="E53" s="1793"/>
      <c r="F53" s="1796"/>
      <c r="G53" s="1795"/>
      <c r="H53" s="1796"/>
      <c r="I53" s="1795"/>
      <c r="J53" s="1796"/>
      <c r="K53" s="2336"/>
      <c r="L53" s="1801"/>
      <c r="M53" s="1788">
        <v>93</v>
      </c>
      <c r="N53" s="1789">
        <v>1</v>
      </c>
      <c r="O53" s="1782">
        <f t="shared" si="1"/>
        <v>74.400000000000006</v>
      </c>
      <c r="P53" s="2326"/>
      <c r="Q53" s="2327"/>
      <c r="R53" s="2337"/>
      <c r="S53" s="2337"/>
      <c r="T53" s="2337"/>
      <c r="U53" s="2337"/>
      <c r="V53" s="1709"/>
      <c r="W53" s="1709"/>
    </row>
    <row r="54" spans="1:23" ht="21" customHeight="1">
      <c r="A54" s="1792" t="s">
        <v>1079</v>
      </c>
      <c r="B54" s="1775" t="s">
        <v>1046</v>
      </c>
      <c r="C54" s="1781" t="s">
        <v>1047</v>
      </c>
      <c r="D54" s="1814">
        <f>1/16</f>
        <v>6.25E-2</v>
      </c>
      <c r="E54" s="1793" t="s">
        <v>1099</v>
      </c>
      <c r="F54" s="1796">
        <v>13.48</v>
      </c>
      <c r="G54" s="1793" t="s">
        <v>1097</v>
      </c>
      <c r="H54" s="1796">
        <v>3.71</v>
      </c>
      <c r="I54" s="1793"/>
      <c r="J54" s="1796"/>
      <c r="K54" s="1793"/>
      <c r="L54" s="2325"/>
      <c r="M54" s="1788">
        <f>F54+H54+J54+L54</f>
        <v>17.190000000000001</v>
      </c>
      <c r="N54" s="1789">
        <v>1</v>
      </c>
      <c r="O54" s="1782">
        <f t="shared" si="1"/>
        <v>275.04000000000002</v>
      </c>
      <c r="P54" s="2326"/>
      <c r="Q54" s="2327"/>
      <c r="R54" s="2337"/>
      <c r="S54" s="2337"/>
      <c r="T54" s="2337"/>
      <c r="U54" s="2337"/>
      <c r="V54" s="1709"/>
      <c r="W54" s="1709"/>
    </row>
    <row r="55" spans="1:23" ht="27" customHeight="1">
      <c r="A55" s="4832" t="s">
        <v>1080</v>
      </c>
      <c r="B55" s="4834" t="s">
        <v>1061</v>
      </c>
      <c r="C55" s="4836" t="s">
        <v>1047</v>
      </c>
      <c r="D55" s="4838">
        <v>0.20829999999999999</v>
      </c>
      <c r="E55" s="1807">
        <v>9</v>
      </c>
      <c r="F55" s="1796">
        <v>1.24</v>
      </c>
      <c r="G55" s="1807">
        <v>14</v>
      </c>
      <c r="H55" s="1796">
        <v>27.25</v>
      </c>
      <c r="I55" s="1810" t="s">
        <v>1098</v>
      </c>
      <c r="J55" s="2325">
        <v>5.45</v>
      </c>
      <c r="K55" s="1810" t="s">
        <v>1099</v>
      </c>
      <c r="L55" s="2325">
        <v>13.48</v>
      </c>
      <c r="M55" s="4840">
        <f>F56+H56+J56+L56+L55+J55+H55+F55</f>
        <v>120.78</v>
      </c>
      <c r="N55" s="4842">
        <v>1</v>
      </c>
      <c r="O55" s="4825">
        <f>ROUND((M55/D55)*N55,9)</f>
        <v>579.83677388399997</v>
      </c>
      <c r="P55" s="2301"/>
      <c r="Q55" s="2333"/>
      <c r="R55" s="2337">
        <f>M55*1.7</f>
        <v>205.32599999999999</v>
      </c>
      <c r="S55" s="2337"/>
      <c r="T55" s="2337"/>
      <c r="U55" s="2337"/>
      <c r="V55" s="1709"/>
      <c r="W55" s="1709"/>
    </row>
    <row r="56" spans="1:23" ht="27.75" customHeight="1">
      <c r="A56" s="4833"/>
      <c r="B56" s="4835"/>
      <c r="C56" s="4837"/>
      <c r="D56" s="4839"/>
      <c r="E56" s="1807">
        <v>11</v>
      </c>
      <c r="F56" s="1796">
        <v>10.6</v>
      </c>
      <c r="G56" s="1807" t="s">
        <v>1096</v>
      </c>
      <c r="H56" s="1796">
        <v>17.88</v>
      </c>
      <c r="I56" s="1810" t="s">
        <v>208</v>
      </c>
      <c r="J56" s="2325">
        <v>41.17</v>
      </c>
      <c r="K56" s="1810" t="s">
        <v>1097</v>
      </c>
      <c r="L56" s="2325">
        <v>3.71</v>
      </c>
      <c r="M56" s="4841"/>
      <c r="N56" s="4843"/>
      <c r="O56" s="4826"/>
      <c r="P56" s="2334"/>
      <c r="Q56" s="2333"/>
      <c r="R56" s="2337"/>
      <c r="S56" s="2337"/>
      <c r="T56" s="2337"/>
      <c r="U56" s="2337"/>
      <c r="V56" s="1709"/>
      <c r="W56" s="1709"/>
    </row>
    <row r="57" spans="1:23" ht="21" customHeight="1">
      <c r="A57" s="1783" t="s">
        <v>92</v>
      </c>
      <c r="B57" s="1808" t="s">
        <v>930</v>
      </c>
      <c r="C57" s="1781"/>
      <c r="D57" s="1814"/>
      <c r="E57" s="1786"/>
      <c r="F57" s="1787"/>
      <c r="G57" s="1786"/>
      <c r="H57" s="1787"/>
      <c r="I57" s="1810"/>
      <c r="J57" s="1789"/>
      <c r="K57" s="1810"/>
      <c r="L57" s="2325"/>
      <c r="M57" s="1788"/>
      <c r="N57" s="1789"/>
      <c r="O57" s="1790">
        <f>SUM(O58:O59)</f>
        <v>202.448391743</v>
      </c>
      <c r="P57" s="2326"/>
      <c r="Q57" s="2327"/>
      <c r="R57" s="2337"/>
      <c r="S57" s="2337"/>
      <c r="T57" s="2337"/>
      <c r="U57" s="2337"/>
      <c r="V57" s="1709"/>
      <c r="W57" s="1709"/>
    </row>
    <row r="58" spans="1:23" ht="21.75" customHeight="1">
      <c r="A58" s="4832">
        <v>1</v>
      </c>
      <c r="B58" s="4834" t="s">
        <v>1061</v>
      </c>
      <c r="C58" s="4836" t="s">
        <v>1047</v>
      </c>
      <c r="D58" s="4838">
        <v>0.20829999999999999</v>
      </c>
      <c r="E58" s="2339" t="s">
        <v>159</v>
      </c>
      <c r="F58" s="1794">
        <v>1.06</v>
      </c>
      <c r="G58" s="1795" t="s">
        <v>1054</v>
      </c>
      <c r="H58" s="1796">
        <v>6.51</v>
      </c>
      <c r="I58" s="1793" t="s">
        <v>159</v>
      </c>
      <c r="J58" s="1796">
        <v>1.67</v>
      </c>
      <c r="K58" s="1810" t="s">
        <v>1217</v>
      </c>
      <c r="L58" s="2325">
        <v>8.44</v>
      </c>
      <c r="M58" s="4840">
        <f>F58+F59+H58+J58+L58+H59+J59+L59</f>
        <v>42.17</v>
      </c>
      <c r="N58" s="4842">
        <v>1</v>
      </c>
      <c r="O58" s="4825">
        <f>ROUND((M58/D58)*N58,9)</f>
        <v>202.448391743</v>
      </c>
      <c r="P58" s="2326"/>
      <c r="Q58" s="2327"/>
      <c r="R58" s="1754"/>
      <c r="S58" s="1754"/>
      <c r="T58" s="1754"/>
      <c r="U58" s="1754"/>
    </row>
    <row r="59" spans="1:23" ht="21" customHeight="1">
      <c r="A59" s="4833"/>
      <c r="B59" s="4835"/>
      <c r="C59" s="4837"/>
      <c r="D59" s="4839"/>
      <c r="E59" s="1795">
        <v>8</v>
      </c>
      <c r="F59" s="1796">
        <v>4.6500000000000004</v>
      </c>
      <c r="G59" s="1795" t="s">
        <v>1071</v>
      </c>
      <c r="H59" s="1796">
        <v>7.66</v>
      </c>
      <c r="I59" s="1793" t="s">
        <v>160</v>
      </c>
      <c r="J59" s="1796">
        <v>12.18</v>
      </c>
      <c r="K59" s="1810"/>
      <c r="L59" s="2325"/>
      <c r="M59" s="4841"/>
      <c r="N59" s="4843"/>
      <c r="O59" s="4826"/>
      <c r="P59" s="2326"/>
      <c r="Q59" s="2327"/>
      <c r="R59" s="2337"/>
      <c r="S59" s="2337"/>
      <c r="T59" s="1754"/>
      <c r="U59" s="1754"/>
    </row>
    <row r="60" spans="1:23" ht="21" customHeight="1">
      <c r="A60" s="1766" t="s">
        <v>53</v>
      </c>
      <c r="B60" s="1784" t="s">
        <v>825</v>
      </c>
      <c r="C60" s="1809"/>
      <c r="D60" s="2340"/>
      <c r="E60" s="1769"/>
      <c r="F60" s="1769"/>
      <c r="G60" s="1769"/>
      <c r="H60" s="1769"/>
      <c r="I60" s="1769"/>
      <c r="J60" s="1769"/>
      <c r="K60" s="1769"/>
      <c r="L60" s="1770"/>
      <c r="M60" s="1788"/>
      <c r="N60" s="1810"/>
      <c r="O60" s="1772">
        <f>SUM(O61:O61)</f>
        <v>416</v>
      </c>
      <c r="P60" s="1811"/>
      <c r="Q60" s="2319"/>
      <c r="R60" s="2337"/>
      <c r="S60" s="2337"/>
      <c r="T60" s="1754"/>
      <c r="U60" s="1754"/>
    </row>
    <row r="61" spans="1:23" ht="21" customHeight="1">
      <c r="A61" s="1792">
        <v>1</v>
      </c>
      <c r="B61" s="1812" t="s">
        <v>826</v>
      </c>
      <c r="C61" s="1781" t="s">
        <v>362</v>
      </c>
      <c r="D61" s="1814"/>
      <c r="E61" s="4827" t="s">
        <v>1218</v>
      </c>
      <c r="F61" s="4827"/>
      <c r="G61" s="4827"/>
      <c r="H61" s="4827"/>
      <c r="I61" s="4827"/>
      <c r="J61" s="4827"/>
      <c r="K61" s="1813"/>
      <c r="L61" s="1814"/>
      <c r="M61" s="1815"/>
      <c r="N61" s="1816"/>
      <c r="O61" s="1817">
        <f>4*2600000/25000</f>
        <v>416</v>
      </c>
      <c r="P61" s="1818"/>
      <c r="Q61" s="2341"/>
      <c r="R61" s="2337"/>
      <c r="S61" s="2337"/>
      <c r="T61" s="1754"/>
      <c r="U61" s="1754"/>
    </row>
    <row r="62" spans="1:23" ht="27" customHeight="1">
      <c r="A62" s="4828" t="s">
        <v>1219</v>
      </c>
      <c r="B62" s="4828"/>
      <c r="C62" s="4828"/>
      <c r="D62" s="2342"/>
      <c r="E62" s="1819"/>
      <c r="F62" s="1819"/>
      <c r="G62" s="1819"/>
      <c r="H62" s="1819"/>
      <c r="I62" s="1819"/>
      <c r="J62" s="1819"/>
      <c r="K62" s="1819"/>
      <c r="L62" s="1820"/>
      <c r="M62" s="1821"/>
      <c r="N62" s="1819"/>
      <c r="O62" s="1822">
        <f>O11+O60+O57</f>
        <v>12338.099112350003</v>
      </c>
      <c r="P62" s="1823"/>
      <c r="Q62" s="2320"/>
      <c r="R62" s="2337"/>
      <c r="S62" s="2337"/>
      <c r="T62" s="1754"/>
      <c r="U62" s="1754"/>
    </row>
    <row r="63" spans="1:23" ht="20.45" customHeight="1">
      <c r="A63" s="1824"/>
      <c r="B63" s="1825"/>
      <c r="C63" s="1826"/>
      <c r="D63" s="2343"/>
      <c r="E63" s="1828"/>
      <c r="F63" s="1829"/>
      <c r="G63" s="1828"/>
      <c r="H63" s="1829"/>
      <c r="I63" s="2294"/>
      <c r="J63" s="1827"/>
      <c r="K63" s="2294"/>
      <c r="L63" s="4829" t="s">
        <v>1220</v>
      </c>
      <c r="M63" s="4829"/>
      <c r="N63" s="4829"/>
      <c r="O63" s="4829"/>
      <c r="P63" s="4829"/>
      <c r="Q63" s="2344"/>
      <c r="R63" s="2337"/>
      <c r="S63" s="2337"/>
      <c r="T63" s="1754"/>
      <c r="U63" s="1754"/>
    </row>
    <row r="64" spans="1:23" ht="20.45" customHeight="1">
      <c r="A64" s="4830"/>
      <c r="B64" s="4830"/>
      <c r="C64" s="4830"/>
      <c r="D64" s="4830"/>
      <c r="E64" s="4830"/>
      <c r="F64" s="1830"/>
      <c r="G64" s="1830"/>
      <c r="H64" s="4831"/>
      <c r="I64" s="4831"/>
      <c r="J64" s="4831"/>
      <c r="K64" s="2309"/>
      <c r="L64" s="4830" t="s">
        <v>827</v>
      </c>
      <c r="M64" s="4830"/>
      <c r="N64" s="4830"/>
      <c r="O64" s="4830"/>
      <c r="P64" s="4830"/>
      <c r="Q64" s="2308"/>
      <c r="R64" s="1754"/>
      <c r="S64" s="1754"/>
      <c r="T64" s="1754"/>
      <c r="U64" s="1754"/>
    </row>
    <row r="65" spans="1:17" ht="20.45" customHeight="1">
      <c r="A65" s="1831"/>
      <c r="B65" s="1832"/>
      <c r="C65" s="1833"/>
      <c r="D65" s="2345"/>
      <c r="E65" s="1834"/>
      <c r="F65" s="1833"/>
      <c r="G65" s="1835"/>
      <c r="H65" s="1833"/>
      <c r="I65" s="2346"/>
      <c r="J65" s="2310"/>
      <c r="K65" s="2346"/>
      <c r="L65" s="2345"/>
      <c r="M65" s="1836"/>
      <c r="N65" s="1837"/>
      <c r="O65" s="4353"/>
      <c r="P65" s="4353"/>
      <c r="Q65" s="2310"/>
    </row>
    <row r="66" spans="1:17" ht="20.45" customHeight="1">
      <c r="A66" s="1831"/>
      <c r="B66" s="1832"/>
      <c r="C66" s="1832"/>
      <c r="D66" s="2347"/>
      <c r="E66" s="1838"/>
      <c r="F66" s="1839"/>
      <c r="G66" s="1748"/>
      <c r="H66" s="1839"/>
      <c r="I66" s="2315"/>
      <c r="J66" s="2348"/>
      <c r="K66" s="2349"/>
      <c r="L66" s="2350"/>
      <c r="M66" s="1840"/>
      <c r="N66" s="1839"/>
      <c r="P66" s="1831"/>
      <c r="Q66" s="1831"/>
    </row>
    <row r="67" spans="1:17" ht="20.45" customHeight="1">
      <c r="A67" s="1831"/>
      <c r="B67" s="1832"/>
      <c r="C67" s="1832"/>
      <c r="D67" s="2347"/>
      <c r="E67" s="1838"/>
      <c r="F67" s="1839"/>
      <c r="G67" s="1748"/>
      <c r="H67" s="1839"/>
      <c r="I67" s="2315"/>
      <c r="J67" s="2348"/>
      <c r="K67" s="2349"/>
      <c r="L67" s="2350"/>
      <c r="M67" s="1840"/>
      <c r="N67" s="1839"/>
      <c r="P67" s="1831"/>
      <c r="Q67" s="1831"/>
    </row>
    <row r="68" spans="1:17" ht="21.75" customHeight="1">
      <c r="A68" s="4844"/>
      <c r="B68" s="4844"/>
      <c r="C68" s="4844"/>
      <c r="D68" s="4844"/>
      <c r="E68" s="4844"/>
      <c r="F68" s="1842"/>
      <c r="G68" s="1843"/>
      <c r="H68" s="4824"/>
      <c r="I68" s="4824"/>
      <c r="J68" s="4824"/>
      <c r="K68" s="2351"/>
      <c r="L68" s="2352"/>
      <c r="M68" s="4824"/>
      <c r="N68" s="4824"/>
      <c r="O68" s="4824"/>
      <c r="P68" s="4824"/>
      <c r="Q68" s="2311"/>
    </row>
    <row r="69" spans="1:17" ht="17.45" customHeight="1">
      <c r="A69" s="4358" t="s">
        <v>828</v>
      </c>
      <c r="B69" s="4358"/>
      <c r="C69" s="4358"/>
      <c r="D69" s="4358"/>
      <c r="E69" s="4358"/>
      <c r="F69" s="4358"/>
      <c r="G69" s="4358"/>
      <c r="H69" s="4358"/>
      <c r="I69" s="4358"/>
      <c r="J69" s="4358"/>
      <c r="K69" s="4358"/>
      <c r="L69" s="4358"/>
      <c r="M69" s="4358"/>
      <c r="N69" s="4358"/>
      <c r="O69" s="4358"/>
      <c r="P69" s="4358"/>
      <c r="Q69" s="2312"/>
    </row>
    <row r="70" spans="1:17" ht="27.75" customHeight="1">
      <c r="A70" s="4343" t="s">
        <v>1221</v>
      </c>
      <c r="B70" s="4343"/>
      <c r="C70" s="4343"/>
      <c r="D70" s="4343"/>
      <c r="E70" s="4343"/>
      <c r="F70" s="4343"/>
      <c r="G70" s="4343"/>
      <c r="H70" s="4343"/>
      <c r="I70" s="4343"/>
      <c r="J70" s="4343"/>
      <c r="K70" s="4343"/>
      <c r="L70" s="4343"/>
      <c r="M70" s="4343"/>
      <c r="N70" s="4343"/>
      <c r="O70" s="4343"/>
      <c r="P70" s="4343"/>
      <c r="Q70" s="2313"/>
    </row>
    <row r="71" spans="1:17" ht="27.75" customHeight="1"/>
    <row r="72" spans="1:17" ht="27.75" customHeight="1"/>
    <row r="73" spans="1:17" ht="27.75" customHeight="1">
      <c r="N73" s="1845"/>
    </row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8" ht="10.5" customHeight="1"/>
    <row r="109" ht="10.5" customHeight="1"/>
    <row r="110" ht="10.5" customHeight="1"/>
    <row r="111" ht="10.5" customHeight="1"/>
    <row r="112" ht="10.5" customHeight="1"/>
    <row r="113" ht="6" customHeight="1"/>
  </sheetData>
  <mergeCells count="84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R21:S21"/>
    <mergeCell ref="N25:N26"/>
    <mergeCell ref="O25:O26"/>
    <mergeCell ref="P25:P26"/>
    <mergeCell ref="A28:A29"/>
    <mergeCell ref="B28:B29"/>
    <mergeCell ref="C28:C29"/>
    <mergeCell ref="D28:D29"/>
    <mergeCell ref="M28:M29"/>
    <mergeCell ref="N28:N29"/>
    <mergeCell ref="O28:O29"/>
    <mergeCell ref="A25:A26"/>
    <mergeCell ref="B25:B26"/>
    <mergeCell ref="C25:C26"/>
    <mergeCell ref="D25:D26"/>
    <mergeCell ref="M25:M26"/>
    <mergeCell ref="A37:A40"/>
    <mergeCell ref="B37:B40"/>
    <mergeCell ref="C37:C38"/>
    <mergeCell ref="D37:D38"/>
    <mergeCell ref="M37:M38"/>
    <mergeCell ref="N42:N48"/>
    <mergeCell ref="O37:O38"/>
    <mergeCell ref="P37:P38"/>
    <mergeCell ref="C39:C40"/>
    <mergeCell ref="D39:D40"/>
    <mergeCell ref="M39:M40"/>
    <mergeCell ref="N39:N40"/>
    <mergeCell ref="O39:O40"/>
    <mergeCell ref="P39:P40"/>
    <mergeCell ref="N37:N38"/>
    <mergeCell ref="N58:N59"/>
    <mergeCell ref="O65:P65"/>
    <mergeCell ref="A68:E68"/>
    <mergeCell ref="O42:O48"/>
    <mergeCell ref="A55:A56"/>
    <mergeCell ref="B55:B56"/>
    <mergeCell ref="C55:C56"/>
    <mergeCell ref="D55:D56"/>
    <mergeCell ref="M55:M56"/>
    <mergeCell ref="N55:N56"/>
    <mergeCell ref="O55:O56"/>
    <mergeCell ref="A42:A48"/>
    <mergeCell ref="B42:B48"/>
    <mergeCell ref="C42:C48"/>
    <mergeCell ref="D42:D48"/>
    <mergeCell ref="M42:M48"/>
    <mergeCell ref="H68:J68"/>
    <mergeCell ref="M68:P68"/>
    <mergeCell ref="A69:P69"/>
    <mergeCell ref="A70:P70"/>
    <mergeCell ref="O58:O59"/>
    <mergeCell ref="E61:J61"/>
    <mergeCell ref="A62:C62"/>
    <mergeCell ref="L63:P63"/>
    <mergeCell ref="A64:E64"/>
    <mergeCell ref="H64:J64"/>
    <mergeCell ref="L64:P64"/>
    <mergeCell ref="A58:A59"/>
    <mergeCell ref="B58:B59"/>
    <mergeCell ref="C58:C59"/>
    <mergeCell ref="D58:D59"/>
    <mergeCell ref="M58:M5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opLeftCell="A31" workbookViewId="0">
      <selection sqref="A1:XFD1048576"/>
    </sheetView>
  </sheetViews>
  <sheetFormatPr defaultRowHeight="15.75"/>
  <cols>
    <col min="1" max="1" width="3.75" style="1846" customWidth="1"/>
    <col min="2" max="2" width="32.25" style="1847" customWidth="1"/>
    <col min="3" max="3" width="5.375" style="1849" customWidth="1"/>
    <col min="4" max="4" width="5.375" style="2353" customWidth="1"/>
    <col min="5" max="5" width="5.375" style="1850" customWidth="1"/>
    <col min="6" max="6" width="5.375" style="1851" customWidth="1"/>
    <col min="7" max="7" width="5.375" style="1852" customWidth="1"/>
    <col min="8" max="8" width="5.375" style="1851" customWidth="1"/>
    <col min="9" max="9" width="5.375" style="2354" customWidth="1"/>
    <col min="10" max="10" width="5.375" style="2355" customWidth="1"/>
    <col min="11" max="11" width="5.375" style="2356" customWidth="1"/>
    <col min="12" max="12" width="5.375" style="2357" customWidth="1"/>
    <col min="13" max="13" width="6" style="1853" customWidth="1"/>
    <col min="14" max="14" width="4.625" style="2355" customWidth="1"/>
    <col min="15" max="15" width="8.375" style="1841" customWidth="1"/>
    <col min="16" max="16" width="7.25" style="1854" customWidth="1"/>
    <col min="17" max="17" width="10" style="1854" customWidth="1"/>
    <col min="18" max="18" width="8.875" style="2358" bestFit="1" customWidth="1"/>
    <col min="19" max="19" width="8.375" bestFit="1" customWidth="1"/>
    <col min="20" max="20" width="9.375" customWidth="1"/>
    <col min="21" max="21" width="9.75" customWidth="1"/>
    <col min="22" max="22" width="9.25" customWidth="1"/>
  </cols>
  <sheetData>
    <row r="1" spans="1:23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  <c r="R1"/>
    </row>
    <row r="2" spans="1:23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  <c r="R2"/>
    </row>
    <row r="3" spans="1:23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  <c r="R3"/>
    </row>
    <row r="4" spans="1:23">
      <c r="A4" s="4340" t="s">
        <v>809</v>
      </c>
      <c r="B4" s="4340"/>
      <c r="C4" s="4340"/>
      <c r="D4" s="4340"/>
      <c r="E4" s="4340"/>
      <c r="F4" s="4340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295"/>
      <c r="R4"/>
    </row>
    <row r="5" spans="1:23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295"/>
      <c r="R5"/>
    </row>
    <row r="6" spans="1:23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</row>
    <row r="7" spans="1:23" ht="18.75">
      <c r="A7" s="4858" t="s">
        <v>1222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296"/>
      <c r="R7" s="1791"/>
      <c r="S7" s="1754"/>
      <c r="T7" s="1754"/>
      <c r="U7" s="1754"/>
      <c r="V7" s="1754"/>
      <c r="W7" s="1754"/>
    </row>
    <row r="8" spans="1:23" ht="15">
      <c r="A8" s="4872" t="s">
        <v>1035</v>
      </c>
      <c r="B8" s="4872"/>
      <c r="C8" s="4872"/>
      <c r="D8" s="4872"/>
      <c r="E8" s="4872"/>
      <c r="F8" s="4872"/>
      <c r="G8" s="4872"/>
      <c r="H8" s="4872"/>
      <c r="I8" s="4872"/>
      <c r="J8" s="4872"/>
      <c r="K8" s="4872"/>
      <c r="L8" s="4872"/>
      <c r="M8" s="4872"/>
      <c r="N8" s="4872"/>
      <c r="O8" s="4872"/>
      <c r="P8" s="4872"/>
      <c r="Q8" s="2294"/>
      <c r="R8" s="1791"/>
      <c r="S8" s="1754"/>
      <c r="T8" s="1754"/>
      <c r="U8" s="1754"/>
      <c r="V8" s="1754"/>
      <c r="W8" s="1754"/>
    </row>
    <row r="9" spans="1:23" ht="23.25" customHeight="1">
      <c r="A9" s="4860" t="s">
        <v>19</v>
      </c>
      <c r="B9" s="4860" t="s">
        <v>1206</v>
      </c>
      <c r="C9" s="4861" t="s">
        <v>7</v>
      </c>
      <c r="D9" s="4862" t="s">
        <v>361</v>
      </c>
      <c r="E9" s="4873" t="s">
        <v>1223</v>
      </c>
      <c r="F9" s="4874"/>
      <c r="G9" s="4874"/>
      <c r="H9" s="4874"/>
      <c r="I9" s="4874"/>
      <c r="J9" s="4874"/>
      <c r="K9" s="4874"/>
      <c r="L9" s="4875"/>
      <c r="M9" s="4876" t="s">
        <v>1021</v>
      </c>
      <c r="N9" s="4863" t="s">
        <v>812</v>
      </c>
      <c r="O9" s="4878" t="s">
        <v>47</v>
      </c>
      <c r="P9" s="4865" t="s">
        <v>813</v>
      </c>
      <c r="Q9" s="2317"/>
      <c r="R9" s="1791"/>
      <c r="S9" s="1754"/>
      <c r="T9" s="1754"/>
      <c r="U9" s="1754"/>
      <c r="V9" s="1754"/>
      <c r="W9" s="1754"/>
    </row>
    <row r="10" spans="1:23" ht="31.5" customHeight="1">
      <c r="A10" s="4860"/>
      <c r="B10" s="4860"/>
      <c r="C10" s="4861"/>
      <c r="D10" s="4862"/>
      <c r="E10" s="1755" t="s">
        <v>814</v>
      </c>
      <c r="F10" s="1755" t="s">
        <v>815</v>
      </c>
      <c r="G10" s="1755" t="s">
        <v>814</v>
      </c>
      <c r="H10" s="1755" t="s">
        <v>815</v>
      </c>
      <c r="I10" s="1755" t="s">
        <v>814</v>
      </c>
      <c r="J10" s="1755" t="s">
        <v>815</v>
      </c>
      <c r="K10" s="1755" t="s">
        <v>814</v>
      </c>
      <c r="L10" s="1756" t="s">
        <v>815</v>
      </c>
      <c r="M10" s="4877"/>
      <c r="N10" s="4863"/>
      <c r="O10" s="4879"/>
      <c r="P10" s="4865"/>
      <c r="Q10" s="2317"/>
      <c r="R10" s="1791"/>
      <c r="S10" s="1754"/>
      <c r="T10" s="1754"/>
      <c r="U10" s="1754"/>
      <c r="V10" s="1754"/>
      <c r="W10" s="1754"/>
    </row>
    <row r="11" spans="1:23" ht="21.75" customHeight="1">
      <c r="A11" s="1758" t="s">
        <v>52</v>
      </c>
      <c r="B11" s="1759" t="s">
        <v>816</v>
      </c>
      <c r="C11" s="1760"/>
      <c r="D11" s="2318"/>
      <c r="E11" s="1761"/>
      <c r="F11" s="1761"/>
      <c r="G11" s="1761"/>
      <c r="H11" s="1761"/>
      <c r="I11" s="1761"/>
      <c r="J11" s="1761"/>
      <c r="K11" s="1761"/>
      <c r="L11" s="1762"/>
      <c r="M11" s="1763"/>
      <c r="N11" s="1761"/>
      <c r="O11" s="1764"/>
      <c r="P11" s="1765"/>
      <c r="Q11" s="2319"/>
      <c r="R11" s="1791"/>
      <c r="S11" s="1754"/>
      <c r="T11" s="1754"/>
      <c r="U11" s="1754"/>
      <c r="V11" s="1754"/>
      <c r="W11" s="1754"/>
    </row>
    <row r="12" spans="1:23" ht="19.5" customHeight="1">
      <c r="A12" s="1766" t="s">
        <v>147</v>
      </c>
      <c r="B12" s="1767" t="s">
        <v>817</v>
      </c>
      <c r="C12" s="1780"/>
      <c r="D12" s="1770"/>
      <c r="E12" s="2293"/>
      <c r="F12" s="2293"/>
      <c r="G12" s="2293"/>
      <c r="H12" s="2293"/>
      <c r="I12" s="2293"/>
      <c r="J12" s="2293"/>
      <c r="K12" s="2293"/>
      <c r="L12" s="2321"/>
      <c r="M12" s="1771"/>
      <c r="N12" s="1769"/>
      <c r="O12" s="1772"/>
      <c r="P12" s="1773"/>
      <c r="Q12" s="2320"/>
      <c r="R12" s="1791"/>
      <c r="S12" s="1754"/>
      <c r="T12" s="1754"/>
      <c r="U12" s="1754"/>
      <c r="V12" s="1754"/>
      <c r="W12" s="1754"/>
    </row>
    <row r="13" spans="1:23" ht="19.5" customHeight="1">
      <c r="A13" s="1774">
        <v>1</v>
      </c>
      <c r="B13" s="1775" t="s">
        <v>49</v>
      </c>
      <c r="C13" s="1776" t="s">
        <v>818</v>
      </c>
      <c r="D13" s="2321"/>
      <c r="E13" s="2293"/>
      <c r="F13" s="2293"/>
      <c r="G13" s="2293"/>
      <c r="H13" s="2293"/>
      <c r="I13" s="2293"/>
      <c r="J13" s="2293"/>
      <c r="K13" s="2293"/>
      <c r="L13" s="2321"/>
      <c r="M13" s="1771"/>
      <c r="N13" s="2293"/>
      <c r="O13" s="1772"/>
      <c r="P13" s="1777"/>
      <c r="Q13" s="2322"/>
      <c r="R13" s="1791"/>
      <c r="S13" s="1754"/>
      <c r="T13" s="1754"/>
      <c r="U13" s="1754"/>
      <c r="V13" s="1754"/>
      <c r="W13" s="1754"/>
    </row>
    <row r="14" spans="1:23" ht="19.5" customHeight="1">
      <c r="A14" s="1774">
        <v>2</v>
      </c>
      <c r="B14" s="1775" t="s">
        <v>819</v>
      </c>
      <c r="C14" s="1776" t="s">
        <v>818</v>
      </c>
      <c r="D14" s="2321"/>
      <c r="E14" s="2293"/>
      <c r="F14" s="2293"/>
      <c r="G14" s="2293"/>
      <c r="H14" s="2293"/>
      <c r="I14" s="2293"/>
      <c r="J14" s="2293"/>
      <c r="K14" s="2293"/>
      <c r="L14" s="2321"/>
      <c r="M14" s="1778"/>
      <c r="N14" s="2293"/>
      <c r="O14" s="1772"/>
      <c r="P14" s="1779"/>
      <c r="Q14" s="2324"/>
      <c r="R14" s="1791"/>
      <c r="S14" s="1754"/>
      <c r="T14" s="1754"/>
      <c r="U14" s="1754"/>
      <c r="V14" s="1754"/>
      <c r="W14" s="1754"/>
    </row>
    <row r="15" spans="1:23" ht="19.5" customHeight="1">
      <c r="A15" s="1766" t="s">
        <v>148</v>
      </c>
      <c r="B15" s="1767" t="s">
        <v>820</v>
      </c>
      <c r="C15" s="1780"/>
      <c r="D15" s="1770"/>
      <c r="E15" s="2293"/>
      <c r="F15" s="2293"/>
      <c r="G15" s="2293"/>
      <c r="H15" s="2293"/>
      <c r="I15" s="2293"/>
      <c r="J15" s="2293"/>
      <c r="K15" s="2293"/>
      <c r="L15" s="2321"/>
      <c r="M15" s="1771"/>
      <c r="N15" s="1769"/>
      <c r="O15" s="1772">
        <f>SUM(O16:O19)</f>
        <v>0</v>
      </c>
      <c r="P15" s="1773"/>
      <c r="Q15" s="2320"/>
      <c r="R15" s="1791"/>
      <c r="S15" s="1754"/>
      <c r="T15" s="1754"/>
      <c r="U15" s="1754"/>
      <c r="V15" s="1754"/>
      <c r="W15" s="1754"/>
    </row>
    <row r="16" spans="1:23" ht="19.5" customHeight="1">
      <c r="A16" s="1774">
        <v>1</v>
      </c>
      <c r="B16" s="1775" t="s">
        <v>821</v>
      </c>
      <c r="C16" s="1781" t="s">
        <v>362</v>
      </c>
      <c r="D16" s="2321"/>
      <c r="E16" s="4855"/>
      <c r="F16" s="4855"/>
      <c r="G16" s="4855"/>
      <c r="H16" s="4855"/>
      <c r="I16" s="4855"/>
      <c r="J16" s="4855"/>
      <c r="K16" s="4855"/>
      <c r="L16" s="4855"/>
      <c r="M16" s="1771"/>
      <c r="N16" s="2293"/>
      <c r="O16" s="1782"/>
      <c r="P16" s="1779"/>
      <c r="Q16" s="2324"/>
      <c r="R16" s="1791"/>
      <c r="S16" s="1754"/>
      <c r="T16" s="1754"/>
      <c r="U16" s="1754"/>
      <c r="V16" s="1754"/>
      <c r="W16" s="1754"/>
    </row>
    <row r="17" spans="1:24" ht="19.5" customHeight="1">
      <c r="A17" s="1774">
        <v>2</v>
      </c>
      <c r="B17" s="1775" t="s">
        <v>822</v>
      </c>
      <c r="C17" s="1776" t="s">
        <v>362</v>
      </c>
      <c r="D17" s="2321"/>
      <c r="E17" s="4855"/>
      <c r="F17" s="4855"/>
      <c r="G17" s="4855"/>
      <c r="H17" s="4855"/>
      <c r="I17" s="4855"/>
      <c r="J17" s="4855"/>
      <c r="K17" s="4855"/>
      <c r="L17" s="4855"/>
      <c r="M17" s="1771"/>
      <c r="N17" s="2293"/>
      <c r="O17" s="1782"/>
      <c r="P17" s="1779"/>
      <c r="Q17" s="2324"/>
      <c r="R17" s="1791"/>
      <c r="S17" s="1754"/>
      <c r="T17" s="1754"/>
      <c r="U17" s="1754"/>
      <c r="V17" s="1754"/>
      <c r="W17" s="1754"/>
    </row>
    <row r="18" spans="1:24" ht="33.75" customHeight="1">
      <c r="A18" s="1774">
        <v>3</v>
      </c>
      <c r="B18" s="1775" t="s">
        <v>1038</v>
      </c>
      <c r="C18" s="1781" t="s">
        <v>362</v>
      </c>
      <c r="D18" s="2321"/>
      <c r="E18" s="4855"/>
      <c r="F18" s="4855"/>
      <c r="G18" s="4855"/>
      <c r="H18" s="4855"/>
      <c r="I18" s="4855"/>
      <c r="J18" s="4855"/>
      <c r="K18" s="4855"/>
      <c r="L18" s="4855"/>
      <c r="M18" s="1771"/>
      <c r="N18" s="2293"/>
      <c r="O18" s="1782"/>
      <c r="P18" s="1779"/>
      <c r="Q18" s="2324"/>
      <c r="R18" s="1791"/>
      <c r="S18" s="1754"/>
      <c r="T18" s="1754"/>
      <c r="U18" s="1754"/>
      <c r="V18" s="1754"/>
      <c r="W18" s="1754"/>
    </row>
    <row r="19" spans="1:24" ht="22.5" customHeight="1">
      <c r="A19" s="1774">
        <v>4</v>
      </c>
      <c r="B19" s="1775" t="s">
        <v>1040</v>
      </c>
      <c r="C19" s="1776" t="s">
        <v>362</v>
      </c>
      <c r="D19" s="2321"/>
      <c r="E19" s="4855"/>
      <c r="F19" s="4855"/>
      <c r="G19" s="4855"/>
      <c r="H19" s="4855"/>
      <c r="I19" s="4855"/>
      <c r="J19" s="4855"/>
      <c r="K19" s="4855"/>
      <c r="L19" s="4855"/>
      <c r="M19" s="1771"/>
      <c r="N19" s="2293"/>
      <c r="O19" s="1782"/>
      <c r="P19" s="1779"/>
      <c r="Q19" s="2324"/>
      <c r="R19" s="1791"/>
      <c r="S19" s="1754"/>
      <c r="T19" s="1754"/>
      <c r="U19" s="1754"/>
      <c r="V19" s="1754"/>
      <c r="W19" s="1754"/>
    </row>
    <row r="20" spans="1:24" ht="27.75" customHeight="1">
      <c r="A20" s="1783" t="s">
        <v>149</v>
      </c>
      <c r="B20" s="1784" t="s">
        <v>956</v>
      </c>
      <c r="C20" s="1781"/>
      <c r="D20" s="1814"/>
      <c r="E20" s="1787"/>
      <c r="F20" s="1787"/>
      <c r="G20" s="1787"/>
      <c r="H20" s="1787"/>
      <c r="I20" s="1789"/>
      <c r="J20" s="1789"/>
      <c r="K20" s="1789"/>
      <c r="L20" s="2325"/>
      <c r="M20" s="1788"/>
      <c r="N20" s="1789"/>
      <c r="O20" s="1790">
        <f>+O21+O27+O37+O29</f>
        <v>3057.0978123049999</v>
      </c>
      <c r="P20" s="2326"/>
      <c r="Q20" s="2327"/>
      <c r="R20" s="1791"/>
      <c r="S20" s="1754"/>
      <c r="T20" s="1754"/>
      <c r="U20" s="1754"/>
      <c r="V20" s="1754"/>
      <c r="W20" s="1754"/>
    </row>
    <row r="21" spans="1:24" ht="27.75" customHeight="1">
      <c r="A21" s="1783">
        <v>1</v>
      </c>
      <c r="B21" s="1784" t="s">
        <v>927</v>
      </c>
      <c r="C21" s="1781"/>
      <c r="D21" s="1814"/>
      <c r="E21" s="1787"/>
      <c r="F21" s="1787"/>
      <c r="G21" s="1787"/>
      <c r="H21" s="1787"/>
      <c r="I21" s="1789"/>
      <c r="J21" s="1789"/>
      <c r="K21" s="1789"/>
      <c r="L21" s="2325"/>
      <c r="M21" s="1788"/>
      <c r="N21" s="1789"/>
      <c r="O21" s="1790">
        <f>+SUM(O22:O26)</f>
        <v>705.3</v>
      </c>
      <c r="P21" s="2326"/>
      <c r="Q21" s="2327"/>
      <c r="R21" s="1791"/>
      <c r="S21" s="1754"/>
      <c r="T21" s="1754"/>
      <c r="U21" s="1754"/>
      <c r="V21" s="1791"/>
      <c r="W21" s="1791"/>
    </row>
    <row r="22" spans="1:24" ht="35.25" customHeight="1">
      <c r="A22" s="1792" t="s">
        <v>837</v>
      </c>
      <c r="B22" s="2335" t="s">
        <v>1224</v>
      </c>
      <c r="C22" s="1781" t="s">
        <v>957</v>
      </c>
      <c r="D22" s="1814">
        <f>25000/187500</f>
        <v>0.13333333333333333</v>
      </c>
      <c r="E22" s="1804"/>
      <c r="F22" s="1794"/>
      <c r="G22" s="1805"/>
      <c r="H22" s="1796"/>
      <c r="I22" s="1804"/>
      <c r="J22" s="1796"/>
      <c r="K22" s="1789"/>
      <c r="L22" s="2325"/>
      <c r="M22" s="1788">
        <v>13</v>
      </c>
      <c r="N22" s="1789">
        <v>1</v>
      </c>
      <c r="O22" s="1782">
        <f>ROUND((M22/D22)*N22,9)</f>
        <v>97.5</v>
      </c>
      <c r="P22" s="2326"/>
      <c r="Q22" s="2327"/>
      <c r="R22" s="1791"/>
      <c r="S22" s="1754"/>
      <c r="T22" s="1754"/>
      <c r="U22" s="1754"/>
      <c r="V22" s="1791"/>
      <c r="W22" s="1791"/>
    </row>
    <row r="23" spans="1:24" ht="32.25" customHeight="1">
      <c r="A23" s="1792" t="s">
        <v>838</v>
      </c>
      <c r="B23" s="1775" t="s">
        <v>204</v>
      </c>
      <c r="C23" s="1781" t="s">
        <v>957</v>
      </c>
      <c r="D23" s="1814">
        <v>1.25</v>
      </c>
      <c r="E23" s="1804"/>
      <c r="F23" s="1794"/>
      <c r="G23" s="1805"/>
      <c r="H23" s="1796"/>
      <c r="I23" s="1804"/>
      <c r="J23" s="1796"/>
      <c r="K23" s="1789"/>
      <c r="L23" s="2325"/>
      <c r="M23" s="1788">
        <v>13</v>
      </c>
      <c r="N23" s="1789">
        <v>1</v>
      </c>
      <c r="O23" s="1782">
        <f>ROUND((M23/D23)*N23,9)</f>
        <v>10.4</v>
      </c>
      <c r="P23" s="2326"/>
      <c r="Q23" s="2327"/>
      <c r="R23" s="1791"/>
      <c r="S23" s="1754"/>
      <c r="T23" s="1754"/>
      <c r="U23" s="1754"/>
      <c r="V23" s="1791"/>
      <c r="W23" s="1791"/>
    </row>
    <row r="24" spans="1:24" ht="27.75" customHeight="1">
      <c r="A24" s="4832" t="s">
        <v>1044</v>
      </c>
      <c r="B24" s="4834" t="s">
        <v>1046</v>
      </c>
      <c r="C24" s="4836" t="s">
        <v>1047</v>
      </c>
      <c r="D24" s="4838">
        <f>1/16</f>
        <v>6.25E-2</v>
      </c>
      <c r="E24" s="1805" t="s">
        <v>1048</v>
      </c>
      <c r="F24" s="1796">
        <v>3.16</v>
      </c>
      <c r="G24" s="1804" t="s">
        <v>1049</v>
      </c>
      <c r="H24" s="1796">
        <v>6.09</v>
      </c>
      <c r="I24" s="1789" t="s">
        <v>1050</v>
      </c>
      <c r="J24" s="2325">
        <v>9.84</v>
      </c>
      <c r="K24" s="1805" t="s">
        <v>1057</v>
      </c>
      <c r="L24" s="2359">
        <v>3.99</v>
      </c>
      <c r="M24" s="4840">
        <f>+F24+H24+J24+F25+H25+L24</f>
        <v>33.489999999999995</v>
      </c>
      <c r="N24" s="4842">
        <v>1</v>
      </c>
      <c r="O24" s="4825">
        <f>ROUND((M24/D24)*N24,9)</f>
        <v>535.84</v>
      </c>
      <c r="P24" s="2326"/>
      <c r="Q24" s="2327"/>
      <c r="R24" s="1791"/>
      <c r="S24" s="1754"/>
      <c r="T24" s="1754"/>
      <c r="U24" s="1754"/>
      <c r="V24" s="1791"/>
      <c r="W24" s="1791"/>
    </row>
    <row r="25" spans="1:24" ht="27.75" customHeight="1">
      <c r="A25" s="4846"/>
      <c r="B25" s="4847"/>
      <c r="C25" s="4848"/>
      <c r="D25" s="4839"/>
      <c r="E25" s="1805">
        <v>8</v>
      </c>
      <c r="F25" s="1796">
        <f>2.05+1.55</f>
        <v>3.5999999999999996</v>
      </c>
      <c r="G25" s="1804" t="s">
        <v>1070</v>
      </c>
      <c r="H25" s="1796">
        <v>6.81</v>
      </c>
      <c r="I25" s="1789"/>
      <c r="J25" s="2325"/>
      <c r="K25" s="1804"/>
      <c r="L25" s="1796"/>
      <c r="M25" s="4841"/>
      <c r="N25" s="4843"/>
      <c r="O25" s="4826"/>
      <c r="P25" s="2360"/>
      <c r="Q25" s="2327"/>
      <c r="R25" s="1791"/>
      <c r="S25" s="1754"/>
      <c r="T25" s="1754"/>
      <c r="U25" s="1754"/>
      <c r="V25" s="1791"/>
      <c r="W25" s="1791"/>
    </row>
    <row r="26" spans="1:24" ht="27.75" customHeight="1">
      <c r="A26" s="4833"/>
      <c r="B26" s="4835"/>
      <c r="C26" s="4837"/>
      <c r="D26" s="2361">
        <f>1/12</f>
        <v>8.3333333333333329E-2</v>
      </c>
      <c r="E26" s="1804" t="s">
        <v>1056</v>
      </c>
      <c r="F26" s="1796">
        <v>3.36</v>
      </c>
      <c r="G26" s="2325" t="s">
        <v>209</v>
      </c>
      <c r="H26" s="1796">
        <v>1.77</v>
      </c>
      <c r="I26" s="1789"/>
      <c r="J26" s="2325"/>
      <c r="K26" s="1804"/>
      <c r="L26" s="1796"/>
      <c r="M26" s="2307">
        <f>F26+H26</f>
        <v>5.13</v>
      </c>
      <c r="N26" s="2298">
        <v>1</v>
      </c>
      <c r="O26" s="2300">
        <f>ROUND((M26/D26)*N26,9)</f>
        <v>61.56</v>
      </c>
      <c r="P26" s="2360"/>
      <c r="Q26" s="2327"/>
      <c r="R26" s="1791"/>
      <c r="S26" s="1754"/>
      <c r="T26" s="1754"/>
      <c r="U26" s="1754"/>
      <c r="V26" s="1791"/>
      <c r="W26" s="1791"/>
    </row>
    <row r="27" spans="1:24" ht="27.75" customHeight="1">
      <c r="A27" s="1783">
        <v>2</v>
      </c>
      <c r="B27" s="1784" t="s">
        <v>823</v>
      </c>
      <c r="C27" s="1781"/>
      <c r="D27" s="1814"/>
      <c r="E27" s="1787"/>
      <c r="F27" s="1787"/>
      <c r="G27" s="1787"/>
      <c r="H27" s="1787"/>
      <c r="I27" s="1789"/>
      <c r="J27" s="1789"/>
      <c r="K27" s="1789"/>
      <c r="L27" s="2325"/>
      <c r="M27" s="1788"/>
      <c r="N27" s="1789"/>
      <c r="O27" s="1790">
        <f>+SUM(O28:O28)</f>
        <v>18.600000000000001</v>
      </c>
      <c r="P27" s="2326"/>
      <c r="Q27" s="2327"/>
      <c r="R27" s="2362"/>
      <c r="S27" s="1754"/>
      <c r="T27" s="1754"/>
      <c r="U27" s="1754"/>
      <c r="V27" s="1791"/>
      <c r="W27" s="1791"/>
    </row>
    <row r="28" spans="1:24" ht="27.75" customHeight="1">
      <c r="A28" s="1797" t="s">
        <v>967</v>
      </c>
      <c r="B28" s="1775" t="s">
        <v>1046</v>
      </c>
      <c r="C28" s="1781" t="s">
        <v>1047</v>
      </c>
      <c r="D28" s="1814">
        <f>1/12</f>
        <v>8.3333333333333329E-2</v>
      </c>
      <c r="E28" s="1804" t="s">
        <v>1067</v>
      </c>
      <c r="F28" s="1796">
        <v>1.55</v>
      </c>
      <c r="G28" s="1805"/>
      <c r="H28" s="1796"/>
      <c r="I28" s="1805"/>
      <c r="J28" s="1796"/>
      <c r="K28" s="2363"/>
      <c r="L28" s="1801"/>
      <c r="M28" s="1788">
        <f>F28</f>
        <v>1.55</v>
      </c>
      <c r="N28" s="1789">
        <v>1</v>
      </c>
      <c r="O28" s="1782">
        <f t="shared" ref="O28" si="0">ROUND((M28/D28)*N28,9)</f>
        <v>18.600000000000001</v>
      </c>
      <c r="P28" s="2326"/>
      <c r="Q28" s="2327"/>
      <c r="R28" s="2364"/>
      <c r="S28" s="2330" t="s">
        <v>1225</v>
      </c>
      <c r="T28" s="2330" t="s">
        <v>1226</v>
      </c>
      <c r="U28" s="2330" t="s">
        <v>569</v>
      </c>
      <c r="V28" s="2330" t="s">
        <v>1227</v>
      </c>
      <c r="W28" s="2330" t="s">
        <v>1068</v>
      </c>
    </row>
    <row r="29" spans="1:24" ht="21" customHeight="1">
      <c r="A29" s="1783">
        <v>3</v>
      </c>
      <c r="B29" s="1784" t="s">
        <v>824</v>
      </c>
      <c r="C29" s="1781"/>
      <c r="D29" s="1814"/>
      <c r="E29" s="1804"/>
      <c r="F29" s="1796"/>
      <c r="G29" s="1804"/>
      <c r="H29" s="1796"/>
      <c r="I29" s="1805"/>
      <c r="J29" s="1796"/>
      <c r="K29" s="1805"/>
      <c r="L29" s="1796"/>
      <c r="M29" s="1788"/>
      <c r="N29" s="1789"/>
      <c r="O29" s="1790">
        <f>+SUM(O30:O36)</f>
        <v>1389.0959941230001</v>
      </c>
      <c r="P29" s="2326"/>
      <c r="Q29" s="2327"/>
      <c r="R29" s="2364" t="s">
        <v>21</v>
      </c>
      <c r="S29" s="2330">
        <f>M23+M31+M39</f>
        <v>40</v>
      </c>
      <c r="T29" s="2330">
        <f>M22+M30+M38</f>
        <v>64</v>
      </c>
      <c r="U29" s="2365">
        <f>M24+M26+M32+M40+M44+M45+M28</f>
        <v>151.57000000000002</v>
      </c>
      <c r="V29" s="2330">
        <f>M36</f>
        <v>54.75</v>
      </c>
      <c r="W29" s="2330">
        <f>M35+M41</f>
        <v>122.62</v>
      </c>
      <c r="X29" s="2366">
        <f>V29*1.7</f>
        <v>93.075000000000003</v>
      </c>
    </row>
    <row r="30" spans="1:24" ht="38.25" customHeight="1">
      <c r="A30" s="1792" t="s">
        <v>889</v>
      </c>
      <c r="B30" s="2335" t="s">
        <v>1216</v>
      </c>
      <c r="C30" s="1781" t="s">
        <v>957</v>
      </c>
      <c r="D30" s="1814">
        <f>25000/187500</f>
        <v>0.13333333333333333</v>
      </c>
      <c r="E30" s="1804"/>
      <c r="F30" s="1796"/>
      <c r="G30" s="1805"/>
      <c r="H30" s="1796"/>
      <c r="I30" s="1804"/>
      <c r="J30" s="1796"/>
      <c r="K30" s="1804"/>
      <c r="L30" s="1796"/>
      <c r="M30" s="1788">
        <v>41</v>
      </c>
      <c r="N30" s="1789">
        <v>1</v>
      </c>
      <c r="O30" s="1782">
        <f t="shared" ref="O30:O31" si="1">ROUND((M30/D30)*N30,9)</f>
        <v>307.5</v>
      </c>
      <c r="P30" s="2326"/>
      <c r="Q30" s="2327"/>
      <c r="R30" s="2364" t="s">
        <v>362</v>
      </c>
      <c r="S30" s="2330">
        <f>O23+O31+O39</f>
        <v>32</v>
      </c>
      <c r="T30" s="2330">
        <f>O22+O30+O38</f>
        <v>480</v>
      </c>
      <c r="U30" s="2330">
        <f>O24+O26+O28+O32+O40+O44+O45</f>
        <v>2175.2800000000002</v>
      </c>
      <c r="V30" s="2330">
        <f>O36</f>
        <v>262.84205472899998</v>
      </c>
      <c r="W30" s="2330">
        <f>O35+O41</f>
        <v>371.575757576</v>
      </c>
      <c r="X30">
        <v>199.929617009677</v>
      </c>
    </row>
    <row r="31" spans="1:24" ht="18.75" customHeight="1">
      <c r="A31" s="1792" t="s">
        <v>968</v>
      </c>
      <c r="B31" s="1775" t="s">
        <v>204</v>
      </c>
      <c r="C31" s="1781" t="s">
        <v>957</v>
      </c>
      <c r="D31" s="1814">
        <v>1.25</v>
      </c>
      <c r="E31" s="1804"/>
      <c r="F31" s="1796"/>
      <c r="G31" s="1805"/>
      <c r="H31" s="1796"/>
      <c r="I31" s="1805"/>
      <c r="J31" s="1796"/>
      <c r="K31" s="2363"/>
      <c r="L31" s="1801"/>
      <c r="M31" s="1788">
        <v>22</v>
      </c>
      <c r="N31" s="1789">
        <v>1</v>
      </c>
      <c r="O31" s="1782">
        <f t="shared" si="1"/>
        <v>17.600000000000001</v>
      </c>
      <c r="P31" s="2326"/>
      <c r="Q31" s="2327"/>
      <c r="R31" s="2328" t="s">
        <v>1228</v>
      </c>
      <c r="S31" s="2328">
        <f>S30*25000</f>
        <v>800000</v>
      </c>
      <c r="T31" s="2328">
        <f>T30*25000</f>
        <v>12000000</v>
      </c>
      <c r="U31" s="2328">
        <f>U30*25000</f>
        <v>54382000.000000007</v>
      </c>
      <c r="V31" s="2328">
        <f>V30*25000</f>
        <v>6571051.3682249999</v>
      </c>
      <c r="W31" s="2328">
        <f>W30*25000</f>
        <v>9289393.9394000005</v>
      </c>
    </row>
    <row r="32" spans="1:24" ht="18.75" customHeight="1">
      <c r="A32" s="4832" t="s">
        <v>1076</v>
      </c>
      <c r="B32" s="4834" t="s">
        <v>1046</v>
      </c>
      <c r="C32" s="4836" t="s">
        <v>1047</v>
      </c>
      <c r="D32" s="4838">
        <f>1/16</f>
        <v>6.25E-2</v>
      </c>
      <c r="E32" s="1804" t="s">
        <v>1081</v>
      </c>
      <c r="F32" s="1800">
        <v>5.78</v>
      </c>
      <c r="G32" s="1804" t="s">
        <v>1081</v>
      </c>
      <c r="H32" s="1796">
        <v>3.09</v>
      </c>
      <c r="I32" s="1804" t="s">
        <v>1082</v>
      </c>
      <c r="J32" s="1796">
        <v>11.11</v>
      </c>
      <c r="K32" s="1804">
        <v>9</v>
      </c>
      <c r="L32" s="1800">
        <v>2.46</v>
      </c>
      <c r="M32" s="4840">
        <f>F32+H32+J32+L32+F33+H33+J33+L33+F34</f>
        <v>49.110000000000007</v>
      </c>
      <c r="N32" s="4842">
        <v>1</v>
      </c>
      <c r="O32" s="4825">
        <f>ROUND((M32/D32)*N32,9)</f>
        <v>785.76</v>
      </c>
      <c r="P32" s="2326"/>
      <c r="Q32" s="2327"/>
      <c r="R32" s="1791"/>
      <c r="S32" s="1754"/>
      <c r="T32" s="1754"/>
      <c r="U32" s="1754"/>
      <c r="V32" s="1754"/>
      <c r="W32" s="1754">
        <f>W29*200</f>
        <v>24524</v>
      </c>
    </row>
    <row r="33" spans="1:23" ht="18.75" customHeight="1">
      <c r="A33" s="4846"/>
      <c r="B33" s="4847"/>
      <c r="C33" s="4848"/>
      <c r="D33" s="4849"/>
      <c r="E33" s="1804" t="s">
        <v>1057</v>
      </c>
      <c r="F33" s="1796">
        <v>1.64</v>
      </c>
      <c r="G33" s="1804" t="s">
        <v>209</v>
      </c>
      <c r="H33" s="1796">
        <v>2.87</v>
      </c>
      <c r="I33" s="1804" t="s">
        <v>1071</v>
      </c>
      <c r="J33" s="2367">
        <v>2.96</v>
      </c>
      <c r="K33" s="1804" t="s">
        <v>158</v>
      </c>
      <c r="L33" s="1796">
        <v>12.57</v>
      </c>
      <c r="M33" s="4850"/>
      <c r="N33" s="4851"/>
      <c r="O33" s="4845"/>
      <c r="P33" s="2326"/>
      <c r="Q33" s="2327"/>
      <c r="R33" s="1791"/>
      <c r="S33" s="1754"/>
      <c r="T33" s="1754"/>
      <c r="U33" s="1754"/>
      <c r="V33" s="1754"/>
      <c r="W33" s="1754"/>
    </row>
    <row r="34" spans="1:23" ht="18.75" customHeight="1">
      <c r="A34" s="4833"/>
      <c r="B34" s="4835"/>
      <c r="C34" s="4837"/>
      <c r="D34" s="4839"/>
      <c r="E34" s="1804" t="s">
        <v>159</v>
      </c>
      <c r="F34" s="2367">
        <v>6.63</v>
      </c>
      <c r="G34" s="1804"/>
      <c r="H34" s="1796"/>
      <c r="I34" s="1804"/>
      <c r="J34" s="1796"/>
      <c r="K34" s="1804"/>
      <c r="L34" s="2325"/>
      <c r="M34" s="4841"/>
      <c r="N34" s="4843"/>
      <c r="O34" s="4826"/>
      <c r="P34" s="2326"/>
      <c r="Q34" s="2327"/>
      <c r="R34" s="1791"/>
      <c r="S34" s="1754"/>
      <c r="T34" s="1754"/>
      <c r="U34" s="1754"/>
      <c r="V34" s="1754"/>
      <c r="W34" s="1754"/>
    </row>
    <row r="35" spans="1:23" ht="18.75" customHeight="1">
      <c r="A35" s="2368" t="s">
        <v>1078</v>
      </c>
      <c r="B35" s="1799" t="s">
        <v>1052</v>
      </c>
      <c r="C35" s="2306" t="s">
        <v>1047</v>
      </c>
      <c r="D35" s="2361">
        <v>0.33</v>
      </c>
      <c r="E35" s="1804">
        <v>11</v>
      </c>
      <c r="F35" s="2367">
        <v>0.96</v>
      </c>
      <c r="G35" s="1804">
        <v>14</v>
      </c>
      <c r="H35" s="1796">
        <v>4.12</v>
      </c>
      <c r="I35" s="1804"/>
      <c r="J35" s="1796"/>
      <c r="K35" s="1804"/>
      <c r="L35" s="2325"/>
      <c r="M35" s="2307">
        <f>F35+H35</f>
        <v>5.08</v>
      </c>
      <c r="N35" s="2298">
        <v>1</v>
      </c>
      <c r="O35" s="2300">
        <f>ROUND((M35/D35)*N35,9)</f>
        <v>15.393939394</v>
      </c>
      <c r="P35" s="2326"/>
      <c r="Q35" s="2327"/>
      <c r="R35" s="1791"/>
      <c r="S35" s="2369">
        <f>M35*X30</f>
        <v>1015.6424544091592</v>
      </c>
      <c r="T35" s="2369">
        <f>M41*X30</f>
        <v>23499.727183317435</v>
      </c>
      <c r="U35" s="1754"/>
      <c r="V35" s="1754"/>
      <c r="W35" s="1754"/>
    </row>
    <row r="36" spans="1:23" ht="27" customHeight="1">
      <c r="A36" s="2302" t="s">
        <v>1079</v>
      </c>
      <c r="B36" s="1799" t="s">
        <v>1061</v>
      </c>
      <c r="C36" s="2304" t="s">
        <v>1047</v>
      </c>
      <c r="D36" s="2370">
        <v>0.20829999999999999</v>
      </c>
      <c r="E36" s="1804" t="s">
        <v>1090</v>
      </c>
      <c r="F36" s="1801">
        <v>11.12</v>
      </c>
      <c r="G36" s="1804" t="s">
        <v>1092</v>
      </c>
      <c r="H36" s="1801">
        <v>22.61</v>
      </c>
      <c r="I36" s="1804" t="s">
        <v>1091</v>
      </c>
      <c r="J36" s="1796">
        <v>21.02</v>
      </c>
      <c r="K36" s="1804"/>
      <c r="L36" s="1801"/>
      <c r="M36" s="2305">
        <f>F36+H36+J36</f>
        <v>54.75</v>
      </c>
      <c r="N36" s="2297">
        <v>1</v>
      </c>
      <c r="O36" s="2299">
        <f>ROUND((M36/D36)*N36,9)</f>
        <v>262.84205472899998</v>
      </c>
      <c r="P36" s="2326"/>
      <c r="Q36" s="2327"/>
      <c r="R36" s="2362"/>
      <c r="S36" s="1754"/>
      <c r="T36" s="1754"/>
      <c r="U36" s="1754"/>
      <c r="V36" s="1754">
        <f>U30+V30+W30</f>
        <v>2809.6978123050003</v>
      </c>
      <c r="W36" s="1754">
        <v>25000</v>
      </c>
    </row>
    <row r="37" spans="1:23" ht="21" customHeight="1">
      <c r="A37" s="1783">
        <v>4</v>
      </c>
      <c r="B37" s="1784" t="s">
        <v>928</v>
      </c>
      <c r="C37" s="1781"/>
      <c r="D37" s="1814"/>
      <c r="E37" s="1785"/>
      <c r="F37" s="1785"/>
      <c r="G37" s="1785"/>
      <c r="H37" s="1785"/>
      <c r="I37" s="2371"/>
      <c r="J37" s="1794"/>
      <c r="K37" s="1805"/>
      <c r="L37" s="1796"/>
      <c r="M37" s="1788"/>
      <c r="N37" s="1789"/>
      <c r="O37" s="1790">
        <f>+SUM(O38:O42)</f>
        <v>944.10181818199999</v>
      </c>
      <c r="P37" s="2326"/>
      <c r="Q37" s="2327"/>
      <c r="R37" s="1791"/>
      <c r="S37" s="1754"/>
      <c r="T37" s="1754"/>
      <c r="U37" s="1754"/>
      <c r="V37" s="1754">
        <f>V36*W36</f>
        <v>70242445.307625011</v>
      </c>
      <c r="W37" s="1754"/>
    </row>
    <row r="38" spans="1:23" ht="31.5" customHeight="1">
      <c r="A38" s="1792" t="s">
        <v>929</v>
      </c>
      <c r="B38" s="2335" t="s">
        <v>1229</v>
      </c>
      <c r="C38" s="1781" t="s">
        <v>957</v>
      </c>
      <c r="D38" s="1814">
        <f>25000/187500</f>
        <v>0.13333333333333333</v>
      </c>
      <c r="E38" s="1804"/>
      <c r="F38" s="1796"/>
      <c r="G38" s="1805"/>
      <c r="H38" s="1796"/>
      <c r="I38" s="1804"/>
      <c r="J38" s="1796"/>
      <c r="K38" s="1804"/>
      <c r="L38" s="1796"/>
      <c r="M38" s="1788">
        <v>10</v>
      </c>
      <c r="N38" s="1789">
        <v>1</v>
      </c>
      <c r="O38" s="1782">
        <f t="shared" ref="O38:O39" si="2">ROUND((M38/D38)*N38,9)</f>
        <v>75</v>
      </c>
      <c r="P38" s="2326"/>
      <c r="Q38" s="2327"/>
      <c r="R38" s="1791"/>
      <c r="S38" s="1754"/>
      <c r="T38" s="1754"/>
      <c r="U38" s="1754"/>
      <c r="V38" s="1798"/>
      <c r="W38" s="1754"/>
    </row>
    <row r="39" spans="1:23" ht="21" customHeight="1">
      <c r="A39" s="1792" t="s">
        <v>1094</v>
      </c>
      <c r="B39" s="1775" t="s">
        <v>204</v>
      </c>
      <c r="C39" s="1781" t="s">
        <v>957</v>
      </c>
      <c r="D39" s="1814">
        <v>1.25</v>
      </c>
      <c r="E39" s="1804"/>
      <c r="F39" s="1796"/>
      <c r="G39" s="1805"/>
      <c r="H39" s="1796"/>
      <c r="I39" s="1804"/>
      <c r="J39" s="1796"/>
      <c r="K39" s="1804"/>
      <c r="L39" s="1796"/>
      <c r="M39" s="1788">
        <v>5</v>
      </c>
      <c r="N39" s="1789">
        <v>1</v>
      </c>
      <c r="O39" s="1782">
        <f t="shared" si="2"/>
        <v>4</v>
      </c>
      <c r="P39" s="2326"/>
      <c r="Q39" s="2327"/>
      <c r="R39" s="1791"/>
      <c r="S39" s="1754"/>
      <c r="T39" s="1754"/>
      <c r="U39" s="1754"/>
      <c r="V39" s="1754"/>
      <c r="W39" s="1754"/>
    </row>
    <row r="40" spans="1:23" ht="21" customHeight="1">
      <c r="A40" s="1792" t="s">
        <v>1095</v>
      </c>
      <c r="B40" s="1775" t="s">
        <v>1046</v>
      </c>
      <c r="C40" s="1781" t="s">
        <v>1047</v>
      </c>
      <c r="D40" s="1814">
        <f>1/12</f>
        <v>8.3333333333333329E-2</v>
      </c>
      <c r="E40" s="1804" t="s">
        <v>208</v>
      </c>
      <c r="F40" s="1796">
        <v>41.17</v>
      </c>
      <c r="G40" s="1804">
        <v>9</v>
      </c>
      <c r="H40" s="1796">
        <v>1.24</v>
      </c>
      <c r="I40" s="1804"/>
      <c r="J40" s="1796"/>
      <c r="K40" s="1804"/>
      <c r="L40" s="2325"/>
      <c r="M40" s="1788">
        <f>F40+H40+J40+L40</f>
        <v>42.410000000000004</v>
      </c>
      <c r="N40" s="1789">
        <v>1</v>
      </c>
      <c r="O40" s="1782">
        <f>ROUND((M40/D40)*N40,9)</f>
        <v>508.92</v>
      </c>
      <c r="P40" s="2326"/>
      <c r="Q40" s="2327"/>
      <c r="R40" s="1791"/>
      <c r="S40" s="1754"/>
      <c r="T40" s="1754"/>
      <c r="U40" s="1754"/>
      <c r="V40" s="1754"/>
      <c r="W40" s="1754"/>
    </row>
    <row r="41" spans="1:23" ht="20.25" customHeight="1">
      <c r="A41" s="4832" t="s">
        <v>1230</v>
      </c>
      <c r="B41" s="4834" t="s">
        <v>1052</v>
      </c>
      <c r="C41" s="4836" t="s">
        <v>1047</v>
      </c>
      <c r="D41" s="4838">
        <v>0.33</v>
      </c>
      <c r="E41" s="1795">
        <v>9</v>
      </c>
      <c r="F41" s="1796">
        <v>1.24</v>
      </c>
      <c r="G41" s="1793">
        <v>11</v>
      </c>
      <c r="H41" s="1796">
        <v>10.83</v>
      </c>
      <c r="I41" s="1810">
        <v>14</v>
      </c>
      <c r="J41" s="2325">
        <v>27.61</v>
      </c>
      <c r="K41" s="1810" t="s">
        <v>1096</v>
      </c>
      <c r="L41" s="2325">
        <v>17.579999999999998</v>
      </c>
      <c r="M41" s="4840">
        <f>+F41+H41+J41+L41+F42+H42+J42+L42</f>
        <v>117.54</v>
      </c>
      <c r="N41" s="4842">
        <v>1</v>
      </c>
      <c r="O41" s="4825">
        <f t="shared" ref="O41" si="3">ROUND((M41/D41)*N41,9)</f>
        <v>356.18181818199997</v>
      </c>
      <c r="P41" s="4852" t="s">
        <v>1072</v>
      </c>
      <c r="Q41" s="2333"/>
      <c r="R41" s="2337"/>
      <c r="S41" s="2337"/>
      <c r="T41" s="2337"/>
      <c r="U41" s="1709"/>
    </row>
    <row r="42" spans="1:23" ht="20.25" customHeight="1">
      <c r="A42" s="4833"/>
      <c r="B42" s="4835"/>
      <c r="C42" s="4837"/>
      <c r="D42" s="4839"/>
      <c r="E42" s="1807" t="s">
        <v>208</v>
      </c>
      <c r="F42" s="1796">
        <v>42.49</v>
      </c>
      <c r="G42" s="1807" t="s">
        <v>1099</v>
      </c>
      <c r="H42" s="1796">
        <v>14.15</v>
      </c>
      <c r="I42" s="1810" t="s">
        <v>1097</v>
      </c>
      <c r="J42" s="2325">
        <v>3.64</v>
      </c>
      <c r="K42" s="1810"/>
      <c r="L42" s="2325"/>
      <c r="M42" s="4841"/>
      <c r="N42" s="4843"/>
      <c r="O42" s="4826"/>
      <c r="P42" s="4853"/>
      <c r="Q42" s="2333"/>
      <c r="R42" s="2337"/>
      <c r="S42" s="2337"/>
      <c r="T42" s="2337"/>
      <c r="U42" s="1709"/>
    </row>
    <row r="43" spans="1:23" ht="20.25" customHeight="1">
      <c r="A43" s="1783" t="s">
        <v>92</v>
      </c>
      <c r="B43" s="1808" t="s">
        <v>930</v>
      </c>
      <c r="C43" s="1781"/>
      <c r="D43" s="1814"/>
      <c r="E43" s="1787"/>
      <c r="F43" s="1787"/>
      <c r="G43" s="1787"/>
      <c r="H43" s="1787"/>
      <c r="I43" s="1789"/>
      <c r="J43" s="1789"/>
      <c r="K43" s="1789"/>
      <c r="L43" s="2325"/>
      <c r="M43" s="1788"/>
      <c r="N43" s="1789"/>
      <c r="O43" s="1790">
        <f>SUM(O44:O45)</f>
        <v>264.60000000000002</v>
      </c>
      <c r="P43" s="2326"/>
      <c r="Q43" s="2327"/>
      <c r="R43" s="1791"/>
      <c r="S43" s="1754"/>
      <c r="T43" s="1754"/>
      <c r="U43" s="1754"/>
      <c r="V43" s="1754"/>
      <c r="W43" s="1754"/>
    </row>
    <row r="44" spans="1:23" ht="20.25" customHeight="1">
      <c r="A44" s="4832">
        <v>1</v>
      </c>
      <c r="B44" s="4834" t="s">
        <v>1046</v>
      </c>
      <c r="C44" s="1781" t="s">
        <v>1047</v>
      </c>
      <c r="D44" s="1814">
        <f>1/16</f>
        <v>6.25E-2</v>
      </c>
      <c r="E44" s="1804" t="s">
        <v>1049</v>
      </c>
      <c r="F44" s="1794">
        <v>6.51</v>
      </c>
      <c r="G44" s="1787"/>
      <c r="H44" s="1787"/>
      <c r="I44" s="1789"/>
      <c r="J44" s="1789"/>
      <c r="K44" s="1789"/>
      <c r="L44" s="2325"/>
      <c r="M44" s="1788">
        <f>F44</f>
        <v>6.51</v>
      </c>
      <c r="N44" s="1789">
        <v>1</v>
      </c>
      <c r="O44" s="1782">
        <f>ROUND((M44/D44)*N44,9)</f>
        <v>104.16</v>
      </c>
      <c r="P44" s="2326"/>
      <c r="Q44" s="2327"/>
      <c r="R44" s="1791"/>
      <c r="S44" s="1754"/>
      <c r="T44" s="1754"/>
      <c r="U44" s="1754"/>
      <c r="V44" s="1754"/>
      <c r="W44" s="1754"/>
    </row>
    <row r="45" spans="1:23" ht="20.25" customHeight="1">
      <c r="A45" s="4833"/>
      <c r="B45" s="4835"/>
      <c r="C45" s="1781" t="s">
        <v>1047</v>
      </c>
      <c r="D45" s="1814">
        <f>1/12</f>
        <v>8.3333333333333329E-2</v>
      </c>
      <c r="E45" s="1805" t="s">
        <v>1093</v>
      </c>
      <c r="F45" s="1796">
        <v>1.06</v>
      </c>
      <c r="G45" s="1804">
        <v>8</v>
      </c>
      <c r="H45" s="1796">
        <v>4.6500000000000004</v>
      </c>
      <c r="I45" s="1804" t="s">
        <v>1071</v>
      </c>
      <c r="J45" s="1794">
        <v>7.66</v>
      </c>
      <c r="K45" s="1789"/>
      <c r="L45" s="2325"/>
      <c r="M45" s="2305">
        <f>F45+H45+J45</f>
        <v>13.370000000000001</v>
      </c>
      <c r="N45" s="2297">
        <v>1</v>
      </c>
      <c r="O45" s="1782">
        <f>ROUND((M45/D45)*N45,9)</f>
        <v>160.44</v>
      </c>
      <c r="P45" s="2326"/>
      <c r="Q45" s="2327"/>
      <c r="R45" s="1791"/>
      <c r="S45" s="1754"/>
      <c r="T45" s="1754"/>
      <c r="U45" s="1754"/>
      <c r="V45" s="1754"/>
      <c r="W45" s="1754"/>
    </row>
    <row r="46" spans="1:23" ht="20.25" customHeight="1">
      <c r="A46" s="1766" t="s">
        <v>53</v>
      </c>
      <c r="B46" s="1784" t="s">
        <v>825</v>
      </c>
      <c r="C46" s="1809"/>
      <c r="D46" s="2340"/>
      <c r="E46" s="2293"/>
      <c r="F46" s="2293"/>
      <c r="G46" s="2293"/>
      <c r="H46" s="2293"/>
      <c r="I46" s="2293"/>
      <c r="J46" s="2293"/>
      <c r="K46" s="2293"/>
      <c r="L46" s="2321"/>
      <c r="M46" s="1788"/>
      <c r="N46" s="1810"/>
      <c r="O46" s="1772">
        <f>SUM(O47:O47)</f>
        <v>416</v>
      </c>
      <c r="P46" s="1811"/>
      <c r="Q46" s="2319"/>
      <c r="R46" s="1791"/>
      <c r="S46" s="1754"/>
      <c r="T46" s="1754"/>
      <c r="U46" s="1754"/>
      <c r="V46" s="1754"/>
      <c r="W46" s="1754"/>
    </row>
    <row r="47" spans="1:23" ht="20.25" customHeight="1">
      <c r="A47" s="1792">
        <v>1</v>
      </c>
      <c r="B47" s="1812" t="s">
        <v>826</v>
      </c>
      <c r="C47" s="1781" t="s">
        <v>362</v>
      </c>
      <c r="D47" s="1814"/>
      <c r="E47" s="4869" t="s">
        <v>1218</v>
      </c>
      <c r="F47" s="4870"/>
      <c r="G47" s="4870"/>
      <c r="H47" s="4870"/>
      <c r="I47" s="4870"/>
      <c r="J47" s="4870"/>
      <c r="K47" s="4870"/>
      <c r="L47" s="4870"/>
      <c r="M47" s="4871"/>
      <c r="N47" s="1816"/>
      <c r="O47" s="1817">
        <f>4*2600000/25000</f>
        <v>416</v>
      </c>
      <c r="P47" s="1818"/>
      <c r="Q47" s="2341"/>
      <c r="R47" s="1791"/>
      <c r="S47" s="1754"/>
      <c r="T47" s="1754"/>
      <c r="U47" s="1754"/>
      <c r="V47" s="1754"/>
      <c r="W47" s="1754"/>
    </row>
    <row r="48" spans="1:23" ht="20.25" customHeight="1">
      <c r="A48" s="1766" t="s">
        <v>93</v>
      </c>
      <c r="B48" s="1784" t="s">
        <v>1100</v>
      </c>
      <c r="C48" s="1809"/>
      <c r="D48" s="2340"/>
      <c r="E48" s="1769"/>
      <c r="F48" s="1769"/>
      <c r="G48" s="1769"/>
      <c r="H48" s="1769"/>
      <c r="I48" s="1769"/>
      <c r="J48" s="1769"/>
      <c r="K48" s="1769"/>
      <c r="L48" s="1770"/>
      <c r="M48" s="1788"/>
      <c r="N48" s="1810"/>
      <c r="O48" s="1772">
        <f>SUM(O49:O51)</f>
        <v>28</v>
      </c>
      <c r="P48" s="1811"/>
      <c r="Q48" s="2319"/>
      <c r="R48" s="1791"/>
      <c r="S48" s="1754"/>
      <c r="T48" s="1754"/>
      <c r="U48" s="1754"/>
      <c r="V48" s="1754"/>
      <c r="W48" s="1754"/>
    </row>
    <row r="49" spans="1:23" s="2376" customFormat="1" ht="21" customHeight="1">
      <c r="A49" s="2372">
        <v>1</v>
      </c>
      <c r="B49" s="1799" t="s">
        <v>1203</v>
      </c>
      <c r="C49" s="1781" t="s">
        <v>362</v>
      </c>
      <c r="D49" s="2373"/>
      <c r="E49" s="4866" t="s">
        <v>1231</v>
      </c>
      <c r="F49" s="4867"/>
      <c r="G49" s="4867"/>
      <c r="H49" s="4867"/>
      <c r="I49" s="4867"/>
      <c r="J49" s="4867"/>
      <c r="K49" s="4867"/>
      <c r="L49" s="4867"/>
      <c r="M49" s="4868"/>
      <c r="N49" s="2297"/>
      <c r="O49" s="2374">
        <v>15</v>
      </c>
      <c r="P49" s="2375"/>
      <c r="Q49" s="2341"/>
      <c r="R49" s="1791"/>
      <c r="S49" s="1754"/>
      <c r="T49" s="1754"/>
      <c r="U49" s="1754"/>
      <c r="V49" s="1754"/>
      <c r="W49" s="1754"/>
    </row>
    <row r="50" spans="1:23" s="2376" customFormat="1" ht="21" customHeight="1">
      <c r="A50" s="2372">
        <v>2</v>
      </c>
      <c r="B50" s="1799" t="s">
        <v>1232</v>
      </c>
      <c r="C50" s="1781" t="s">
        <v>362</v>
      </c>
      <c r="D50" s="2377">
        <v>0.2</v>
      </c>
      <c r="E50" s="4866" t="s">
        <v>1233</v>
      </c>
      <c r="F50" s="4867"/>
      <c r="G50" s="4867"/>
      <c r="H50" s="4867"/>
      <c r="I50" s="4867"/>
      <c r="J50" s="4867"/>
      <c r="K50" s="4867"/>
      <c r="L50" s="4867"/>
      <c r="M50" s="4868"/>
      <c r="N50" s="2297">
        <v>1</v>
      </c>
      <c r="O50" s="2374">
        <v>5</v>
      </c>
      <c r="P50" s="2375"/>
      <c r="Q50" s="2341"/>
      <c r="R50" s="1791"/>
      <c r="S50" s="1754"/>
      <c r="T50" s="1754"/>
      <c r="U50" s="1754"/>
      <c r="V50" s="1754"/>
      <c r="W50" s="1754"/>
    </row>
    <row r="51" spans="1:23" s="2376" customFormat="1" ht="21" customHeight="1">
      <c r="A51" s="2372">
        <v>3</v>
      </c>
      <c r="B51" s="1799" t="s">
        <v>1234</v>
      </c>
      <c r="C51" s="1781" t="s">
        <v>362</v>
      </c>
      <c r="D51" s="2373">
        <f>1/8</f>
        <v>0.125</v>
      </c>
      <c r="E51" s="4866" t="s">
        <v>1235</v>
      </c>
      <c r="F51" s="4867"/>
      <c r="G51" s="4867"/>
      <c r="H51" s="4867"/>
      <c r="I51" s="4867"/>
      <c r="J51" s="4867"/>
      <c r="K51" s="4867"/>
      <c r="L51" s="4867"/>
      <c r="M51" s="4868"/>
      <c r="N51" s="2297">
        <v>1</v>
      </c>
      <c r="O51" s="2374">
        <v>8</v>
      </c>
      <c r="P51" s="2375"/>
      <c r="Q51" s="2341"/>
      <c r="R51" s="1791"/>
      <c r="S51" s="1754"/>
      <c r="T51" s="1754"/>
      <c r="U51" s="1754"/>
      <c r="V51" s="1754"/>
      <c r="W51" s="1754"/>
    </row>
    <row r="52" spans="1:23" ht="21.75" customHeight="1">
      <c r="A52" s="4828" t="s">
        <v>342</v>
      </c>
      <c r="B52" s="4828"/>
      <c r="C52" s="4828"/>
      <c r="D52" s="2342"/>
      <c r="E52" s="1819"/>
      <c r="F52" s="1819"/>
      <c r="G52" s="1819"/>
      <c r="H52" s="1819"/>
      <c r="I52" s="1819"/>
      <c r="J52" s="1819"/>
      <c r="K52" s="1819"/>
      <c r="L52" s="1820"/>
      <c r="M52" s="1821"/>
      <c r="N52" s="1819"/>
      <c r="O52" s="1822"/>
      <c r="P52" s="1823"/>
      <c r="Q52" s="2320"/>
      <c r="R52" s="1791"/>
      <c r="S52" s="1754"/>
      <c r="T52" s="1754"/>
      <c r="U52" s="1754"/>
      <c r="V52" s="1754"/>
      <c r="W52" s="1754"/>
    </row>
    <row r="53" spans="1:23" ht="20.45" customHeight="1">
      <c r="A53" s="1824"/>
      <c r="B53" s="1825"/>
      <c r="C53" s="2378"/>
      <c r="D53" s="2343"/>
      <c r="E53" s="1828"/>
      <c r="F53" s="1829"/>
      <c r="G53" s="1828"/>
      <c r="H53" s="1829"/>
      <c r="I53" s="2294"/>
      <c r="J53" s="1827"/>
      <c r="K53" s="2294"/>
      <c r="L53" s="4829" t="s">
        <v>1236</v>
      </c>
      <c r="M53" s="4829"/>
      <c r="N53" s="4829"/>
      <c r="O53" s="4829"/>
      <c r="P53" s="4829"/>
      <c r="Q53" s="2344"/>
      <c r="R53" s="1791"/>
      <c r="S53" s="1754">
        <f>SUM(S30:W30)</f>
        <v>3321.6978123050003</v>
      </c>
      <c r="T53" s="1754">
        <f>O48+O46</f>
        <v>444</v>
      </c>
      <c r="U53" s="1754"/>
      <c r="V53" s="1754"/>
      <c r="W53" s="1754"/>
    </row>
    <row r="54" spans="1:23" ht="20.45" customHeight="1">
      <c r="A54" s="4830"/>
      <c r="B54" s="4830"/>
      <c r="C54" s="4830"/>
      <c r="D54" s="4830"/>
      <c r="E54" s="4830"/>
      <c r="F54" s="1830"/>
      <c r="G54" s="1830"/>
      <c r="H54" s="4831"/>
      <c r="I54" s="4831"/>
      <c r="J54" s="4831"/>
      <c r="K54" s="2309"/>
      <c r="L54" s="4830" t="s">
        <v>827</v>
      </c>
      <c r="M54" s="4830"/>
      <c r="N54" s="4830"/>
      <c r="O54" s="4830"/>
      <c r="P54" s="4830"/>
      <c r="Q54" s="2308"/>
      <c r="R54" s="1791"/>
      <c r="S54" s="1754"/>
      <c r="T54" s="1754"/>
      <c r="U54" s="1754"/>
      <c r="V54" s="1754"/>
      <c r="W54" s="1754"/>
    </row>
    <row r="55" spans="1:23" ht="20.45" hidden="1" customHeight="1">
      <c r="A55" s="1831"/>
      <c r="B55" s="1832"/>
      <c r="C55" s="2310"/>
      <c r="D55" s="2345"/>
      <c r="E55" s="1834"/>
      <c r="F55" s="1833"/>
      <c r="G55" s="1835"/>
      <c r="H55" s="1833"/>
      <c r="I55" s="2346"/>
      <c r="J55" s="2310"/>
      <c r="K55" s="2346"/>
      <c r="L55" s="2345"/>
      <c r="M55" s="1836"/>
      <c r="N55" s="2379"/>
      <c r="O55" s="4353"/>
      <c r="P55" s="4353"/>
      <c r="Q55" s="2310"/>
    </row>
    <row r="56" spans="1:23" ht="20.45" hidden="1" customHeight="1">
      <c r="A56" s="1831"/>
      <c r="B56" s="1832"/>
      <c r="C56" s="2295"/>
      <c r="D56" s="2347"/>
      <c r="E56" s="1838"/>
      <c r="F56" s="1839"/>
      <c r="G56" s="1748"/>
      <c r="H56" s="1839"/>
      <c r="I56" s="2315"/>
      <c r="J56" s="2348"/>
      <c r="K56" s="2349"/>
      <c r="L56" s="2350"/>
      <c r="M56" s="1840"/>
      <c r="N56" s="2348"/>
      <c r="P56" s="1831"/>
      <c r="Q56" s="1831"/>
    </row>
    <row r="57" spans="1:23" ht="20.45" customHeight="1">
      <c r="A57" s="1831"/>
      <c r="B57" s="1832"/>
      <c r="C57" s="2295"/>
      <c r="D57" s="2347"/>
      <c r="E57" s="1838"/>
      <c r="F57" s="1839"/>
      <c r="G57" s="1748"/>
      <c r="H57" s="1839"/>
      <c r="I57" s="2315"/>
      <c r="J57" s="2348"/>
      <c r="K57" s="2349"/>
      <c r="L57" s="2350"/>
      <c r="M57" s="1840"/>
      <c r="N57" s="2348"/>
      <c r="P57" s="1831"/>
      <c r="Q57" s="1831"/>
    </row>
    <row r="58" spans="1:23" ht="21.75" customHeight="1">
      <c r="A58" s="4844"/>
      <c r="B58" s="4844"/>
      <c r="C58" s="4844"/>
      <c r="D58" s="4844"/>
      <c r="E58" s="4844"/>
      <c r="F58" s="1842"/>
      <c r="G58" s="1843"/>
      <c r="H58" s="4824"/>
      <c r="I58" s="4824"/>
      <c r="J58" s="4824"/>
      <c r="K58" s="2351"/>
      <c r="L58" s="2352"/>
      <c r="M58" s="4824"/>
      <c r="N58" s="4824"/>
      <c r="O58" s="4824"/>
      <c r="P58" s="4824"/>
      <c r="Q58" s="2311"/>
    </row>
    <row r="59" spans="1:23" ht="17.45" customHeight="1">
      <c r="A59" s="4358" t="s">
        <v>828</v>
      </c>
      <c r="B59" s="4358"/>
      <c r="C59" s="4358"/>
      <c r="D59" s="4358"/>
      <c r="E59" s="4358"/>
      <c r="F59" s="4358"/>
      <c r="G59" s="4358"/>
      <c r="H59" s="4358"/>
      <c r="I59" s="4358"/>
      <c r="J59" s="4358"/>
      <c r="K59" s="4358"/>
      <c r="L59" s="4358"/>
      <c r="M59" s="4358"/>
      <c r="N59" s="4358"/>
      <c r="O59" s="4358"/>
      <c r="P59" s="4358"/>
      <c r="Q59" s="2312"/>
    </row>
    <row r="60" spans="1:23" ht="27.75" customHeight="1">
      <c r="A60" s="4343" t="s">
        <v>1237</v>
      </c>
      <c r="B60" s="4343"/>
      <c r="C60" s="4343"/>
      <c r="D60" s="4343"/>
      <c r="E60" s="4343"/>
      <c r="F60" s="4343"/>
      <c r="G60" s="4343"/>
      <c r="H60" s="4343"/>
      <c r="I60" s="4343"/>
      <c r="J60" s="4343"/>
      <c r="K60" s="4343"/>
      <c r="L60" s="4343"/>
      <c r="M60" s="4343"/>
      <c r="N60" s="4343"/>
      <c r="O60" s="4343"/>
      <c r="P60" s="4343"/>
      <c r="Q60" s="2313"/>
    </row>
    <row r="61" spans="1:23" ht="27.75" customHeight="1"/>
    <row r="62" spans="1:23" ht="27.75" customHeight="1">
      <c r="N62" s="2313"/>
    </row>
    <row r="63" spans="1:23" ht="27.75" customHeight="1"/>
    <row r="64" spans="1:23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spans="18:20" ht="27.75" customHeight="1"/>
    <row r="82" spans="18:20" ht="27.75" customHeight="1"/>
    <row r="83" spans="18:20" ht="27.75" customHeight="1"/>
    <row r="84" spans="18:20" ht="27.75" customHeight="1"/>
    <row r="85" spans="18:20" ht="27.75" customHeight="1"/>
    <row r="86" spans="18:20" ht="27.75" customHeight="1"/>
    <row r="87" spans="18:20" ht="27.75" customHeight="1"/>
    <row r="88" spans="18:20" ht="27.75" customHeight="1"/>
    <row r="89" spans="18:20" ht="27.75" customHeight="1">
      <c r="T89">
        <v>1</v>
      </c>
    </row>
    <row r="90" spans="18:20" ht="27.75" customHeight="1"/>
    <row r="91" spans="18:20" ht="27.75" customHeight="1"/>
    <row r="92" spans="18:20" ht="27.75" customHeight="1"/>
    <row r="95" spans="18:20">
      <c r="R95" s="2358" t="s">
        <v>920</v>
      </c>
    </row>
    <row r="97" ht="10.5" customHeight="1"/>
    <row r="98" ht="10.5" customHeight="1"/>
    <row r="99" ht="10.5" customHeight="1"/>
    <row r="100" ht="10.5" customHeight="1"/>
    <row r="101" ht="10.5" customHeight="1"/>
    <row r="102" ht="6" customHeight="1"/>
  </sheetData>
  <mergeCells count="61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L9"/>
    <mergeCell ref="M9:M10"/>
    <mergeCell ref="N9:N10"/>
    <mergeCell ref="O9:O10"/>
    <mergeCell ref="P9:P10"/>
    <mergeCell ref="E16:L16"/>
    <mergeCell ref="E17:L17"/>
    <mergeCell ref="E18:L18"/>
    <mergeCell ref="E19:L19"/>
    <mergeCell ref="N24:N25"/>
    <mergeCell ref="O24:O25"/>
    <mergeCell ref="A32:A34"/>
    <mergeCell ref="B32:B34"/>
    <mergeCell ref="C32:C34"/>
    <mergeCell ref="D32:D34"/>
    <mergeCell ref="M32:M34"/>
    <mergeCell ref="N32:N34"/>
    <mergeCell ref="O32:O34"/>
    <mergeCell ref="A24:A26"/>
    <mergeCell ref="B24:B26"/>
    <mergeCell ref="C24:C26"/>
    <mergeCell ref="D24:D25"/>
    <mergeCell ref="M24:M25"/>
    <mergeCell ref="E49:M49"/>
    <mergeCell ref="A41:A42"/>
    <mergeCell ref="B41:B42"/>
    <mergeCell ref="C41:C42"/>
    <mergeCell ref="D41:D42"/>
    <mergeCell ref="M41:M42"/>
    <mergeCell ref="O41:O42"/>
    <mergeCell ref="P41:P42"/>
    <mergeCell ref="A44:A45"/>
    <mergeCell ref="B44:B45"/>
    <mergeCell ref="E47:M47"/>
    <mergeCell ref="N41:N42"/>
    <mergeCell ref="A60:P60"/>
    <mergeCell ref="E50:M50"/>
    <mergeCell ref="E51:M51"/>
    <mergeCell ref="A52:C52"/>
    <mergeCell ref="L53:P53"/>
    <mergeCell ref="A54:E54"/>
    <mergeCell ref="H54:J54"/>
    <mergeCell ref="L54:P54"/>
    <mergeCell ref="O55:P55"/>
    <mergeCell ref="A58:E58"/>
    <mergeCell ref="H58:J58"/>
    <mergeCell ref="M58:P58"/>
    <mergeCell ref="A59:P5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6"/>
  <sheetViews>
    <sheetView topLeftCell="A11" workbookViewId="0">
      <selection activeCell="G15" sqref="G15"/>
    </sheetView>
  </sheetViews>
  <sheetFormatPr defaultRowHeight="15.75"/>
  <cols>
    <col min="1" max="1" width="6.25" style="1846" customWidth="1"/>
    <col min="2" max="2" width="29.375" style="1847" customWidth="1"/>
    <col min="3" max="3" width="5.375" style="1848" customWidth="1"/>
    <col min="4" max="4" width="5.125" style="2353" customWidth="1"/>
    <col min="5" max="5" width="5.75" style="1850" customWidth="1"/>
    <col min="6" max="6" width="5.75" style="1851" customWidth="1"/>
    <col min="7" max="7" width="5.75" style="1852" customWidth="1"/>
    <col min="8" max="8" width="5.75" style="1851" customWidth="1"/>
    <col min="9" max="9" width="5.75" style="2354" customWidth="1"/>
    <col min="10" max="10" width="5.75" style="2355" customWidth="1"/>
    <col min="11" max="11" width="5.75" style="2356" customWidth="1"/>
    <col min="12" max="12" width="5.75" style="2357" customWidth="1"/>
    <col min="13" max="13" width="7.25" style="2616" customWidth="1"/>
    <col min="14" max="14" width="4.75" style="1851" customWidth="1"/>
    <col min="15" max="15" width="9.375" style="1841" customWidth="1"/>
    <col min="16" max="16" width="7.625" style="1854" customWidth="1"/>
    <col min="17" max="17" width="6.375" style="1854" customWidth="1"/>
    <col min="18" max="18" width="9.75" customWidth="1"/>
    <col min="19" max="20" width="9" bestFit="1" customWidth="1"/>
    <col min="21" max="25" width="9" customWidth="1"/>
    <col min="26" max="27" width="8.875" customWidth="1"/>
    <col min="28" max="31" width="9.375" customWidth="1"/>
    <col min="34" max="34" width="9" bestFit="1" customWidth="1"/>
    <col min="35" max="35" width="8.875" customWidth="1"/>
  </cols>
  <sheetData>
    <row r="1" spans="1:31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31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31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31">
      <c r="A4" s="4340" t="s">
        <v>809</v>
      </c>
      <c r="B4" s="4340"/>
      <c r="C4" s="4340"/>
      <c r="D4" s="4340"/>
      <c r="E4" s="4340"/>
      <c r="F4" s="4340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700"/>
    </row>
    <row r="5" spans="1:31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700"/>
      <c r="R5" s="2560"/>
      <c r="S5" s="2560"/>
    </row>
    <row r="6" spans="1:31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  <c r="R6" s="2560"/>
      <c r="S6" s="2560"/>
    </row>
    <row r="7" spans="1:31" ht="18.75">
      <c r="A7" s="4858" t="s">
        <v>1276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699"/>
      <c r="R7" s="2561"/>
      <c r="S7" s="2561"/>
      <c r="T7" s="1754"/>
      <c r="U7" s="1754"/>
      <c r="V7" s="1754"/>
      <c r="W7" s="1754"/>
      <c r="X7" s="1754"/>
      <c r="Y7" s="1754"/>
      <c r="Z7" s="1754"/>
      <c r="AA7" s="1754"/>
    </row>
    <row r="8" spans="1:31" ht="15">
      <c r="A8" s="4859" t="s">
        <v>1205</v>
      </c>
      <c r="B8" s="4859"/>
      <c r="C8" s="4859"/>
      <c r="D8" s="4859"/>
      <c r="E8" s="4859"/>
      <c r="F8" s="4859"/>
      <c r="G8" s="4859"/>
      <c r="H8" s="4859"/>
      <c r="I8" s="4859"/>
      <c r="J8" s="4859"/>
      <c r="K8" s="4859"/>
      <c r="L8" s="4859"/>
      <c r="M8" s="4859"/>
      <c r="N8" s="4859"/>
      <c r="O8" s="4859"/>
      <c r="P8" s="4859"/>
      <c r="Q8" s="2701"/>
      <c r="R8" s="2561"/>
      <c r="S8" s="2561"/>
      <c r="T8" s="1754"/>
      <c r="U8" s="1754"/>
      <c r="V8" s="1754"/>
      <c r="W8" s="1754"/>
      <c r="X8" s="1754"/>
      <c r="Y8" s="1754"/>
      <c r="Z8" s="1754"/>
      <c r="AA8" s="1754"/>
    </row>
    <row r="9" spans="1:31" ht="16.5">
      <c r="A9" s="4860" t="s">
        <v>19</v>
      </c>
      <c r="B9" s="4860" t="s">
        <v>1206</v>
      </c>
      <c r="C9" s="4861" t="s">
        <v>623</v>
      </c>
      <c r="D9" s="4862" t="s">
        <v>361</v>
      </c>
      <c r="E9" s="4863" t="s">
        <v>811</v>
      </c>
      <c r="F9" s="4863"/>
      <c r="G9" s="4863"/>
      <c r="H9" s="4863"/>
      <c r="I9" s="4863"/>
      <c r="J9" s="4863"/>
      <c r="K9" s="4863"/>
      <c r="L9" s="4863"/>
      <c r="M9" s="4863"/>
      <c r="N9" s="4863" t="s">
        <v>812</v>
      </c>
      <c r="O9" s="4864" t="s">
        <v>47</v>
      </c>
      <c r="P9" s="4865" t="s">
        <v>813</v>
      </c>
      <c r="Q9" s="2317"/>
      <c r="R9" s="2561"/>
      <c r="S9" s="2561"/>
      <c r="T9" s="1754"/>
      <c r="U9" s="1754"/>
      <c r="V9" s="1754"/>
      <c r="W9" s="1754"/>
      <c r="X9" s="1754"/>
      <c r="Y9" s="1754"/>
      <c r="Z9" s="1754"/>
      <c r="AA9" s="1754"/>
    </row>
    <row r="10" spans="1:31" ht="16.5">
      <c r="A10" s="4860"/>
      <c r="B10" s="4860"/>
      <c r="C10" s="4861"/>
      <c r="D10" s="4862"/>
      <c r="E10" s="1755" t="s">
        <v>814</v>
      </c>
      <c r="F10" s="1755" t="s">
        <v>815</v>
      </c>
      <c r="G10" s="1755" t="s">
        <v>814</v>
      </c>
      <c r="H10" s="1755" t="s">
        <v>815</v>
      </c>
      <c r="I10" s="1755" t="s">
        <v>814</v>
      </c>
      <c r="J10" s="1755" t="s">
        <v>815</v>
      </c>
      <c r="K10" s="1755" t="s">
        <v>814</v>
      </c>
      <c r="L10" s="1756" t="s">
        <v>815</v>
      </c>
      <c r="M10" s="1757" t="s">
        <v>21</v>
      </c>
      <c r="N10" s="4863"/>
      <c r="O10" s="4864"/>
      <c r="P10" s="4865"/>
      <c r="Q10" s="2317"/>
      <c r="R10" s="2561"/>
      <c r="S10" s="2561"/>
      <c r="T10" s="1754"/>
      <c r="U10" s="1754"/>
      <c r="V10" s="1754"/>
      <c r="W10" s="1754"/>
      <c r="X10" s="1754"/>
      <c r="Y10" s="1754"/>
      <c r="Z10" s="1754"/>
      <c r="AA10" s="1754"/>
    </row>
    <row r="11" spans="1:31" ht="27.75" customHeight="1">
      <c r="A11" s="1758" t="s">
        <v>52</v>
      </c>
      <c r="B11" s="1759" t="s">
        <v>816</v>
      </c>
      <c r="C11" s="1760"/>
      <c r="D11" s="2318"/>
      <c r="E11" s="2562"/>
      <c r="F11" s="2562"/>
      <c r="G11" s="2562"/>
      <c r="H11" s="2562"/>
      <c r="I11" s="2562"/>
      <c r="J11" s="2562"/>
      <c r="K11" s="2562"/>
      <c r="L11" s="2563"/>
      <c r="M11" s="1763"/>
      <c r="N11" s="2562"/>
      <c r="O11" s="1764">
        <f>O21+O15+O12</f>
        <v>4744.258907929001</v>
      </c>
      <c r="P11" s="2564"/>
      <c r="Q11" s="2319"/>
      <c r="R11" s="4895"/>
      <c r="S11" s="4897" t="s">
        <v>1207</v>
      </c>
      <c r="T11" s="4897" t="s">
        <v>1208</v>
      </c>
      <c r="U11" s="4897" t="s">
        <v>1202</v>
      </c>
      <c r="V11" s="4897"/>
      <c r="W11" s="4898" t="s">
        <v>1060</v>
      </c>
      <c r="X11" s="4897" t="s">
        <v>1277</v>
      </c>
      <c r="Y11" s="4856" t="s">
        <v>1278</v>
      </c>
      <c r="Z11" s="4857"/>
      <c r="AA11" s="4891" t="s">
        <v>1279</v>
      </c>
      <c r="AB11" s="4892"/>
      <c r="AC11" s="4893" t="s">
        <v>1280</v>
      </c>
      <c r="AD11" s="4894" t="s">
        <v>1281</v>
      </c>
      <c r="AE11" s="4893" t="s">
        <v>342</v>
      </c>
    </row>
    <row r="12" spans="1:31" ht="21.75" customHeight="1">
      <c r="A12" s="1766" t="s">
        <v>147</v>
      </c>
      <c r="B12" s="1784" t="s">
        <v>817</v>
      </c>
      <c r="C12" s="1780"/>
      <c r="D12" s="1770"/>
      <c r="E12" s="2565"/>
      <c r="F12" s="2565"/>
      <c r="G12" s="2565"/>
      <c r="H12" s="2565"/>
      <c r="I12" s="2565"/>
      <c r="J12" s="2565"/>
      <c r="K12" s="2565"/>
      <c r="L12" s="2566"/>
      <c r="M12" s="1771"/>
      <c r="N12" s="2565"/>
      <c r="O12" s="1772"/>
      <c r="P12" s="2567"/>
      <c r="Q12" s="2320"/>
      <c r="R12" s="4896"/>
      <c r="S12" s="4897"/>
      <c r="T12" s="4897"/>
      <c r="U12" s="2568" t="s">
        <v>1055</v>
      </c>
      <c r="V12" s="2702" t="s">
        <v>1072</v>
      </c>
      <c r="W12" s="4899"/>
      <c r="X12" s="4897"/>
      <c r="Y12" s="2569" t="s">
        <v>1265</v>
      </c>
      <c r="Z12" s="2570" t="s">
        <v>1266</v>
      </c>
      <c r="AA12" s="2569" t="s">
        <v>1265</v>
      </c>
      <c r="AB12" s="2570" t="s">
        <v>1266</v>
      </c>
      <c r="AC12" s="4893"/>
      <c r="AD12" s="4894"/>
      <c r="AE12" s="4893"/>
    </row>
    <row r="13" spans="1:31" ht="30" customHeight="1">
      <c r="A13" s="1774">
        <v>1</v>
      </c>
      <c r="B13" s="1812" t="s">
        <v>49</v>
      </c>
      <c r="C13" s="1776" t="s">
        <v>818</v>
      </c>
      <c r="D13" s="2321"/>
      <c r="E13" s="2565"/>
      <c r="F13" s="2703"/>
      <c r="G13" s="2565"/>
      <c r="H13" s="2565"/>
      <c r="I13" s="2565"/>
      <c r="J13" s="2565"/>
      <c r="K13" s="2565"/>
      <c r="L13" s="2566"/>
      <c r="M13" s="1771"/>
      <c r="N13" s="2703"/>
      <c r="O13" s="1772"/>
      <c r="P13" s="2571"/>
      <c r="Q13" s="2322"/>
      <c r="R13" s="2569" t="s">
        <v>1282</v>
      </c>
      <c r="S13" s="2330">
        <f>M39+M52</f>
        <v>60</v>
      </c>
      <c r="T13" s="2330">
        <f>M45</f>
        <v>41.319999999999993</v>
      </c>
      <c r="U13" s="2330">
        <f>M26+M40</f>
        <v>89.42</v>
      </c>
      <c r="V13" s="2330">
        <f>M42</f>
        <v>24.12</v>
      </c>
      <c r="W13" s="2330">
        <f>M29+M44</f>
        <v>31.500259999999997</v>
      </c>
      <c r="X13" s="2330">
        <f>M24+M37+M50</f>
        <v>182</v>
      </c>
      <c r="Y13" s="2330">
        <f>M23+M33</f>
        <v>84</v>
      </c>
      <c r="Z13" s="2330">
        <f>M35+M48</f>
        <v>101</v>
      </c>
      <c r="AA13" s="2330"/>
      <c r="AB13" s="2332">
        <f>M36+M49</f>
        <v>32</v>
      </c>
      <c r="AC13" s="2332">
        <f>M25+M38+M51</f>
        <v>244</v>
      </c>
      <c r="AD13" s="2332">
        <f>M34</f>
        <v>34</v>
      </c>
      <c r="AE13" s="4893"/>
    </row>
    <row r="14" spans="1:31" ht="21.75" customHeight="1">
      <c r="A14" s="1774">
        <v>2</v>
      </c>
      <c r="B14" s="1812" t="s">
        <v>819</v>
      </c>
      <c r="C14" s="1776" t="s">
        <v>818</v>
      </c>
      <c r="D14" s="2321"/>
      <c r="E14" s="2565"/>
      <c r="F14" s="2703"/>
      <c r="G14" s="2565"/>
      <c r="H14" s="2565"/>
      <c r="I14" s="2565"/>
      <c r="J14" s="2565"/>
      <c r="K14" s="2565"/>
      <c r="L14" s="2566"/>
      <c r="M14" s="2323"/>
      <c r="N14" s="2703"/>
      <c r="O14" s="1772"/>
      <c r="P14" s="2572"/>
      <c r="Q14" s="2324"/>
      <c r="R14" s="2702" t="s">
        <v>1283</v>
      </c>
      <c r="S14" s="2330">
        <f>O39+O52</f>
        <v>960</v>
      </c>
      <c r="T14" s="2330">
        <f>O45</f>
        <v>198.36773883800001</v>
      </c>
      <c r="U14" s="2330">
        <f>O26+O40</f>
        <v>447.09999999999997</v>
      </c>
      <c r="V14" s="2330">
        <f>O42</f>
        <v>73.090909091</v>
      </c>
      <c r="W14" s="2330">
        <f>O29+O44</f>
        <v>31.500260000000001</v>
      </c>
      <c r="X14" s="2330">
        <f>O24+O37+O50</f>
        <v>1092</v>
      </c>
      <c r="Y14" s="2330">
        <f>O23+O33</f>
        <v>588</v>
      </c>
      <c r="Z14" s="2330">
        <f>O35+O48</f>
        <v>808</v>
      </c>
      <c r="AA14" s="2330"/>
      <c r="AB14" s="2332">
        <f>O36+O49</f>
        <v>96</v>
      </c>
      <c r="AC14" s="2332">
        <f>O25+O38+O51</f>
        <v>195.2</v>
      </c>
      <c r="AD14" s="2332">
        <f>O34</f>
        <v>255</v>
      </c>
      <c r="AE14" s="2568">
        <f>SUM(S14:AD14)</f>
        <v>4744.2589079290001</v>
      </c>
    </row>
    <row r="15" spans="1:31" ht="27.75" customHeight="1">
      <c r="A15" s="1766" t="s">
        <v>148</v>
      </c>
      <c r="B15" s="1784" t="s">
        <v>820</v>
      </c>
      <c r="C15" s="1780"/>
      <c r="D15" s="1770"/>
      <c r="E15" s="2565"/>
      <c r="F15" s="2565"/>
      <c r="G15" s="2565"/>
      <c r="H15" s="2565"/>
      <c r="I15" s="2565"/>
      <c r="J15" s="2565"/>
      <c r="K15" s="2565"/>
      <c r="L15" s="2566"/>
      <c r="M15" s="1771"/>
      <c r="N15" s="2565"/>
      <c r="O15" s="1772"/>
      <c r="P15" s="2567"/>
      <c r="Q15" s="2320"/>
      <c r="R15" s="2702" t="s">
        <v>1284</v>
      </c>
      <c r="S15" s="2330">
        <f>S14*AG17</f>
        <v>24000000</v>
      </c>
      <c r="T15" s="2330">
        <f>T14*$AG$17</f>
        <v>4959193.47095</v>
      </c>
      <c r="U15" s="2330">
        <f>U14*$AG$17</f>
        <v>11177500</v>
      </c>
      <c r="V15" s="2330">
        <f>V14*$AG$17</f>
        <v>1827272.727275</v>
      </c>
      <c r="W15" s="2330">
        <f t="shared" ref="W15:AD15" si="0">W14*$AG$17</f>
        <v>787506.5</v>
      </c>
      <c r="X15" s="2330">
        <f t="shared" si="0"/>
        <v>27300000</v>
      </c>
      <c r="Y15" s="2330">
        <f>Y14*$AG$17</f>
        <v>14700000</v>
      </c>
      <c r="Z15" s="2330">
        <f t="shared" si="0"/>
        <v>20200000</v>
      </c>
      <c r="AA15" s="2330">
        <f t="shared" si="0"/>
        <v>0</v>
      </c>
      <c r="AB15" s="2330">
        <f t="shared" si="0"/>
        <v>2400000</v>
      </c>
      <c r="AC15" s="2330">
        <f t="shared" si="0"/>
        <v>4880000</v>
      </c>
      <c r="AD15" s="2330">
        <f t="shared" si="0"/>
        <v>6375000</v>
      </c>
      <c r="AE15" s="2573">
        <f>AE14+O53</f>
        <v>5160.2589079290001</v>
      </c>
    </row>
    <row r="16" spans="1:31" ht="21.75" customHeight="1">
      <c r="A16" s="1774">
        <v>1</v>
      </c>
      <c r="B16" s="1812" t="s">
        <v>821</v>
      </c>
      <c r="C16" s="1781" t="s">
        <v>362</v>
      </c>
      <c r="D16" s="2321"/>
      <c r="E16" s="4890"/>
      <c r="F16" s="4890"/>
      <c r="G16" s="4890"/>
      <c r="H16" s="4890"/>
      <c r="I16" s="4890"/>
      <c r="J16" s="4890"/>
      <c r="K16" s="4890"/>
      <c r="L16" s="4890"/>
      <c r="M16" s="1771"/>
      <c r="N16" s="2703"/>
      <c r="O16" s="1782"/>
      <c r="P16" s="2572"/>
      <c r="Q16" s="2324"/>
    </row>
    <row r="17" spans="1:41" ht="21" customHeight="1">
      <c r="A17" s="1774">
        <v>2</v>
      </c>
      <c r="B17" s="1812" t="s">
        <v>822</v>
      </c>
      <c r="C17" s="1776" t="s">
        <v>362</v>
      </c>
      <c r="D17" s="2321"/>
      <c r="E17" s="4890"/>
      <c r="F17" s="4890"/>
      <c r="G17" s="4890"/>
      <c r="H17" s="4890"/>
      <c r="I17" s="4890"/>
      <c r="J17" s="4890"/>
      <c r="K17" s="4890"/>
      <c r="L17" s="4890"/>
      <c r="M17" s="1771"/>
      <c r="N17" s="2703"/>
      <c r="O17" s="1782"/>
      <c r="P17" s="2572"/>
      <c r="Q17" s="2324"/>
      <c r="AF17" s="2574"/>
      <c r="AG17" s="2574">
        <v>25000</v>
      </c>
      <c r="AH17" s="2574"/>
      <c r="AI17" s="2574"/>
      <c r="AJ17" s="2574"/>
      <c r="AK17" s="2574"/>
      <c r="AL17" s="2574"/>
      <c r="AM17" s="2574"/>
      <c r="AN17" s="2574"/>
      <c r="AO17" s="2574"/>
    </row>
    <row r="18" spans="1:41" ht="38.25" customHeight="1">
      <c r="A18" s="1774">
        <v>3</v>
      </c>
      <c r="B18" s="1812" t="s">
        <v>1038</v>
      </c>
      <c r="C18" s="1781" t="s">
        <v>362</v>
      </c>
      <c r="D18" s="2321"/>
      <c r="E18" s="4890"/>
      <c r="F18" s="4890"/>
      <c r="G18" s="4890"/>
      <c r="H18" s="4890"/>
      <c r="I18" s="4890"/>
      <c r="J18" s="4890"/>
      <c r="K18" s="4890"/>
      <c r="L18" s="4890"/>
      <c r="M18" s="1771"/>
      <c r="N18" s="2703"/>
      <c r="O18" s="1782"/>
      <c r="P18" s="2572"/>
      <c r="Q18" s="2324"/>
      <c r="AF18" s="2575"/>
      <c r="AG18" s="2574"/>
      <c r="AH18" s="2574"/>
      <c r="AI18" s="2574"/>
      <c r="AJ18" s="2574"/>
      <c r="AK18" s="2574"/>
      <c r="AL18" s="2574"/>
      <c r="AM18" s="2574"/>
      <c r="AN18" s="2574"/>
      <c r="AO18" s="2574"/>
    </row>
    <row r="19" spans="1:41" ht="25.5" customHeight="1">
      <c r="A19" s="1774">
        <v>4</v>
      </c>
      <c r="B19" s="1812" t="s">
        <v>1040</v>
      </c>
      <c r="C19" s="1776" t="s">
        <v>362</v>
      </c>
      <c r="D19" s="2321"/>
      <c r="E19" s="4890"/>
      <c r="F19" s="4890"/>
      <c r="G19" s="4890"/>
      <c r="H19" s="4890"/>
      <c r="I19" s="4890"/>
      <c r="J19" s="4890"/>
      <c r="K19" s="4890"/>
      <c r="L19" s="4890"/>
      <c r="M19" s="1771"/>
      <c r="N19" s="2703"/>
      <c r="O19" s="1782"/>
      <c r="P19" s="2572"/>
      <c r="Q19" s="2324"/>
      <c r="AF19" s="2575"/>
      <c r="AG19" s="2574"/>
      <c r="AH19" s="2574"/>
      <c r="AI19" s="2574"/>
      <c r="AJ19" s="2574"/>
      <c r="AK19" s="2574"/>
      <c r="AL19" s="2574"/>
      <c r="AM19" s="2574"/>
      <c r="AN19" s="2574"/>
      <c r="AO19" s="2574"/>
    </row>
    <row r="20" spans="1:41" ht="21" customHeight="1">
      <c r="A20" s="1774">
        <v>5</v>
      </c>
      <c r="B20" s="1775" t="s">
        <v>1285</v>
      </c>
      <c r="C20" s="1776" t="s">
        <v>362</v>
      </c>
      <c r="D20" s="2321"/>
      <c r="E20" s="2703"/>
      <c r="F20" s="2703"/>
      <c r="G20" s="2703"/>
      <c r="H20" s="2703"/>
      <c r="I20" s="2703"/>
      <c r="J20" s="2703"/>
      <c r="K20" s="2703"/>
      <c r="L20" s="2703"/>
      <c r="M20" s="1771"/>
      <c r="N20" s="2703"/>
      <c r="O20" s="1782"/>
      <c r="P20" s="2572"/>
      <c r="Q20" s="2324"/>
      <c r="AF20" s="2575"/>
      <c r="AG20" s="2574"/>
      <c r="AH20" s="2574"/>
      <c r="AI20" s="2574"/>
      <c r="AJ20" s="2574"/>
      <c r="AK20" s="2574"/>
      <c r="AL20" s="2574"/>
      <c r="AM20" s="2574"/>
      <c r="AN20" s="2574"/>
      <c r="AO20" s="2574"/>
    </row>
    <row r="21" spans="1:41" ht="27" customHeight="1">
      <c r="A21" s="1783" t="s">
        <v>149</v>
      </c>
      <c r="B21" s="1784" t="s">
        <v>956</v>
      </c>
      <c r="C21" s="1781"/>
      <c r="D21" s="1814"/>
      <c r="E21" s="1789"/>
      <c r="F21" s="1789"/>
      <c r="G21" s="1789"/>
      <c r="H21" s="1789"/>
      <c r="I21" s="1789"/>
      <c r="J21" s="1789"/>
      <c r="K21" s="1789"/>
      <c r="L21" s="2325"/>
      <c r="M21" s="1788"/>
      <c r="N21" s="2576"/>
      <c r="O21" s="1790">
        <f>+O22+O47+O32</f>
        <v>4744.258907929001</v>
      </c>
      <c r="P21" s="2577"/>
      <c r="Q21" s="2327"/>
      <c r="AF21" s="2578"/>
      <c r="AG21" s="2579"/>
      <c r="AH21" s="2579"/>
      <c r="AI21" s="2579"/>
      <c r="AJ21" s="2574"/>
      <c r="AK21" s="2574"/>
      <c r="AL21" s="2574"/>
      <c r="AM21" s="2574"/>
      <c r="AN21" s="2574"/>
      <c r="AO21" s="2574"/>
    </row>
    <row r="22" spans="1:41" ht="19.5" customHeight="1">
      <c r="A22" s="1783">
        <v>1</v>
      </c>
      <c r="B22" s="1784" t="s">
        <v>927</v>
      </c>
      <c r="C22" s="1781"/>
      <c r="D22" s="1814"/>
      <c r="E22" s="1789"/>
      <c r="F22" s="1789"/>
      <c r="G22" s="1789"/>
      <c r="H22" s="1789"/>
      <c r="I22" s="1789"/>
      <c r="J22" s="1789"/>
      <c r="K22" s="1789"/>
      <c r="L22" s="2325"/>
      <c r="M22" s="1788"/>
      <c r="N22" s="2576"/>
      <c r="O22" s="1790">
        <f>+SUM(O23:O31)</f>
        <v>405.33482000000004</v>
      </c>
      <c r="P22" s="2577"/>
      <c r="Q22" s="2327"/>
      <c r="R22" s="2580"/>
      <c r="S22" s="2580"/>
      <c r="T22" s="2574"/>
      <c r="U22" s="2704"/>
      <c r="V22" s="2704"/>
      <c r="W22" s="2704"/>
      <c r="X22" s="2704"/>
      <c r="Y22" s="2704"/>
      <c r="Z22" s="2704"/>
      <c r="AA22" s="2704"/>
      <c r="AB22" s="2578"/>
      <c r="AC22" s="2578"/>
      <c r="AD22" s="2578"/>
      <c r="AE22" s="2578"/>
      <c r="AF22" s="2578"/>
      <c r="AG22" s="2578"/>
      <c r="AH22" s="2578"/>
      <c r="AI22" s="2578"/>
      <c r="AJ22" s="2578"/>
      <c r="AK22" s="2578"/>
      <c r="AL22" s="2574"/>
      <c r="AM22" s="2574"/>
      <c r="AN22" s="2574"/>
      <c r="AO22" s="2574"/>
    </row>
    <row r="23" spans="1:41" ht="36" customHeight="1">
      <c r="A23" s="1792" t="s">
        <v>837</v>
      </c>
      <c r="B23" s="1812" t="s">
        <v>1042</v>
      </c>
      <c r="C23" s="1781" t="s">
        <v>957</v>
      </c>
      <c r="D23" s="1814">
        <f>25000/175000</f>
        <v>0.14285714285714285</v>
      </c>
      <c r="E23" s="1804"/>
      <c r="F23" s="1794"/>
      <c r="G23" s="1805"/>
      <c r="H23" s="1796"/>
      <c r="I23" s="1804"/>
      <c r="J23" s="1796"/>
      <c r="K23" s="1789"/>
      <c r="L23" s="2325"/>
      <c r="M23" s="1788">
        <f>20+3</f>
        <v>23</v>
      </c>
      <c r="N23" s="2576">
        <v>1</v>
      </c>
      <c r="O23" s="2582">
        <f>ROUND((M23/D23)*N23,9)</f>
        <v>161</v>
      </c>
      <c r="P23" s="2577"/>
      <c r="Q23" s="2327"/>
      <c r="R23" s="2583"/>
      <c r="S23" s="2704"/>
      <c r="T23" s="2584"/>
      <c r="U23" s="2584"/>
      <c r="V23" s="2584"/>
      <c r="W23" s="2584"/>
      <c r="X23" s="2584"/>
      <c r="Y23" s="2584"/>
      <c r="Z23" s="2704"/>
      <c r="AA23" s="2704"/>
      <c r="AB23" s="2585"/>
      <c r="AC23" s="2585"/>
      <c r="AD23" s="2585"/>
      <c r="AE23" s="2585"/>
      <c r="AF23" s="2585"/>
      <c r="AG23" s="2585"/>
      <c r="AH23" s="2575"/>
      <c r="AI23" s="2575"/>
      <c r="AJ23" s="2575"/>
      <c r="AK23" s="2575"/>
      <c r="AL23" s="2574"/>
      <c r="AM23" s="2574"/>
      <c r="AN23" s="2574"/>
      <c r="AO23" s="2574"/>
    </row>
    <row r="24" spans="1:41" ht="23.25" customHeight="1">
      <c r="A24" s="1792" t="s">
        <v>838</v>
      </c>
      <c r="B24" s="1812" t="s">
        <v>1043</v>
      </c>
      <c r="C24" s="1781" t="s">
        <v>957</v>
      </c>
      <c r="D24" s="1814">
        <f>25000/150000</f>
        <v>0.16666666666666666</v>
      </c>
      <c r="E24" s="1804"/>
      <c r="F24" s="1794"/>
      <c r="G24" s="1805"/>
      <c r="H24" s="1796"/>
      <c r="I24" s="1804"/>
      <c r="J24" s="1796"/>
      <c r="K24" s="1789"/>
      <c r="L24" s="2325"/>
      <c r="M24" s="1788">
        <v>6</v>
      </c>
      <c r="N24" s="2576">
        <v>1</v>
      </c>
      <c r="O24" s="1782">
        <f>ROUND((M24/D24)*N24,9)</f>
        <v>36</v>
      </c>
      <c r="P24" s="2577"/>
      <c r="Q24" s="2327"/>
      <c r="R24" s="2583"/>
      <c r="S24" s="2704"/>
      <c r="T24" s="2704"/>
      <c r="U24" s="2704"/>
      <c r="V24" s="2704"/>
      <c r="W24" s="2704"/>
      <c r="X24" s="2704"/>
      <c r="Y24" s="2704"/>
      <c r="Z24" s="2704"/>
      <c r="AA24" s="2704"/>
      <c r="AB24" s="2575"/>
      <c r="AC24" s="2575"/>
      <c r="AD24" s="2575"/>
      <c r="AE24" s="2575"/>
      <c r="AF24" s="2575"/>
      <c r="AG24" s="2575"/>
      <c r="AH24" s="2575"/>
      <c r="AI24" s="2575"/>
      <c r="AJ24" s="2575"/>
      <c r="AK24" s="2575"/>
      <c r="AL24" s="2574"/>
      <c r="AM24" s="2574"/>
      <c r="AN24" s="2574"/>
      <c r="AO24" s="2574"/>
    </row>
    <row r="25" spans="1:41" ht="23.25" customHeight="1">
      <c r="A25" s="1792" t="s">
        <v>1044</v>
      </c>
      <c r="B25" s="1812" t="s">
        <v>204</v>
      </c>
      <c r="C25" s="1781" t="s">
        <v>957</v>
      </c>
      <c r="D25" s="1814">
        <v>1.25</v>
      </c>
      <c r="E25" s="1804"/>
      <c r="F25" s="1794"/>
      <c r="G25" s="1805"/>
      <c r="H25" s="1796"/>
      <c r="I25" s="1804"/>
      <c r="J25" s="1796"/>
      <c r="K25" s="1789"/>
      <c r="L25" s="2325"/>
      <c r="M25" s="1788">
        <v>23</v>
      </c>
      <c r="N25" s="2576">
        <v>1</v>
      </c>
      <c r="O25" s="1782">
        <f>ROUND((M25/D25)*N25,9)</f>
        <v>18.399999999999999</v>
      </c>
      <c r="P25" s="2577"/>
      <c r="Q25" s="2327"/>
      <c r="R25" s="2583"/>
      <c r="S25" s="2583"/>
      <c r="T25" s="2583"/>
      <c r="U25" s="2583"/>
      <c r="V25" s="2583"/>
      <c r="W25" s="2583"/>
      <c r="X25" s="2583"/>
      <c r="Y25" s="2583"/>
      <c r="Z25" s="2583"/>
      <c r="AA25" s="2583"/>
      <c r="AB25" s="2575"/>
      <c r="AC25" s="2575"/>
      <c r="AD25" s="2575"/>
      <c r="AE25" s="2575"/>
      <c r="AF25" s="2575"/>
      <c r="AG25" s="2575"/>
      <c r="AH25" s="2575"/>
      <c r="AI25" s="2575"/>
      <c r="AJ25" s="2575"/>
      <c r="AK25" s="2575"/>
      <c r="AL25" s="2574"/>
      <c r="AM25" s="2574"/>
      <c r="AN25" s="2574"/>
      <c r="AO25" s="2574"/>
    </row>
    <row r="26" spans="1:41" ht="21" customHeight="1">
      <c r="A26" s="4832" t="s">
        <v>1045</v>
      </c>
      <c r="B26" s="4885" t="s">
        <v>1052</v>
      </c>
      <c r="C26" s="4836" t="s">
        <v>1047</v>
      </c>
      <c r="D26" s="4838">
        <f>1/5</f>
        <v>0.2</v>
      </c>
      <c r="E26" s="1804">
        <v>8</v>
      </c>
      <c r="F26" s="1794">
        <v>1.87</v>
      </c>
      <c r="G26" s="1804">
        <v>9</v>
      </c>
      <c r="H26" s="1796">
        <v>9.84</v>
      </c>
      <c r="I26" s="1789" t="s">
        <v>1053</v>
      </c>
      <c r="J26" s="2325">
        <v>3.31</v>
      </c>
      <c r="K26" s="1789" t="s">
        <v>1056</v>
      </c>
      <c r="L26" s="2325">
        <v>3.5</v>
      </c>
      <c r="M26" s="4840">
        <f>+F26+H26+J26+L26+F27+H27+J27+L27+F28</f>
        <v>35.440000000000005</v>
      </c>
      <c r="N26" s="4881">
        <v>1</v>
      </c>
      <c r="O26" s="4825">
        <f>ROUND((M26/D26)*N26,9)</f>
        <v>177.2</v>
      </c>
      <c r="P26" s="4883" t="s">
        <v>1055</v>
      </c>
      <c r="Q26" s="2333"/>
      <c r="R26" s="2586"/>
      <c r="S26" s="2587"/>
      <c r="T26" s="2587"/>
      <c r="U26" s="2587"/>
      <c r="V26" s="2587"/>
      <c r="W26" s="2587"/>
      <c r="X26" s="2587"/>
      <c r="Y26" s="2587"/>
      <c r="Z26" s="2587"/>
      <c r="AA26" s="2587"/>
      <c r="AB26" s="2574"/>
      <c r="AC26" s="2574"/>
      <c r="AD26" s="2574"/>
      <c r="AE26" s="2574"/>
      <c r="AF26" s="2574"/>
      <c r="AG26" s="2574"/>
      <c r="AH26" s="2574"/>
      <c r="AI26" s="2574"/>
      <c r="AJ26" s="2574"/>
      <c r="AK26" s="2574"/>
      <c r="AL26" s="2574"/>
      <c r="AM26" s="2574"/>
      <c r="AN26" s="2574"/>
      <c r="AO26" s="2574"/>
    </row>
    <row r="27" spans="1:41" ht="21" customHeight="1">
      <c r="A27" s="4846"/>
      <c r="B27" s="4886"/>
      <c r="C27" s="4848"/>
      <c r="D27" s="4849"/>
      <c r="E27" s="1805" t="s">
        <v>1054</v>
      </c>
      <c r="F27" s="1796">
        <v>6.21</v>
      </c>
      <c r="G27" s="1804" t="s">
        <v>1057</v>
      </c>
      <c r="H27" s="1796">
        <v>3.75</v>
      </c>
      <c r="I27" s="1789" t="s">
        <v>209</v>
      </c>
      <c r="J27" s="2325">
        <v>1.74</v>
      </c>
      <c r="K27" s="1789">
        <v>9</v>
      </c>
      <c r="L27" s="2325">
        <v>2.23</v>
      </c>
      <c r="M27" s="4850"/>
      <c r="N27" s="4888"/>
      <c r="O27" s="4845"/>
      <c r="P27" s="4889"/>
      <c r="Q27" s="2333"/>
      <c r="R27" s="2586"/>
      <c r="S27" s="2587"/>
      <c r="T27" s="2587"/>
      <c r="U27" s="2587"/>
      <c r="V27" s="2587"/>
      <c r="W27" s="2587"/>
      <c r="X27" s="2587"/>
      <c r="Y27" s="2587"/>
      <c r="Z27" s="2587"/>
      <c r="AA27" s="2587"/>
      <c r="AB27" s="2574"/>
      <c r="AC27" s="2574"/>
      <c r="AD27" s="2574"/>
      <c r="AE27" s="2574"/>
      <c r="AF27" s="2574"/>
      <c r="AG27" s="2574"/>
      <c r="AH27" s="2574"/>
      <c r="AI27" s="2574"/>
      <c r="AJ27" s="2574"/>
      <c r="AK27" s="2574"/>
      <c r="AL27" s="2574"/>
      <c r="AM27" s="2574"/>
      <c r="AN27" s="2574"/>
      <c r="AO27" s="2574"/>
    </row>
    <row r="28" spans="1:41" ht="21" customHeight="1">
      <c r="A28" s="4833"/>
      <c r="B28" s="4887"/>
      <c r="C28" s="4837"/>
      <c r="D28" s="4839"/>
      <c r="E28" s="1805" t="s">
        <v>1071</v>
      </c>
      <c r="F28" s="1796">
        <v>2.99</v>
      </c>
      <c r="G28" s="1804"/>
      <c r="H28" s="1796"/>
      <c r="I28" s="1789"/>
      <c r="J28" s="2325"/>
      <c r="K28" s="1789"/>
      <c r="L28" s="2325"/>
      <c r="M28" s="4841"/>
      <c r="N28" s="4882"/>
      <c r="O28" s="4826"/>
      <c r="P28" s="4884"/>
      <c r="Q28" s="2333"/>
      <c r="R28" s="2586"/>
      <c r="S28" s="2587"/>
      <c r="T28" s="2587"/>
      <c r="U28" s="2587"/>
      <c r="V28" s="2587"/>
      <c r="W28" s="2587"/>
      <c r="X28" s="2587"/>
      <c r="Y28" s="2587"/>
      <c r="Z28" s="2587"/>
      <c r="AA28" s="2587"/>
      <c r="AB28" s="2574"/>
      <c r="AC28" s="2574"/>
      <c r="AD28" s="2574"/>
      <c r="AE28" s="2574"/>
      <c r="AF28" s="2574"/>
      <c r="AG28" s="2574"/>
      <c r="AH28" s="2574"/>
      <c r="AI28" s="2588"/>
      <c r="AJ28" s="2574"/>
      <c r="AK28" s="2574"/>
      <c r="AL28" s="2574"/>
      <c r="AM28" s="2574"/>
      <c r="AN28" s="2574"/>
      <c r="AO28" s="2574"/>
    </row>
    <row r="29" spans="1:41" ht="24.75" customHeight="1">
      <c r="A29" s="1792" t="s">
        <v>1051</v>
      </c>
      <c r="B29" s="1812" t="s">
        <v>1060</v>
      </c>
      <c r="C29" s="1781" t="s">
        <v>818</v>
      </c>
      <c r="D29" s="1814">
        <v>1</v>
      </c>
      <c r="E29" s="1805"/>
      <c r="F29" s="1796"/>
      <c r="G29" s="1804"/>
      <c r="H29" s="1796"/>
      <c r="I29" s="1789"/>
      <c r="J29" s="2325"/>
      <c r="K29" s="1789"/>
      <c r="L29" s="2325"/>
      <c r="M29" s="1788">
        <f>12734.82/1000</f>
        <v>12.734819999999999</v>
      </c>
      <c r="N29" s="2576">
        <v>1</v>
      </c>
      <c r="O29" s="1782">
        <f>ROUND((M29/D29)*N29,9)</f>
        <v>12.734819999999999</v>
      </c>
      <c r="P29" s="2589"/>
      <c r="Q29" s="2333"/>
      <c r="R29" s="2574"/>
      <c r="S29" s="2574"/>
      <c r="T29" s="2574"/>
      <c r="U29" s="2574"/>
      <c r="V29" s="2574"/>
      <c r="W29" s="2574"/>
      <c r="X29" s="2574"/>
      <c r="Y29" s="2574"/>
      <c r="Z29" s="2574"/>
      <c r="AA29" s="2574"/>
      <c r="AB29" s="2574"/>
      <c r="AC29" s="2574"/>
      <c r="AD29" s="2574"/>
      <c r="AE29" s="2574"/>
      <c r="AF29" s="2574"/>
      <c r="AG29" s="2574"/>
      <c r="AH29" s="2574"/>
      <c r="AI29" s="2574"/>
      <c r="AJ29" s="2574"/>
      <c r="AK29" s="2574"/>
      <c r="AL29" s="2574"/>
      <c r="AM29" s="2574"/>
      <c r="AN29" s="2574"/>
      <c r="AO29" s="2574"/>
    </row>
    <row r="30" spans="1:41" ht="27.75" hidden="1" customHeight="1">
      <c r="A30" s="4832" t="s">
        <v>1059</v>
      </c>
      <c r="B30" s="4885" t="s">
        <v>1061</v>
      </c>
      <c r="C30" s="4836" t="s">
        <v>1047</v>
      </c>
      <c r="D30" s="4838">
        <v>0.20829999999999999</v>
      </c>
      <c r="E30" s="1805"/>
      <c r="F30" s="1796"/>
      <c r="G30" s="1804"/>
      <c r="H30" s="1796"/>
      <c r="I30" s="1789"/>
      <c r="J30" s="2325"/>
      <c r="K30" s="1789"/>
      <c r="L30" s="2325"/>
      <c r="M30" s="4840">
        <f>F30+H30+J30+L30+F31+H31+J31+L31</f>
        <v>0</v>
      </c>
      <c r="N30" s="4881">
        <v>1</v>
      </c>
      <c r="O30" s="4825">
        <f>ROUND((M30/D30)*N30,9)</f>
        <v>0</v>
      </c>
      <c r="P30" s="2589"/>
      <c r="Q30" s="2333"/>
      <c r="R30" s="2574"/>
      <c r="S30" s="2574"/>
      <c r="T30" s="2574"/>
      <c r="U30" s="2574"/>
      <c r="V30" s="2574"/>
      <c r="W30" s="2574"/>
      <c r="X30" s="2574"/>
      <c r="Y30" s="2574"/>
      <c r="Z30" s="2574"/>
      <c r="AA30" s="2574"/>
      <c r="AB30" s="2574"/>
      <c r="AC30" s="2574"/>
      <c r="AD30" s="2574"/>
      <c r="AE30" s="2574"/>
      <c r="AF30" s="2574"/>
      <c r="AG30" s="2574"/>
      <c r="AH30" s="2574"/>
      <c r="AI30" s="2574"/>
      <c r="AJ30" s="2574"/>
      <c r="AK30" s="2574"/>
      <c r="AL30" s="2574"/>
      <c r="AM30" s="2574"/>
      <c r="AN30" s="2574"/>
      <c r="AO30" s="2574"/>
    </row>
    <row r="31" spans="1:41" ht="27.75" hidden="1" customHeight="1">
      <c r="A31" s="4833"/>
      <c r="B31" s="4887"/>
      <c r="C31" s="4837"/>
      <c r="D31" s="4839"/>
      <c r="E31" s="1805"/>
      <c r="F31" s="1796"/>
      <c r="G31" s="1804"/>
      <c r="H31" s="1796"/>
      <c r="I31" s="1789"/>
      <c r="J31" s="2325"/>
      <c r="K31" s="1789"/>
      <c r="L31" s="2325"/>
      <c r="M31" s="4841"/>
      <c r="N31" s="4882"/>
      <c r="O31" s="4826"/>
      <c r="P31" s="2589"/>
      <c r="Q31" s="2333"/>
      <c r="R31" s="2574"/>
      <c r="S31" s="2574"/>
      <c r="T31" s="2574"/>
      <c r="U31" s="2574"/>
      <c r="V31" s="2574"/>
      <c r="W31" s="2574"/>
      <c r="X31" s="2574"/>
      <c r="Y31" s="2574"/>
      <c r="Z31" s="2574"/>
      <c r="AA31" s="2574"/>
      <c r="AB31" s="2574"/>
      <c r="AC31" s="2574"/>
      <c r="AD31" s="2574"/>
      <c r="AE31" s="2574"/>
      <c r="AF31" s="2574"/>
      <c r="AG31" s="2574"/>
      <c r="AH31" s="2574"/>
      <c r="AI31" s="2574"/>
      <c r="AJ31" s="2574"/>
      <c r="AK31" s="2574"/>
      <c r="AL31" s="2574"/>
      <c r="AM31" s="2574"/>
      <c r="AN31" s="2574"/>
      <c r="AO31" s="2574"/>
    </row>
    <row r="32" spans="1:41" ht="21" customHeight="1">
      <c r="A32" s="1783">
        <v>2</v>
      </c>
      <c r="B32" s="1784" t="s">
        <v>824</v>
      </c>
      <c r="C32" s="1781"/>
      <c r="D32" s="1814"/>
      <c r="E32" s="1804"/>
      <c r="F32" s="1796"/>
      <c r="G32" s="1804"/>
      <c r="H32" s="1796"/>
      <c r="I32" s="1805"/>
      <c r="J32" s="1796"/>
      <c r="K32" s="1805"/>
      <c r="L32" s="1796"/>
      <c r="M32" s="1788"/>
      <c r="N32" s="2576"/>
      <c r="O32" s="1790">
        <f>+SUM(O33:O46)</f>
        <v>2964.8840879290005</v>
      </c>
      <c r="P32" s="2577"/>
      <c r="Q32" s="2327"/>
      <c r="R32" s="2574"/>
      <c r="S32" s="2574"/>
      <c r="T32" s="2586"/>
      <c r="U32" s="2586"/>
      <c r="V32" s="2586"/>
      <c r="W32" s="2586"/>
      <c r="X32" s="2586"/>
      <c r="Y32" s="2586"/>
      <c r="Z32" s="2574"/>
      <c r="AA32" s="2574"/>
      <c r="AB32" s="2574"/>
      <c r="AC32" s="2574"/>
      <c r="AD32" s="2574"/>
      <c r="AE32" s="2574"/>
      <c r="AF32" s="2574"/>
      <c r="AG32" s="2574"/>
      <c r="AH32" s="2574"/>
      <c r="AI32" s="2574"/>
      <c r="AJ32" s="2574"/>
      <c r="AK32" s="2574"/>
      <c r="AL32" s="2574"/>
      <c r="AM32" s="2574"/>
      <c r="AN32" s="2574"/>
      <c r="AO32" s="2574"/>
    </row>
    <row r="33" spans="1:41" ht="44.25" customHeight="1">
      <c r="A33" s="1792" t="s">
        <v>967</v>
      </c>
      <c r="B33" s="1812" t="s">
        <v>1042</v>
      </c>
      <c r="C33" s="1781" t="s">
        <v>957</v>
      </c>
      <c r="D33" s="1814">
        <f>25000/175000</f>
        <v>0.14285714285714285</v>
      </c>
      <c r="E33" s="1804"/>
      <c r="F33" s="1794"/>
      <c r="G33" s="1805"/>
      <c r="H33" s="1796"/>
      <c r="I33" s="1804"/>
      <c r="J33" s="1796"/>
      <c r="K33" s="1789"/>
      <c r="L33" s="2325"/>
      <c r="M33" s="1788">
        <f>31+30</f>
        <v>61</v>
      </c>
      <c r="N33" s="2576">
        <v>1</v>
      </c>
      <c r="O33" s="2582">
        <f>ROUND((M33/D33)*N33,9)</f>
        <v>427</v>
      </c>
      <c r="P33" s="2577"/>
      <c r="Q33" s="2327"/>
      <c r="R33" s="2574"/>
      <c r="S33" s="2574"/>
      <c r="T33" s="2586"/>
      <c r="U33" s="2586"/>
      <c r="V33" s="2586"/>
      <c r="W33" s="2586"/>
      <c r="X33" s="2586"/>
      <c r="Y33" s="2586"/>
      <c r="Z33" s="2574"/>
      <c r="AA33" s="2574"/>
      <c r="AB33" s="2574"/>
      <c r="AC33" s="2574"/>
      <c r="AD33" s="2574"/>
      <c r="AE33" s="2574"/>
      <c r="AF33" s="2574"/>
      <c r="AG33" s="2574"/>
      <c r="AH33" s="2574"/>
      <c r="AI33" s="2590"/>
      <c r="AJ33" s="2574"/>
      <c r="AK33" s="2574"/>
      <c r="AL33" s="2574"/>
      <c r="AM33" s="2574"/>
      <c r="AN33" s="2574"/>
      <c r="AO33" s="2574"/>
    </row>
    <row r="34" spans="1:41" ht="44.25" customHeight="1">
      <c r="A34" s="1792" t="s">
        <v>1062</v>
      </c>
      <c r="B34" s="2335" t="s">
        <v>1216</v>
      </c>
      <c r="C34" s="1781" t="s">
        <v>957</v>
      </c>
      <c r="D34" s="2591">
        <f t="shared" ref="D34" si="1">25000/187500</f>
        <v>0.13333333333333333</v>
      </c>
      <c r="E34" s="1804"/>
      <c r="F34" s="1796"/>
      <c r="G34" s="1805"/>
      <c r="H34" s="1796"/>
      <c r="I34" s="1804"/>
      <c r="J34" s="1796"/>
      <c r="K34" s="1804"/>
      <c r="L34" s="1796"/>
      <c r="M34" s="1788">
        <v>34</v>
      </c>
      <c r="N34" s="2576">
        <v>1</v>
      </c>
      <c r="O34" s="1782">
        <f t="shared" ref="O34:O40" si="2">ROUND((M34/D34)*N34,9)</f>
        <v>255</v>
      </c>
      <c r="P34" s="2577"/>
      <c r="Q34" s="2327"/>
      <c r="R34" s="2574"/>
      <c r="S34" s="2574"/>
      <c r="T34" s="2574"/>
      <c r="U34" s="2574"/>
      <c r="V34" s="2574"/>
      <c r="W34" s="2574"/>
      <c r="X34" s="2574"/>
      <c r="Y34" s="2574"/>
      <c r="Z34" s="2574"/>
      <c r="AA34" s="2574"/>
      <c r="AB34" s="2574"/>
      <c r="AC34" s="2574"/>
      <c r="AD34" s="2574"/>
      <c r="AE34" s="2574"/>
      <c r="AF34" s="2574"/>
      <c r="AG34" s="2574"/>
      <c r="AH34" s="2574"/>
      <c r="AI34" s="2574"/>
      <c r="AJ34" s="2574"/>
      <c r="AK34" s="2574"/>
      <c r="AL34" s="2574"/>
      <c r="AM34" s="2574"/>
      <c r="AN34" s="2574"/>
      <c r="AO34" s="2574"/>
    </row>
    <row r="35" spans="1:41" ht="44.25" customHeight="1">
      <c r="A35" s="1792" t="s">
        <v>1063</v>
      </c>
      <c r="B35" s="1812" t="s">
        <v>1077</v>
      </c>
      <c r="C35" s="1781" t="s">
        <v>957</v>
      </c>
      <c r="D35" s="1814">
        <f>25000/200000</f>
        <v>0.125</v>
      </c>
      <c r="E35" s="1804"/>
      <c r="F35" s="1796"/>
      <c r="G35" s="1805"/>
      <c r="H35" s="1796"/>
      <c r="I35" s="1805"/>
      <c r="J35" s="1796"/>
      <c r="K35" s="2363"/>
      <c r="L35" s="1801"/>
      <c r="M35" s="1788">
        <v>9</v>
      </c>
      <c r="N35" s="2576">
        <v>1</v>
      </c>
      <c r="O35" s="1782">
        <f t="shared" si="2"/>
        <v>72</v>
      </c>
      <c r="P35" s="2577"/>
      <c r="Q35" s="2327"/>
      <c r="R35" s="2592"/>
      <c r="S35" s="2592"/>
      <c r="T35" s="2586"/>
      <c r="U35" s="2586"/>
      <c r="V35" s="2586"/>
      <c r="W35" s="2586"/>
      <c r="X35" s="2586"/>
      <c r="Y35" s="2586"/>
      <c r="Z35" s="2586"/>
      <c r="AA35" s="2586"/>
      <c r="AB35" s="2574"/>
      <c r="AC35" s="2574"/>
      <c r="AD35" s="2574"/>
      <c r="AE35" s="2574"/>
      <c r="AF35" s="2574"/>
      <c r="AG35" s="2574"/>
      <c r="AH35" s="2574"/>
      <c r="AI35" s="2574"/>
      <c r="AJ35" s="2574"/>
      <c r="AK35" s="2574"/>
      <c r="AL35" s="2574"/>
      <c r="AM35" s="2574"/>
      <c r="AN35" s="2574"/>
      <c r="AO35" s="2574"/>
    </row>
    <row r="36" spans="1:41" ht="44.25" customHeight="1">
      <c r="A36" s="1792" t="s">
        <v>1064</v>
      </c>
      <c r="B36" s="1812" t="s">
        <v>1286</v>
      </c>
      <c r="C36" s="1781" t="s">
        <v>957</v>
      </c>
      <c r="D36" s="1814">
        <f>1/3</f>
        <v>0.33333333333333331</v>
      </c>
      <c r="E36" s="1804"/>
      <c r="F36" s="1796"/>
      <c r="G36" s="1805"/>
      <c r="H36" s="1796"/>
      <c r="I36" s="1805"/>
      <c r="J36" s="1796"/>
      <c r="K36" s="2363"/>
      <c r="L36" s="1801"/>
      <c r="M36" s="1788">
        <v>11</v>
      </c>
      <c r="N36" s="2576">
        <v>1</v>
      </c>
      <c r="O36" s="1782">
        <f t="shared" si="2"/>
        <v>33</v>
      </c>
      <c r="P36" s="2577"/>
      <c r="Q36" s="2327"/>
      <c r="R36" s="2592"/>
      <c r="S36" s="2592"/>
      <c r="T36" s="2586"/>
      <c r="U36" s="2586"/>
      <c r="V36" s="2586"/>
      <c r="W36" s="2586"/>
      <c r="X36" s="2586"/>
      <c r="Y36" s="2586"/>
      <c r="Z36" s="2586"/>
      <c r="AA36" s="2586"/>
      <c r="AB36" s="2574"/>
      <c r="AC36" s="2574"/>
      <c r="AD36" s="2574"/>
      <c r="AE36" s="2574"/>
      <c r="AF36" s="2574"/>
      <c r="AG36" s="2574"/>
      <c r="AH36" s="2574"/>
      <c r="AI36" s="2574"/>
      <c r="AJ36" s="2574"/>
      <c r="AK36" s="2574"/>
      <c r="AL36" s="2574"/>
      <c r="AM36" s="2574"/>
      <c r="AN36" s="2574"/>
      <c r="AO36" s="2574"/>
    </row>
    <row r="37" spans="1:41" ht="44.25" customHeight="1">
      <c r="A37" s="1792" t="s">
        <v>1065</v>
      </c>
      <c r="B37" s="1812" t="s">
        <v>1043</v>
      </c>
      <c r="C37" s="1781" t="s">
        <v>957</v>
      </c>
      <c r="D37" s="1814">
        <f>25000/150000</f>
        <v>0.16666666666666666</v>
      </c>
      <c r="E37" s="1804"/>
      <c r="F37" s="1796"/>
      <c r="G37" s="1805"/>
      <c r="H37" s="1796"/>
      <c r="I37" s="1805"/>
      <c r="J37" s="1796"/>
      <c r="K37" s="2363"/>
      <c r="L37" s="1801"/>
      <c r="M37" s="1788">
        <f>42+96</f>
        <v>138</v>
      </c>
      <c r="N37" s="2576">
        <v>1</v>
      </c>
      <c r="O37" s="1782">
        <f t="shared" si="2"/>
        <v>828</v>
      </c>
      <c r="P37" s="2577"/>
      <c r="Q37" s="2327"/>
      <c r="R37" s="2593"/>
      <c r="S37" s="2594"/>
      <c r="T37" s="2586"/>
      <c r="U37" s="2586"/>
      <c r="V37" s="2586"/>
      <c r="W37" s="2586"/>
      <c r="X37" s="2586"/>
      <c r="Y37" s="2586"/>
      <c r="Z37" s="2586"/>
      <c r="AA37" s="2586"/>
      <c r="AB37" s="2574"/>
      <c r="AC37" s="2574"/>
      <c r="AD37" s="2574"/>
      <c r="AE37" s="2574"/>
      <c r="AF37" s="2574"/>
      <c r="AG37" s="2574"/>
      <c r="AH37" s="2574"/>
      <c r="AI37" s="2574"/>
      <c r="AJ37" s="2574"/>
      <c r="AK37" s="2574"/>
      <c r="AL37" s="2574"/>
      <c r="AM37" s="2574"/>
      <c r="AN37" s="2574"/>
      <c r="AO37" s="2574"/>
    </row>
    <row r="38" spans="1:41" ht="44.25" customHeight="1">
      <c r="A38" s="1792" t="s">
        <v>1066</v>
      </c>
      <c r="B38" s="1812" t="s">
        <v>204</v>
      </c>
      <c r="C38" s="1781" t="s">
        <v>957</v>
      </c>
      <c r="D38" s="1814">
        <v>1.25</v>
      </c>
      <c r="E38" s="1804"/>
      <c r="F38" s="1796"/>
      <c r="G38" s="1805"/>
      <c r="H38" s="1796"/>
      <c r="I38" s="1805"/>
      <c r="J38" s="1796"/>
      <c r="K38" s="2363"/>
      <c r="L38" s="1801"/>
      <c r="M38" s="1788">
        <f>152-17-4</f>
        <v>131</v>
      </c>
      <c r="N38" s="2576">
        <v>1</v>
      </c>
      <c r="O38" s="1782">
        <f t="shared" si="2"/>
        <v>104.8</v>
      </c>
      <c r="P38" s="2577"/>
      <c r="Q38" s="2327"/>
      <c r="R38" s="2593"/>
      <c r="S38" s="2594"/>
      <c r="T38" s="2586"/>
      <c r="U38" s="2586"/>
      <c r="V38" s="2586"/>
      <c r="W38" s="2586"/>
      <c r="X38" s="2586"/>
      <c r="Y38" s="2586"/>
      <c r="Z38" s="2586"/>
      <c r="AA38" s="2586"/>
      <c r="AB38" s="2574"/>
      <c r="AC38" s="2574"/>
      <c r="AD38" s="2574"/>
      <c r="AE38" s="2574"/>
      <c r="AF38" s="2574"/>
      <c r="AG38" s="2574"/>
      <c r="AH38" s="2574"/>
      <c r="AI38" s="2574"/>
      <c r="AJ38" s="2574"/>
      <c r="AK38" s="2574"/>
      <c r="AL38" s="2574"/>
      <c r="AM38" s="2574"/>
      <c r="AN38" s="2574"/>
      <c r="AO38" s="2574"/>
    </row>
    <row r="39" spans="1:41" ht="30" customHeight="1">
      <c r="A39" s="1792" t="s">
        <v>1069</v>
      </c>
      <c r="B39" s="1812" t="s">
        <v>1046</v>
      </c>
      <c r="C39" s="1781" t="s">
        <v>1047</v>
      </c>
      <c r="D39" s="1814">
        <f>1/16</f>
        <v>6.25E-2</v>
      </c>
      <c r="E39" s="1804" t="s">
        <v>1070</v>
      </c>
      <c r="F39" s="1800">
        <v>7.4</v>
      </c>
      <c r="G39" s="1804">
        <v>4</v>
      </c>
      <c r="H39" s="1796">
        <v>11.43</v>
      </c>
      <c r="I39" s="1804" t="s">
        <v>159</v>
      </c>
      <c r="J39" s="1796">
        <v>20.03</v>
      </c>
      <c r="K39" s="1804" t="s">
        <v>1083</v>
      </c>
      <c r="L39" s="2325">
        <v>3.95</v>
      </c>
      <c r="M39" s="1788">
        <f>F39+H39+J39+L39</f>
        <v>42.81</v>
      </c>
      <c r="N39" s="2576">
        <v>1</v>
      </c>
      <c r="O39" s="1782">
        <f>ROUND((M39/D39)*N39,9)</f>
        <v>684.96</v>
      </c>
      <c r="P39" s="2577"/>
      <c r="Q39" s="2327"/>
      <c r="R39" s="2593"/>
      <c r="S39" s="2593"/>
      <c r="T39" s="2586"/>
      <c r="U39" s="2586"/>
      <c r="V39" s="2586"/>
      <c r="W39" s="2586"/>
      <c r="X39" s="2586"/>
      <c r="Y39" s="2586"/>
      <c r="Z39" s="2586"/>
      <c r="AA39" s="2586"/>
      <c r="AB39" s="2574"/>
      <c r="AC39" s="2574"/>
      <c r="AD39" s="2574"/>
      <c r="AE39" s="2574"/>
      <c r="AF39" s="2574"/>
      <c r="AG39" s="2574"/>
      <c r="AH39" s="2574"/>
      <c r="AI39" s="2574"/>
      <c r="AJ39" s="2574"/>
      <c r="AK39" s="2574"/>
      <c r="AL39" s="2574"/>
      <c r="AM39" s="2574"/>
      <c r="AN39" s="2574"/>
      <c r="AO39" s="2574"/>
    </row>
    <row r="40" spans="1:41" ht="35.25" customHeight="1">
      <c r="A40" s="4832" t="s">
        <v>1074</v>
      </c>
      <c r="B40" s="4885" t="s">
        <v>1052</v>
      </c>
      <c r="C40" s="4836" t="s">
        <v>1047</v>
      </c>
      <c r="D40" s="4838">
        <f>1/5</f>
        <v>0.2</v>
      </c>
      <c r="E40" s="1804" t="s">
        <v>159</v>
      </c>
      <c r="F40" s="1801">
        <v>6.58</v>
      </c>
      <c r="G40" s="1804" t="s">
        <v>159</v>
      </c>
      <c r="H40" s="1801">
        <v>1.01</v>
      </c>
      <c r="I40" s="1804" t="s">
        <v>159</v>
      </c>
      <c r="J40" s="1796">
        <v>19.63</v>
      </c>
      <c r="K40" s="1804" t="s">
        <v>1082</v>
      </c>
      <c r="L40" s="1801">
        <v>10.68</v>
      </c>
      <c r="M40" s="4840">
        <f>L40+L41+J40+J41+H40+H41+F40+F41</f>
        <v>53.98</v>
      </c>
      <c r="N40" s="4881">
        <v>1</v>
      </c>
      <c r="O40" s="4825">
        <f t="shared" si="2"/>
        <v>269.89999999999998</v>
      </c>
      <c r="P40" s="4883" t="s">
        <v>1055</v>
      </c>
      <c r="Q40" s="2333"/>
      <c r="R40" s="2593"/>
      <c r="S40" s="2593"/>
      <c r="T40" s="2586"/>
      <c r="U40" s="2586"/>
      <c r="V40" s="2586"/>
      <c r="W40" s="2586"/>
      <c r="X40" s="2586"/>
      <c r="Y40" s="2586"/>
      <c r="Z40" s="2586"/>
      <c r="AA40" s="2586"/>
      <c r="AB40" s="2574"/>
      <c r="AC40" s="2574"/>
      <c r="AD40" s="2574"/>
      <c r="AE40" s="2574"/>
      <c r="AF40" s="2574"/>
      <c r="AG40" s="2574"/>
      <c r="AH40" s="2574"/>
      <c r="AI40" s="2574"/>
      <c r="AJ40" s="2574"/>
      <c r="AK40" s="2574"/>
      <c r="AL40" s="2574"/>
      <c r="AM40" s="2574"/>
      <c r="AN40" s="2574"/>
      <c r="AO40" s="2574"/>
    </row>
    <row r="41" spans="1:41" ht="35.25" customHeight="1">
      <c r="A41" s="4846"/>
      <c r="B41" s="4886"/>
      <c r="C41" s="4837"/>
      <c r="D41" s="4839"/>
      <c r="E41" s="1804" t="s">
        <v>158</v>
      </c>
      <c r="F41" s="1796">
        <v>12.37</v>
      </c>
      <c r="G41" s="1804" t="s">
        <v>1083</v>
      </c>
      <c r="H41" s="1796">
        <v>3.71</v>
      </c>
      <c r="I41" s="1804"/>
      <c r="J41" s="1801"/>
      <c r="K41" s="1804"/>
      <c r="L41" s="1801"/>
      <c r="M41" s="4841"/>
      <c r="N41" s="4882"/>
      <c r="O41" s="4826"/>
      <c r="P41" s="4884"/>
      <c r="Q41" s="2333"/>
      <c r="R41" s="2593"/>
      <c r="S41" s="2593"/>
      <c r="T41" s="2586"/>
      <c r="U41" s="2586"/>
      <c r="V41" s="2586"/>
      <c r="W41" s="2586"/>
      <c r="X41" s="2586"/>
      <c r="Y41" s="2586"/>
      <c r="Z41" s="2586"/>
      <c r="AA41" s="2586"/>
      <c r="AB41" s="2574"/>
      <c r="AC41" s="2574"/>
      <c r="AD41" s="2574"/>
      <c r="AE41" s="2574"/>
      <c r="AF41" s="2574"/>
      <c r="AG41" s="2574"/>
      <c r="AH41" s="2574"/>
      <c r="AI41" s="2574"/>
      <c r="AJ41" s="2574"/>
      <c r="AK41" s="2574"/>
      <c r="AL41" s="2574"/>
      <c r="AM41" s="2574"/>
      <c r="AN41" s="2574"/>
      <c r="AO41" s="2574"/>
    </row>
    <row r="42" spans="1:41" ht="35.25" customHeight="1">
      <c r="A42" s="4846"/>
      <c r="B42" s="4886"/>
      <c r="C42" s="4836" t="s">
        <v>1047</v>
      </c>
      <c r="D42" s="4838">
        <v>0.33</v>
      </c>
      <c r="E42" s="2371">
        <v>10</v>
      </c>
      <c r="F42" s="1794">
        <v>5.46</v>
      </c>
      <c r="G42" s="2371" t="s">
        <v>1070</v>
      </c>
      <c r="H42" s="1794">
        <v>6.92</v>
      </c>
      <c r="I42" s="2371" t="s">
        <v>209</v>
      </c>
      <c r="J42" s="1794">
        <v>2.87</v>
      </c>
      <c r="K42" s="2371" t="s">
        <v>1057</v>
      </c>
      <c r="L42" s="1794">
        <v>1.64</v>
      </c>
      <c r="M42" s="4840">
        <f>F42+H42+J42+L42+F43+H43+J43+L43</f>
        <v>24.12</v>
      </c>
      <c r="N42" s="4881">
        <v>1</v>
      </c>
      <c r="O42" s="4825">
        <f>ROUND((M42/D42)*N42,9)</f>
        <v>73.090909091</v>
      </c>
      <c r="P42" s="4883" t="s">
        <v>1072</v>
      </c>
      <c r="Q42" s="2333"/>
      <c r="R42" s="2592"/>
      <c r="S42" s="2592"/>
      <c r="T42" s="2586"/>
      <c r="U42" s="2586"/>
      <c r="V42" s="2586"/>
      <c r="W42" s="2586"/>
      <c r="X42" s="2586"/>
      <c r="Y42" s="2586"/>
      <c r="Z42" s="2586"/>
      <c r="AA42" s="2586"/>
      <c r="AB42" s="2574"/>
      <c r="AC42" s="2574"/>
      <c r="AD42" s="2574"/>
      <c r="AE42" s="2574"/>
      <c r="AF42" s="2574"/>
      <c r="AG42" s="2574"/>
      <c r="AH42" s="2574"/>
      <c r="AI42" s="2574"/>
      <c r="AJ42" s="2574"/>
      <c r="AK42" s="2574"/>
      <c r="AL42" s="2574"/>
      <c r="AM42" s="2574"/>
      <c r="AN42" s="2574"/>
      <c r="AO42" s="2574"/>
    </row>
    <row r="43" spans="1:41" ht="35.25" customHeight="1">
      <c r="A43" s="4833"/>
      <c r="B43" s="4887"/>
      <c r="C43" s="4837"/>
      <c r="D43" s="4839"/>
      <c r="E43" s="2371" t="s">
        <v>1070</v>
      </c>
      <c r="F43" s="1794">
        <v>7.23</v>
      </c>
      <c r="G43" s="2371"/>
      <c r="H43" s="1794"/>
      <c r="I43" s="2371"/>
      <c r="J43" s="1794"/>
      <c r="K43" s="2371"/>
      <c r="L43" s="1796"/>
      <c r="M43" s="4841"/>
      <c r="N43" s="4882"/>
      <c r="O43" s="4826"/>
      <c r="P43" s="4884"/>
      <c r="Q43" s="2333"/>
      <c r="R43" s="2592"/>
      <c r="S43" s="2592"/>
      <c r="T43" s="2586"/>
      <c r="U43" s="2586"/>
      <c r="V43" s="2586"/>
      <c r="W43" s="2586"/>
      <c r="X43" s="2586"/>
      <c r="Y43" s="2586"/>
      <c r="Z43" s="2586"/>
      <c r="AA43" s="2586"/>
      <c r="AB43" s="2574"/>
      <c r="AC43" s="2574"/>
      <c r="AD43" s="2574"/>
      <c r="AE43" s="2574"/>
      <c r="AF43" s="2574"/>
      <c r="AG43" s="2574"/>
      <c r="AH43" s="2574"/>
      <c r="AI43" s="2574"/>
      <c r="AJ43" s="2574"/>
      <c r="AK43" s="2574"/>
      <c r="AL43" s="2574"/>
      <c r="AM43" s="2574"/>
      <c r="AN43" s="2574"/>
      <c r="AO43" s="2574"/>
    </row>
    <row r="44" spans="1:41" ht="35.25" customHeight="1">
      <c r="A44" s="2696" t="s">
        <v>1075</v>
      </c>
      <c r="B44" s="1812" t="s">
        <v>1060</v>
      </c>
      <c r="C44" s="1781" t="s">
        <v>818</v>
      </c>
      <c r="D44" s="1814">
        <v>1</v>
      </c>
      <c r="E44" s="2595"/>
      <c r="F44" s="1796"/>
      <c r="G44" s="2595"/>
      <c r="H44" s="1796"/>
      <c r="I44" s="2595"/>
      <c r="J44" s="1796"/>
      <c r="K44" s="2595"/>
      <c r="L44" s="1796"/>
      <c r="M44" s="1788">
        <v>18.765439999999998</v>
      </c>
      <c r="N44" s="2576">
        <v>1</v>
      </c>
      <c r="O44" s="1782">
        <f>ROUND((M44/D44)*N44,9)</f>
        <v>18.765440000000002</v>
      </c>
      <c r="P44" s="2589"/>
      <c r="Q44" s="2333"/>
      <c r="R44" s="2592"/>
      <c r="S44" s="2592"/>
      <c r="T44" s="2586"/>
      <c r="U44" s="2586"/>
      <c r="V44" s="2586"/>
      <c r="W44" s="2586"/>
      <c r="X44" s="2586"/>
      <c r="Y44" s="2586"/>
      <c r="Z44" s="2586"/>
      <c r="AA44" s="2586"/>
      <c r="AB44" s="2574"/>
      <c r="AC44" s="2574"/>
      <c r="AD44" s="2574"/>
      <c r="AE44" s="2574"/>
      <c r="AF44" s="2574"/>
      <c r="AG44" s="2574"/>
      <c r="AH44" s="2574"/>
      <c r="AI44" s="2574"/>
      <c r="AJ44" s="2574"/>
      <c r="AK44" s="2574"/>
      <c r="AL44" s="2574"/>
      <c r="AM44" s="2574"/>
      <c r="AN44" s="2574"/>
      <c r="AO44" s="2574"/>
    </row>
    <row r="45" spans="1:41" ht="35.25" customHeight="1">
      <c r="A45" s="4832" t="s">
        <v>1287</v>
      </c>
      <c r="B45" s="4834" t="s">
        <v>1061</v>
      </c>
      <c r="C45" s="2596" t="s">
        <v>1047</v>
      </c>
      <c r="D45" s="2370">
        <v>0.20829999999999999</v>
      </c>
      <c r="E45" s="1804" t="s">
        <v>1085</v>
      </c>
      <c r="F45" s="1796">
        <v>1.19</v>
      </c>
      <c r="G45" s="1804" t="s">
        <v>1089</v>
      </c>
      <c r="H45" s="1796">
        <v>6.48</v>
      </c>
      <c r="I45" s="1804" t="s">
        <v>1086</v>
      </c>
      <c r="J45" s="1796">
        <v>1.21</v>
      </c>
      <c r="K45" s="1804" t="s">
        <v>1086</v>
      </c>
      <c r="L45" s="1796">
        <v>13.34</v>
      </c>
      <c r="M45" s="4840">
        <f>F45+H45+J45+L45+F46+H46</f>
        <v>41.319999999999993</v>
      </c>
      <c r="N45" s="4842">
        <v>1</v>
      </c>
      <c r="O45" s="4825">
        <f>ROUND((M45/D45)*N45,9)</f>
        <v>198.36773883800001</v>
      </c>
      <c r="P45" s="2577"/>
      <c r="Q45" s="2327"/>
      <c r="R45" s="2597"/>
      <c r="S45" s="2597"/>
      <c r="T45" s="2586"/>
      <c r="U45" s="2586"/>
      <c r="V45" s="2586"/>
      <c r="W45" s="2586"/>
      <c r="X45" s="2586"/>
      <c r="Y45" s="2586"/>
      <c r="Z45" s="2586"/>
      <c r="AA45" s="2586"/>
      <c r="AB45" s="2574"/>
      <c r="AC45" s="2574"/>
      <c r="AD45" s="2574"/>
      <c r="AE45" s="2574"/>
      <c r="AF45" s="2574"/>
      <c r="AG45" s="2574"/>
      <c r="AH45" s="2574"/>
      <c r="AI45" s="2574"/>
      <c r="AJ45" s="2574"/>
      <c r="AK45" s="2574"/>
      <c r="AL45" s="2574"/>
      <c r="AM45" s="2574"/>
      <c r="AN45" s="2574"/>
      <c r="AO45" s="2574"/>
    </row>
    <row r="46" spans="1:41" ht="35.25" customHeight="1">
      <c r="A46" s="4833"/>
      <c r="B46" s="4835"/>
      <c r="C46" s="2598"/>
      <c r="D46" s="2599"/>
      <c r="E46" s="1804" t="s">
        <v>1087</v>
      </c>
      <c r="F46" s="1796">
        <v>8.01</v>
      </c>
      <c r="G46" s="1804" t="s">
        <v>1088</v>
      </c>
      <c r="H46" s="1796">
        <v>11.09</v>
      </c>
      <c r="I46" s="1804"/>
      <c r="J46" s="1796"/>
      <c r="K46" s="1804"/>
      <c r="L46" s="1801"/>
      <c r="M46" s="4841"/>
      <c r="N46" s="4843"/>
      <c r="O46" s="4826"/>
      <c r="P46" s="2577"/>
      <c r="Q46" s="2327"/>
      <c r="R46" s="2597"/>
      <c r="S46" s="2597"/>
      <c r="T46" s="2586"/>
      <c r="U46" s="2586"/>
      <c r="V46" s="2586"/>
      <c r="W46" s="2586"/>
      <c r="X46" s="2586"/>
      <c r="Y46" s="2586"/>
      <c r="Z46" s="2586"/>
      <c r="AA46" s="2586"/>
      <c r="AB46" s="2574"/>
      <c r="AC46" s="2574"/>
      <c r="AD46" s="2574"/>
      <c r="AE46" s="2574"/>
      <c r="AF46" s="2574"/>
      <c r="AG46" s="2574"/>
      <c r="AH46" s="2574"/>
      <c r="AI46" s="2574"/>
      <c r="AJ46" s="2574"/>
      <c r="AK46" s="2574"/>
      <c r="AL46" s="2574"/>
      <c r="AM46" s="2574"/>
      <c r="AN46" s="2574"/>
      <c r="AO46" s="2574"/>
    </row>
    <row r="47" spans="1:41" ht="35.25" customHeight="1">
      <c r="A47" s="1783">
        <v>3</v>
      </c>
      <c r="B47" s="1784" t="s">
        <v>928</v>
      </c>
      <c r="C47" s="1781"/>
      <c r="D47" s="1814"/>
      <c r="E47" s="1785"/>
      <c r="F47" s="1785"/>
      <c r="G47" s="1785"/>
      <c r="H47" s="1785"/>
      <c r="I47" s="2371"/>
      <c r="J47" s="1794"/>
      <c r="K47" s="1805"/>
      <c r="L47" s="1796"/>
      <c r="M47" s="1788"/>
      <c r="N47" s="2576"/>
      <c r="O47" s="1790">
        <f>+SUM(O48:O52)</f>
        <v>1374.04</v>
      </c>
      <c r="P47" s="2577"/>
      <c r="Q47" s="2327"/>
      <c r="R47" s="2597"/>
      <c r="S47" s="2597"/>
      <c r="T47" s="2586"/>
      <c r="U47" s="2586"/>
      <c r="V47" s="2586"/>
      <c r="W47" s="2586"/>
      <c r="X47" s="2586"/>
      <c r="Y47" s="2586"/>
      <c r="Z47" s="2586"/>
      <c r="AA47" s="2586"/>
      <c r="AB47" s="2574"/>
      <c r="AC47" s="2574"/>
      <c r="AD47" s="2574"/>
      <c r="AE47" s="2574"/>
      <c r="AF47" s="2574"/>
      <c r="AG47" s="2574"/>
      <c r="AH47" s="2574"/>
      <c r="AI47" s="2574"/>
      <c r="AJ47" s="2574"/>
      <c r="AK47" s="2574"/>
      <c r="AL47" s="2574"/>
      <c r="AM47" s="2574"/>
      <c r="AN47" s="2574"/>
      <c r="AO47" s="2574"/>
    </row>
    <row r="48" spans="1:41" ht="35.25" customHeight="1">
      <c r="A48" s="1792" t="s">
        <v>889</v>
      </c>
      <c r="B48" s="1812" t="s">
        <v>1077</v>
      </c>
      <c r="C48" s="1781" t="s">
        <v>957</v>
      </c>
      <c r="D48" s="1814">
        <f>25000/200000</f>
        <v>0.125</v>
      </c>
      <c r="E48" s="1804"/>
      <c r="F48" s="1796"/>
      <c r="G48" s="1805"/>
      <c r="H48" s="1796"/>
      <c r="I48" s="1805"/>
      <c r="J48" s="1796"/>
      <c r="K48" s="2363"/>
      <c r="L48" s="1801"/>
      <c r="M48" s="1788">
        <f>6+13+73</f>
        <v>92</v>
      </c>
      <c r="N48" s="2576">
        <v>1</v>
      </c>
      <c r="O48" s="1782">
        <f t="shared" ref="O48:O52" si="3">ROUND((M48/D48)*N48,9)</f>
        <v>736</v>
      </c>
      <c r="P48" s="2577"/>
      <c r="Q48" s="2327"/>
      <c r="R48" s="2597"/>
      <c r="S48" s="2597"/>
      <c r="T48" s="2586"/>
      <c r="U48" s="2586"/>
      <c r="V48" s="2586"/>
      <c r="W48" s="2586"/>
      <c r="X48" s="2586"/>
      <c r="Y48" s="2586"/>
      <c r="Z48" s="2586"/>
      <c r="AA48" s="2586"/>
      <c r="AB48" s="2574"/>
      <c r="AC48" s="2574"/>
      <c r="AD48" s="2574"/>
      <c r="AE48" s="2574"/>
      <c r="AF48" s="2574"/>
      <c r="AG48" s="2574"/>
      <c r="AH48" s="2574"/>
      <c r="AI48" s="2574"/>
      <c r="AJ48" s="2574"/>
      <c r="AK48" s="2574"/>
      <c r="AL48" s="2574"/>
      <c r="AM48" s="2574"/>
      <c r="AN48" s="2574"/>
      <c r="AO48" s="2574"/>
    </row>
    <row r="49" spans="1:41" ht="35.25" customHeight="1">
      <c r="A49" s="1792" t="s">
        <v>968</v>
      </c>
      <c r="B49" s="1812" t="s">
        <v>1286</v>
      </c>
      <c r="C49" s="1781" t="s">
        <v>957</v>
      </c>
      <c r="D49" s="1814">
        <f>1/3</f>
        <v>0.33333333333333331</v>
      </c>
      <c r="E49" s="1804"/>
      <c r="F49" s="1796"/>
      <c r="G49" s="1805"/>
      <c r="H49" s="1796"/>
      <c r="I49" s="1805"/>
      <c r="J49" s="1796"/>
      <c r="K49" s="2363"/>
      <c r="L49" s="1801"/>
      <c r="M49" s="1788">
        <v>21</v>
      </c>
      <c r="N49" s="2576">
        <v>1</v>
      </c>
      <c r="O49" s="1782">
        <f t="shared" si="3"/>
        <v>63</v>
      </c>
      <c r="P49" s="2577"/>
      <c r="Q49" s="2327"/>
      <c r="R49" s="2597"/>
      <c r="S49" s="2597"/>
      <c r="T49" s="2586"/>
      <c r="U49" s="2586"/>
      <c r="V49" s="2586"/>
      <c r="W49" s="2586"/>
      <c r="X49" s="2586"/>
      <c r="Y49" s="2586"/>
      <c r="Z49" s="2586"/>
      <c r="AA49" s="2586"/>
      <c r="AB49" s="2574"/>
      <c r="AC49" s="2574"/>
      <c r="AD49" s="2574"/>
      <c r="AE49" s="2574"/>
      <c r="AF49" s="2574"/>
      <c r="AG49" s="2574"/>
      <c r="AH49" s="2574"/>
      <c r="AI49" s="2574"/>
      <c r="AJ49" s="2574"/>
      <c r="AK49" s="2574"/>
      <c r="AL49" s="2574"/>
      <c r="AM49" s="2574"/>
      <c r="AN49" s="2574"/>
      <c r="AO49" s="2574"/>
    </row>
    <row r="50" spans="1:41" ht="35.25" customHeight="1">
      <c r="A50" s="1792" t="s">
        <v>1076</v>
      </c>
      <c r="B50" s="1812" t="s">
        <v>1043</v>
      </c>
      <c r="C50" s="1781" t="s">
        <v>957</v>
      </c>
      <c r="D50" s="1814">
        <f>25000/150000</f>
        <v>0.16666666666666666</v>
      </c>
      <c r="E50" s="1804"/>
      <c r="F50" s="1796"/>
      <c r="G50" s="1805"/>
      <c r="H50" s="1796"/>
      <c r="I50" s="1805"/>
      <c r="J50" s="1796"/>
      <c r="K50" s="2363"/>
      <c r="L50" s="1801"/>
      <c r="M50" s="1788">
        <v>38</v>
      </c>
      <c r="N50" s="2576">
        <v>1</v>
      </c>
      <c r="O50" s="1782">
        <f t="shared" si="3"/>
        <v>228</v>
      </c>
      <c r="P50" s="2577"/>
      <c r="Q50" s="2327"/>
      <c r="R50" s="2600"/>
      <c r="S50" s="2597"/>
      <c r="T50" s="2586"/>
      <c r="U50" s="2586"/>
      <c r="V50" s="2586"/>
      <c r="W50" s="2586"/>
      <c r="X50" s="2586"/>
      <c r="Y50" s="2586"/>
      <c r="Z50" s="2586"/>
      <c r="AA50" s="2586"/>
      <c r="AB50" s="2574"/>
      <c r="AC50" s="2574"/>
      <c r="AD50" s="2574"/>
      <c r="AE50" s="2574"/>
      <c r="AF50" s="2574"/>
      <c r="AG50" s="2574"/>
      <c r="AH50" s="2574"/>
      <c r="AI50" s="2574"/>
      <c r="AJ50" s="2574"/>
      <c r="AK50" s="2574"/>
      <c r="AL50" s="2574"/>
      <c r="AM50" s="2574"/>
      <c r="AN50" s="2574"/>
      <c r="AO50" s="2574"/>
    </row>
    <row r="51" spans="1:41" ht="35.25" customHeight="1">
      <c r="A51" s="1792" t="s">
        <v>1078</v>
      </c>
      <c r="B51" s="1812" t="s">
        <v>204</v>
      </c>
      <c r="C51" s="1781" t="s">
        <v>957</v>
      </c>
      <c r="D51" s="1814">
        <v>1.25</v>
      </c>
      <c r="E51" s="1804"/>
      <c r="F51" s="1796"/>
      <c r="G51" s="1805"/>
      <c r="H51" s="1796"/>
      <c r="I51" s="1805"/>
      <c r="J51" s="1796"/>
      <c r="K51" s="2363"/>
      <c r="L51" s="1801"/>
      <c r="M51" s="1788">
        <v>90</v>
      </c>
      <c r="N51" s="2576">
        <v>1</v>
      </c>
      <c r="O51" s="1782">
        <f t="shared" si="3"/>
        <v>72</v>
      </c>
      <c r="P51" s="2577"/>
      <c r="Q51" s="2327"/>
      <c r="R51" s="2597"/>
      <c r="S51" s="2597"/>
      <c r="T51" s="2597"/>
      <c r="U51" s="2597"/>
      <c r="V51" s="2597"/>
      <c r="W51" s="2597"/>
      <c r="X51" s="2597"/>
      <c r="Y51" s="2597"/>
      <c r="Z51" s="2597"/>
      <c r="AA51" s="2597"/>
      <c r="AB51" s="2601"/>
      <c r="AC51" s="2601"/>
      <c r="AD51" s="2601"/>
      <c r="AE51" s="2601"/>
      <c r="AF51" s="2601"/>
      <c r="AG51" s="2601"/>
      <c r="AH51" s="2574"/>
      <c r="AI51" s="2574"/>
      <c r="AJ51" s="2574"/>
      <c r="AK51" s="2574"/>
      <c r="AL51" s="2574"/>
      <c r="AM51" s="2574"/>
      <c r="AN51" s="2574"/>
      <c r="AO51" s="2574"/>
    </row>
    <row r="52" spans="1:41" ht="35.25" customHeight="1">
      <c r="A52" s="1792" t="s">
        <v>1079</v>
      </c>
      <c r="B52" s="1812" t="s">
        <v>1046</v>
      </c>
      <c r="C52" s="1781" t="s">
        <v>1047</v>
      </c>
      <c r="D52" s="1814">
        <f>1/16</f>
        <v>6.25E-2</v>
      </c>
      <c r="E52" s="1804" t="s">
        <v>1099</v>
      </c>
      <c r="F52" s="1796">
        <v>13.48</v>
      </c>
      <c r="G52" s="1804" t="s">
        <v>1097</v>
      </c>
      <c r="H52" s="1796">
        <v>3.71</v>
      </c>
      <c r="I52" s="1804"/>
      <c r="J52" s="1796"/>
      <c r="K52" s="1804"/>
      <c r="L52" s="2325"/>
      <c r="M52" s="1788">
        <f>F52+H52+J52+L52</f>
        <v>17.190000000000001</v>
      </c>
      <c r="N52" s="2576">
        <v>1</v>
      </c>
      <c r="O52" s="1782">
        <f t="shared" si="3"/>
        <v>275.04000000000002</v>
      </c>
      <c r="P52" s="2577"/>
      <c r="Q52" s="2327"/>
      <c r="R52" s="2597"/>
      <c r="S52" s="2597"/>
      <c r="T52" s="2597"/>
      <c r="U52" s="2597"/>
      <c r="V52" s="2597"/>
      <c r="W52" s="2597"/>
      <c r="X52" s="2597"/>
      <c r="Y52" s="2597"/>
      <c r="Z52" s="2597"/>
      <c r="AA52" s="2597"/>
      <c r="AB52" s="2601"/>
      <c r="AC52" s="2601"/>
      <c r="AD52" s="2601"/>
      <c r="AE52" s="2601"/>
      <c r="AF52" s="2601"/>
      <c r="AG52" s="2601"/>
      <c r="AH52" s="2574"/>
      <c r="AI52" s="2574"/>
      <c r="AJ52" s="2574"/>
      <c r="AK52" s="2574"/>
      <c r="AL52" s="2574"/>
      <c r="AM52" s="2574"/>
      <c r="AN52" s="2574"/>
      <c r="AO52" s="2574"/>
    </row>
    <row r="53" spans="1:41" ht="32.25" customHeight="1">
      <c r="A53" s="1766" t="s">
        <v>1288</v>
      </c>
      <c r="B53" s="1784" t="s">
        <v>825</v>
      </c>
      <c r="C53" s="1809"/>
      <c r="D53" s="2340"/>
      <c r="E53" s="2698"/>
      <c r="F53" s="2698"/>
      <c r="G53" s="2698"/>
      <c r="H53" s="2698"/>
      <c r="I53" s="2698"/>
      <c r="J53" s="2698"/>
      <c r="K53" s="2698"/>
      <c r="L53" s="2321"/>
      <c r="M53" s="1788"/>
      <c r="N53" s="2602"/>
      <c r="O53" s="1772">
        <f>SUM(O54:O54)</f>
        <v>416</v>
      </c>
      <c r="P53" s="2603"/>
      <c r="Q53" s="2319"/>
      <c r="R53" s="2597"/>
      <c r="S53" s="2597"/>
      <c r="T53" s="2586"/>
      <c r="U53" s="2586"/>
      <c r="V53" s="2586"/>
      <c r="W53" s="2586"/>
      <c r="X53" s="2586"/>
      <c r="Y53" s="2586"/>
      <c r="Z53" s="2586"/>
      <c r="AA53" s="2586"/>
      <c r="AB53" s="2574"/>
      <c r="AC53" s="2574"/>
      <c r="AD53" s="2574"/>
      <c r="AE53" s="2574"/>
      <c r="AF53" s="2574"/>
      <c r="AG53" s="2574"/>
      <c r="AH53" s="2574"/>
      <c r="AI53" s="2574"/>
      <c r="AJ53" s="2574"/>
      <c r="AK53" s="2574"/>
      <c r="AL53" s="2574"/>
      <c r="AM53" s="2574"/>
      <c r="AN53" s="2574"/>
      <c r="AO53" s="2574"/>
    </row>
    <row r="54" spans="1:41" ht="32.25" customHeight="1">
      <c r="A54" s="1792">
        <v>1</v>
      </c>
      <c r="B54" s="1812" t="s">
        <v>826</v>
      </c>
      <c r="C54" s="2604" t="s">
        <v>362</v>
      </c>
      <c r="D54" s="2605"/>
      <c r="E54" s="4880" t="s">
        <v>1218</v>
      </c>
      <c r="F54" s="4880"/>
      <c r="G54" s="4880"/>
      <c r="H54" s="4880"/>
      <c r="I54" s="4880"/>
      <c r="J54" s="4880"/>
      <c r="K54" s="2606"/>
      <c r="L54" s="2605"/>
      <c r="M54" s="2607"/>
      <c r="N54" s="2608"/>
      <c r="O54" s="1817">
        <f>4*2600000/25000</f>
        <v>416</v>
      </c>
      <c r="P54" s="2609"/>
      <c r="Q54" s="2341"/>
      <c r="R54" s="2597"/>
      <c r="S54" s="2597"/>
      <c r="T54" s="2586"/>
      <c r="U54" s="2586"/>
      <c r="V54" s="2586"/>
      <c r="W54" s="2586"/>
      <c r="X54" s="2586"/>
      <c r="Y54" s="2586"/>
      <c r="Z54" s="2586"/>
      <c r="AA54" s="2586"/>
      <c r="AB54" s="2574"/>
      <c r="AC54" s="2574"/>
      <c r="AD54" s="2574"/>
      <c r="AE54" s="2574"/>
      <c r="AF54" s="2574"/>
      <c r="AG54" s="2574"/>
      <c r="AH54" s="2574"/>
      <c r="AI54" s="2574"/>
      <c r="AJ54" s="2574"/>
      <c r="AK54" s="2574"/>
      <c r="AL54" s="2574"/>
      <c r="AM54" s="2574"/>
      <c r="AN54" s="2574"/>
      <c r="AO54" s="2574"/>
    </row>
    <row r="55" spans="1:41" ht="32.25" customHeight="1">
      <c r="A55" s="4828" t="s">
        <v>1219</v>
      </c>
      <c r="B55" s="4828"/>
      <c r="C55" s="4828"/>
      <c r="D55" s="2610"/>
      <c r="E55" s="2611"/>
      <c r="F55" s="2611"/>
      <c r="G55" s="2611"/>
      <c r="H55" s="2611"/>
      <c r="I55" s="2611"/>
      <c r="J55" s="2611"/>
      <c r="K55" s="2611"/>
      <c r="L55" s="2612"/>
      <c r="M55" s="1821"/>
      <c r="N55" s="2611"/>
      <c r="O55" s="1822">
        <f>O11+O53</f>
        <v>5160.258907929001</v>
      </c>
      <c r="P55" s="2613"/>
      <c r="Q55" s="2320"/>
      <c r="R55" s="2597"/>
      <c r="S55" s="2597"/>
      <c r="T55" s="2586"/>
      <c r="U55" s="2586"/>
      <c r="V55" s="2586"/>
      <c r="W55" s="2586"/>
      <c r="X55" s="2586"/>
      <c r="Y55" s="2586"/>
      <c r="Z55" s="2586"/>
      <c r="AA55" s="2586"/>
      <c r="AB55" s="2574"/>
      <c r="AC55" s="2574"/>
      <c r="AD55" s="2574"/>
      <c r="AE55" s="2574"/>
      <c r="AF55" s="2574"/>
      <c r="AG55" s="2574"/>
      <c r="AH55" s="2574"/>
      <c r="AI55" s="2574"/>
      <c r="AJ55" s="2574"/>
      <c r="AK55" s="2574"/>
      <c r="AL55" s="2574"/>
      <c r="AM55" s="2574"/>
      <c r="AN55" s="2574"/>
      <c r="AO55" s="2574"/>
    </row>
    <row r="56" spans="1:41" ht="20.45" customHeight="1">
      <c r="A56" s="1824"/>
      <c r="B56" s="1825"/>
      <c r="C56" s="1826"/>
      <c r="D56" s="2343"/>
      <c r="E56" s="1828"/>
      <c r="F56" s="1829"/>
      <c r="G56" s="1828"/>
      <c r="H56" s="1829"/>
      <c r="I56" s="2701"/>
      <c r="J56" s="1827"/>
      <c r="K56" s="2701"/>
      <c r="L56" s="4829" t="s">
        <v>1289</v>
      </c>
      <c r="M56" s="4829"/>
      <c r="N56" s="4829"/>
      <c r="O56" s="4829"/>
      <c r="P56" s="4829"/>
      <c r="Q56" s="2344"/>
      <c r="R56" s="2597"/>
      <c r="S56" s="2597"/>
      <c r="T56" s="2586"/>
      <c r="U56" s="2586"/>
      <c r="V56" s="2586"/>
      <c r="W56" s="2586"/>
      <c r="X56" s="2586"/>
      <c r="Y56" s="2586"/>
      <c r="Z56" s="2586"/>
      <c r="AA56" s="2586"/>
      <c r="AB56" s="2574"/>
      <c r="AC56" s="2574"/>
      <c r="AD56" s="2574"/>
      <c r="AE56" s="2574"/>
      <c r="AF56" s="2574"/>
      <c r="AG56" s="2574"/>
      <c r="AH56" s="2574"/>
      <c r="AI56" s="2574"/>
      <c r="AJ56" s="2574"/>
      <c r="AK56" s="2574"/>
      <c r="AL56" s="2574"/>
      <c r="AM56" s="2574"/>
      <c r="AN56" s="2574"/>
      <c r="AO56" s="2574"/>
    </row>
    <row r="57" spans="1:41" ht="20.45" customHeight="1">
      <c r="A57" s="4830"/>
      <c r="B57" s="4830"/>
      <c r="C57" s="4830"/>
      <c r="D57" s="4830"/>
      <c r="E57" s="4830"/>
      <c r="F57" s="1830"/>
      <c r="G57" s="1830"/>
      <c r="H57" s="4831"/>
      <c r="I57" s="4831"/>
      <c r="J57" s="4831"/>
      <c r="K57" s="2695"/>
      <c r="L57" s="4830" t="s">
        <v>827</v>
      </c>
      <c r="M57" s="4830"/>
      <c r="N57" s="4830"/>
      <c r="O57" s="4830"/>
      <c r="P57" s="4830"/>
      <c r="Q57" s="2694"/>
      <c r="R57" s="2586"/>
      <c r="S57" s="2586"/>
      <c r="T57" s="2586"/>
      <c r="U57" s="2586"/>
      <c r="V57" s="2586"/>
      <c r="W57" s="2586"/>
      <c r="X57" s="2586"/>
      <c r="Y57" s="2586"/>
      <c r="Z57" s="2586"/>
      <c r="AA57" s="2586"/>
      <c r="AB57" s="2574"/>
      <c r="AC57" s="2574"/>
      <c r="AD57" s="2574"/>
      <c r="AE57" s="2574"/>
      <c r="AF57" s="2574"/>
      <c r="AG57" s="2574"/>
      <c r="AH57" s="2574"/>
      <c r="AI57" s="2574"/>
      <c r="AJ57" s="2574"/>
      <c r="AK57" s="2574"/>
      <c r="AL57" s="2574"/>
      <c r="AM57" s="2574"/>
      <c r="AN57" s="2574"/>
      <c r="AO57" s="2574"/>
    </row>
    <row r="58" spans="1:41" ht="20.45" customHeight="1">
      <c r="A58" s="1831"/>
      <c r="B58" s="1832"/>
      <c r="C58" s="1833"/>
      <c r="D58" s="2345"/>
      <c r="E58" s="1834"/>
      <c r="F58" s="1833"/>
      <c r="G58" s="1835"/>
      <c r="H58" s="1833"/>
      <c r="I58" s="2346"/>
      <c r="J58" s="2697"/>
      <c r="K58" s="2346"/>
      <c r="L58" s="2345"/>
      <c r="M58" s="2614"/>
      <c r="N58" s="1837"/>
      <c r="O58" s="4353"/>
      <c r="P58" s="4353"/>
      <c r="Q58" s="2697"/>
      <c r="R58" s="2574"/>
      <c r="S58" s="2574"/>
      <c r="T58" s="2574"/>
      <c r="U58" s="2574"/>
      <c r="V58" s="2574"/>
      <c r="W58" s="2574"/>
      <c r="X58" s="2574"/>
      <c r="Y58" s="2574"/>
      <c r="Z58" s="2574"/>
      <c r="AA58" s="2574"/>
      <c r="AB58" s="2574"/>
      <c r="AC58" s="2574"/>
      <c r="AD58" s="2574"/>
      <c r="AE58" s="2574"/>
      <c r="AF58" s="2574"/>
      <c r="AG58" s="2574"/>
      <c r="AH58" s="2574"/>
      <c r="AI58" s="2574"/>
      <c r="AJ58" s="2574"/>
      <c r="AK58" s="2574"/>
      <c r="AL58" s="2574"/>
      <c r="AM58" s="2574"/>
      <c r="AN58" s="2574"/>
      <c r="AO58" s="2574"/>
    </row>
    <row r="59" spans="1:41" ht="20.45" customHeight="1">
      <c r="A59" s="1831"/>
      <c r="B59" s="1832"/>
      <c r="C59" s="1832"/>
      <c r="D59" s="2347"/>
      <c r="E59" s="1838"/>
      <c r="F59" s="1839"/>
      <c r="G59" s="1748"/>
      <c r="H59" s="1839"/>
      <c r="I59" s="2315"/>
      <c r="J59" s="2348"/>
      <c r="K59" s="2349"/>
      <c r="L59" s="2350"/>
      <c r="M59" s="2615"/>
      <c r="N59" s="1839"/>
      <c r="P59" s="1831"/>
      <c r="Q59" s="1831"/>
      <c r="R59" s="2574"/>
      <c r="S59" s="2574"/>
      <c r="T59" s="2574"/>
      <c r="U59" s="2574"/>
      <c r="V59" s="2574"/>
      <c r="W59" s="2574"/>
      <c r="X59" s="2574"/>
      <c r="Y59" s="2574"/>
      <c r="Z59" s="2574"/>
      <c r="AA59" s="2574"/>
      <c r="AB59" s="2574"/>
      <c r="AC59" s="2574"/>
      <c r="AD59" s="2574"/>
      <c r="AE59" s="2574"/>
      <c r="AF59" s="2574"/>
      <c r="AG59" s="2574"/>
      <c r="AH59" s="2574"/>
      <c r="AI59" s="2574"/>
      <c r="AJ59" s="2574"/>
      <c r="AK59" s="2574"/>
      <c r="AL59" s="2574"/>
      <c r="AM59" s="2574"/>
      <c r="AN59" s="2574"/>
      <c r="AO59" s="2574"/>
    </row>
    <row r="60" spans="1:41" ht="20.45" customHeight="1">
      <c r="A60" s="1831"/>
      <c r="B60" s="1832"/>
      <c r="C60" s="1832"/>
      <c r="D60" s="2347"/>
      <c r="E60" s="1838"/>
      <c r="F60" s="1839"/>
      <c r="G60" s="1748"/>
      <c r="H60" s="1839"/>
      <c r="I60" s="2315"/>
      <c r="J60" s="2348"/>
      <c r="K60" s="2349"/>
      <c r="L60" s="2350"/>
      <c r="M60" s="2615"/>
      <c r="N60" s="1839"/>
      <c r="P60" s="1831"/>
      <c r="Q60" s="1831"/>
      <c r="R60" s="2574"/>
      <c r="S60" s="2574"/>
      <c r="T60" s="2574"/>
      <c r="U60" s="2574"/>
      <c r="V60" s="2574"/>
      <c r="W60" s="2574"/>
      <c r="X60" s="2574"/>
      <c r="Y60" s="2574"/>
      <c r="Z60" s="2574"/>
      <c r="AA60" s="2574"/>
      <c r="AB60" s="2574"/>
      <c r="AC60" s="2574"/>
      <c r="AD60" s="2574"/>
      <c r="AE60" s="2574"/>
      <c r="AF60" s="2574"/>
      <c r="AG60" s="2574"/>
      <c r="AH60" s="2574"/>
      <c r="AI60" s="2574"/>
      <c r="AJ60" s="2574"/>
      <c r="AK60" s="2574"/>
      <c r="AL60" s="2574"/>
      <c r="AM60" s="2574"/>
      <c r="AN60" s="2574"/>
      <c r="AO60" s="2574"/>
    </row>
    <row r="61" spans="1:41" ht="21.75" customHeight="1">
      <c r="A61" s="4844"/>
      <c r="B61" s="4844"/>
      <c r="C61" s="4844"/>
      <c r="D61" s="4844"/>
      <c r="E61" s="4844"/>
      <c r="F61" s="1842"/>
      <c r="G61" s="1843"/>
      <c r="H61" s="4824"/>
      <c r="I61" s="4824"/>
      <c r="J61" s="4824"/>
      <c r="K61" s="2351"/>
      <c r="L61" s="2352"/>
      <c r="M61" s="4824"/>
      <c r="N61" s="4824"/>
      <c r="O61" s="4824"/>
      <c r="P61" s="4824"/>
      <c r="Q61" s="2691"/>
      <c r="R61" s="2574"/>
      <c r="S61" s="2574"/>
      <c r="T61" s="2574"/>
      <c r="U61" s="2574"/>
      <c r="V61" s="2574"/>
      <c r="W61" s="2574"/>
      <c r="X61" s="2574"/>
      <c r="Y61" s="2574"/>
      <c r="Z61" s="2574"/>
      <c r="AA61" s="2574"/>
      <c r="AB61" s="2574"/>
      <c r="AC61" s="2574"/>
      <c r="AD61" s="2574"/>
      <c r="AE61" s="2574"/>
      <c r="AF61" s="2574"/>
      <c r="AG61" s="2574"/>
      <c r="AH61" s="2574"/>
      <c r="AI61" s="2574"/>
      <c r="AJ61" s="2574"/>
      <c r="AK61" s="2574"/>
      <c r="AL61" s="2574"/>
      <c r="AM61" s="2574"/>
      <c r="AN61" s="2574"/>
      <c r="AO61" s="2574"/>
    </row>
    <row r="62" spans="1:41" ht="17.45" customHeight="1">
      <c r="A62" s="4358" t="s">
        <v>828</v>
      </c>
      <c r="B62" s="4358"/>
      <c r="C62" s="4358"/>
      <c r="D62" s="4358"/>
      <c r="E62" s="4358"/>
      <c r="F62" s="4358"/>
      <c r="G62" s="4358"/>
      <c r="H62" s="4358"/>
      <c r="I62" s="4358"/>
      <c r="J62" s="4358"/>
      <c r="K62" s="4358"/>
      <c r="L62" s="4358"/>
      <c r="M62" s="4358"/>
      <c r="N62" s="4358"/>
      <c r="O62" s="4358"/>
      <c r="P62" s="4358"/>
      <c r="Q62" s="2692"/>
      <c r="R62" s="2574"/>
      <c r="S62" s="2574"/>
      <c r="T62" s="2574"/>
      <c r="U62" s="2574"/>
      <c r="V62" s="2574"/>
      <c r="W62" s="2574"/>
      <c r="X62" s="2574"/>
      <c r="Y62" s="2574"/>
      <c r="Z62" s="2574"/>
      <c r="AA62" s="2574"/>
      <c r="AB62" s="2574"/>
      <c r="AC62" s="2574"/>
      <c r="AD62" s="2574"/>
      <c r="AE62" s="2574"/>
      <c r="AF62" s="2574"/>
      <c r="AG62" s="2574"/>
      <c r="AH62" s="2574"/>
      <c r="AI62" s="2574"/>
      <c r="AJ62" s="2574"/>
      <c r="AK62" s="2574"/>
      <c r="AL62" s="2574"/>
      <c r="AM62" s="2574"/>
      <c r="AN62" s="2574"/>
      <c r="AO62" s="2574"/>
    </row>
    <row r="63" spans="1:41" ht="27.75" customHeight="1">
      <c r="A63" s="4343" t="s">
        <v>1290</v>
      </c>
      <c r="B63" s="4343"/>
      <c r="C63" s="4343"/>
      <c r="D63" s="4343"/>
      <c r="E63" s="4343"/>
      <c r="F63" s="4343"/>
      <c r="G63" s="4343"/>
      <c r="H63" s="4343"/>
      <c r="I63" s="4343"/>
      <c r="J63" s="4343"/>
      <c r="K63" s="4343"/>
      <c r="L63" s="4343"/>
      <c r="M63" s="4343"/>
      <c r="N63" s="4343"/>
      <c r="O63" s="4343"/>
      <c r="P63" s="4343"/>
      <c r="Q63" s="2693"/>
      <c r="R63" s="2574"/>
      <c r="S63" s="2574"/>
      <c r="T63" s="2574"/>
      <c r="U63" s="2574"/>
      <c r="V63" s="2574"/>
      <c r="W63" s="2574"/>
      <c r="X63" s="2574"/>
      <c r="Y63" s="2574"/>
      <c r="Z63" s="2574"/>
      <c r="AA63" s="2574"/>
      <c r="AB63" s="2574"/>
      <c r="AC63" s="2574"/>
      <c r="AD63" s="2574"/>
      <c r="AE63" s="2574"/>
      <c r="AF63" s="2574"/>
      <c r="AG63" s="2574"/>
      <c r="AH63" s="2574"/>
      <c r="AI63" s="2574"/>
      <c r="AJ63" s="2574"/>
      <c r="AK63" s="2574"/>
      <c r="AL63" s="2574"/>
      <c r="AM63" s="2574"/>
      <c r="AN63" s="2574"/>
      <c r="AO63" s="2574"/>
    </row>
    <row r="64" spans="1:41" ht="27.75" customHeight="1">
      <c r="R64" s="2574"/>
      <c r="S64" s="2574"/>
      <c r="T64" s="2574"/>
      <c r="U64" s="2574"/>
      <c r="V64" s="2574"/>
      <c r="W64" s="2574"/>
      <c r="X64" s="2574"/>
      <c r="Y64" s="2574"/>
      <c r="Z64" s="2574"/>
      <c r="AA64" s="2574"/>
      <c r="AB64" s="2574"/>
      <c r="AC64" s="2574"/>
      <c r="AD64" s="2574"/>
      <c r="AE64" s="2574"/>
      <c r="AF64" s="2574"/>
      <c r="AG64" s="2574"/>
      <c r="AH64" s="2574"/>
      <c r="AI64" s="2574"/>
      <c r="AJ64" s="2574"/>
      <c r="AK64" s="2574"/>
      <c r="AL64" s="2574"/>
      <c r="AM64" s="2574"/>
      <c r="AN64" s="2574"/>
      <c r="AO64" s="2574"/>
    </row>
    <row r="65" spans="14:41" ht="27.75" customHeight="1">
      <c r="R65" s="2574"/>
      <c r="S65" s="2574"/>
      <c r="T65" s="2574"/>
      <c r="U65" s="2574"/>
      <c r="V65" s="2574"/>
      <c r="W65" s="2574"/>
      <c r="X65" s="2574"/>
      <c r="Y65" s="2574"/>
      <c r="Z65" s="2574"/>
      <c r="AA65" s="2574"/>
      <c r="AB65" s="2574"/>
      <c r="AC65" s="2574"/>
      <c r="AD65" s="2574"/>
      <c r="AE65" s="2574"/>
      <c r="AF65" s="2574"/>
      <c r="AG65" s="2574"/>
      <c r="AH65" s="2574"/>
      <c r="AI65" s="2574"/>
      <c r="AJ65" s="2574"/>
      <c r="AK65" s="2574"/>
      <c r="AL65" s="2574"/>
      <c r="AM65" s="2574"/>
      <c r="AN65" s="2574"/>
      <c r="AO65" s="2574"/>
    </row>
    <row r="66" spans="14:41" ht="27.75" customHeight="1">
      <c r="N66" s="1845"/>
      <c r="R66" s="2574"/>
      <c r="S66" s="2574"/>
      <c r="T66" s="2574"/>
      <c r="U66" s="2574"/>
      <c r="V66" s="2574"/>
      <c r="W66" s="2574"/>
      <c r="X66" s="2574"/>
      <c r="Y66" s="2574"/>
      <c r="Z66" s="2574"/>
      <c r="AA66" s="2574"/>
      <c r="AB66" s="2574"/>
      <c r="AC66" s="2574"/>
      <c r="AD66" s="2574"/>
      <c r="AE66" s="2574"/>
      <c r="AF66" s="2574"/>
      <c r="AG66" s="2574"/>
      <c r="AH66" s="2574"/>
      <c r="AI66" s="2574"/>
      <c r="AJ66" s="2574"/>
      <c r="AK66" s="2574"/>
      <c r="AL66" s="2574"/>
      <c r="AM66" s="2574"/>
      <c r="AN66" s="2574"/>
      <c r="AO66" s="2574"/>
    </row>
    <row r="67" spans="14:41" ht="27.75" customHeight="1">
      <c r="R67" s="2574"/>
      <c r="S67" s="2574"/>
      <c r="T67" s="2574"/>
      <c r="U67" s="2574"/>
      <c r="V67" s="2574"/>
      <c r="W67" s="2574"/>
      <c r="X67" s="2574"/>
      <c r="Y67" s="2574"/>
      <c r="Z67" s="2574"/>
      <c r="AA67" s="2574"/>
      <c r="AB67" s="2574"/>
      <c r="AC67" s="2574"/>
      <c r="AD67" s="2574"/>
      <c r="AE67" s="2574"/>
      <c r="AF67" s="2574"/>
      <c r="AG67" s="2574"/>
      <c r="AH67" s="2574"/>
      <c r="AI67" s="2574"/>
      <c r="AJ67" s="2574"/>
      <c r="AK67" s="2574"/>
      <c r="AL67" s="2574"/>
      <c r="AM67" s="2574"/>
      <c r="AN67" s="2574"/>
      <c r="AO67" s="2574"/>
    </row>
    <row r="68" spans="14:41" ht="27.75" customHeight="1">
      <c r="R68" s="2574"/>
      <c r="S68" s="2574"/>
      <c r="T68" s="2574"/>
      <c r="U68" s="2574"/>
      <c r="V68" s="2574"/>
      <c r="W68" s="2574"/>
      <c r="X68" s="2574"/>
      <c r="Y68" s="2574"/>
      <c r="Z68" s="2574"/>
      <c r="AA68" s="2574"/>
      <c r="AB68" s="2574"/>
      <c r="AC68" s="2574"/>
      <c r="AD68" s="2574"/>
      <c r="AE68" s="2574"/>
      <c r="AF68" s="2574"/>
      <c r="AG68" s="2574"/>
      <c r="AH68" s="2574"/>
      <c r="AI68" s="2574"/>
      <c r="AJ68" s="2574"/>
      <c r="AK68" s="2574"/>
      <c r="AL68" s="2574"/>
      <c r="AM68" s="2574"/>
      <c r="AN68" s="2574"/>
      <c r="AO68" s="2574"/>
    </row>
    <row r="69" spans="14:41" ht="27.75" customHeight="1">
      <c r="R69" s="2574"/>
      <c r="S69" s="2574"/>
      <c r="T69" s="2574"/>
      <c r="U69" s="2574"/>
      <c r="V69" s="2574"/>
      <c r="W69" s="2574"/>
      <c r="X69" s="2574"/>
      <c r="Y69" s="2574"/>
      <c r="Z69" s="2574"/>
      <c r="AA69" s="2574"/>
      <c r="AB69" s="2574"/>
      <c r="AC69" s="2574"/>
      <c r="AD69" s="2574"/>
      <c r="AE69" s="2574"/>
      <c r="AF69" s="2574"/>
      <c r="AG69" s="2574"/>
      <c r="AH69" s="2574"/>
      <c r="AI69" s="2574"/>
      <c r="AJ69" s="2574"/>
      <c r="AK69" s="2574"/>
      <c r="AL69" s="2574"/>
      <c r="AM69" s="2574"/>
      <c r="AN69" s="2574"/>
      <c r="AO69" s="2574"/>
    </row>
    <row r="70" spans="14:41" ht="27.75" customHeight="1">
      <c r="R70" s="2574"/>
      <c r="S70" s="2574"/>
      <c r="T70" s="2574"/>
      <c r="U70" s="2574"/>
      <c r="V70" s="2574"/>
      <c r="W70" s="2574"/>
      <c r="X70" s="2574"/>
      <c r="Y70" s="2574"/>
      <c r="Z70" s="2574"/>
      <c r="AA70" s="2574"/>
      <c r="AB70" s="2574"/>
      <c r="AC70" s="2574"/>
      <c r="AD70" s="2574"/>
      <c r="AE70" s="2574"/>
      <c r="AF70" s="2574"/>
      <c r="AG70" s="2574"/>
      <c r="AH70" s="2574"/>
      <c r="AI70" s="2574"/>
      <c r="AJ70" s="2574"/>
      <c r="AK70" s="2574"/>
      <c r="AL70" s="2574"/>
      <c r="AM70" s="2574"/>
      <c r="AN70" s="2574"/>
      <c r="AO70" s="2574"/>
    </row>
    <row r="71" spans="14:41" ht="27.75" customHeight="1">
      <c r="R71" s="2574"/>
      <c r="S71" s="2574"/>
      <c r="T71" s="2574"/>
      <c r="U71" s="2574"/>
      <c r="V71" s="2574"/>
      <c r="W71" s="2574"/>
      <c r="X71" s="2574"/>
      <c r="Y71" s="2574"/>
      <c r="Z71" s="2574"/>
      <c r="AA71" s="2574"/>
      <c r="AB71" s="2574"/>
      <c r="AC71" s="2574"/>
      <c r="AD71" s="2574"/>
      <c r="AE71" s="2574"/>
      <c r="AF71" s="2574"/>
      <c r="AG71" s="2574"/>
      <c r="AH71" s="2574"/>
      <c r="AI71" s="2574"/>
      <c r="AJ71" s="2574"/>
      <c r="AK71" s="2574"/>
      <c r="AL71" s="2574"/>
      <c r="AM71" s="2574"/>
      <c r="AN71" s="2574"/>
      <c r="AO71" s="2574"/>
    </row>
    <row r="72" spans="14:41" ht="27.75" customHeight="1">
      <c r="R72" s="2574"/>
      <c r="S72" s="2574"/>
      <c r="T72" s="2574"/>
      <c r="U72" s="2574"/>
      <c r="V72" s="2574"/>
      <c r="W72" s="2574"/>
      <c r="X72" s="2574"/>
      <c r="Y72" s="2574"/>
      <c r="Z72" s="2574"/>
      <c r="AA72" s="2574"/>
      <c r="AB72" s="2574"/>
      <c r="AC72" s="2574"/>
      <c r="AD72" s="2574"/>
      <c r="AE72" s="2574"/>
      <c r="AF72" s="2574"/>
      <c r="AG72" s="2574"/>
      <c r="AH72" s="2574"/>
      <c r="AI72" s="2574"/>
      <c r="AJ72" s="2574"/>
      <c r="AK72" s="2574"/>
      <c r="AL72" s="2574"/>
      <c r="AM72" s="2574"/>
      <c r="AN72" s="2574"/>
      <c r="AO72" s="2574"/>
    </row>
    <row r="73" spans="14:41" ht="27.75" customHeight="1">
      <c r="R73" s="2574"/>
      <c r="S73" s="2574"/>
      <c r="T73" s="2574"/>
      <c r="U73" s="2574"/>
      <c r="V73" s="2574"/>
      <c r="W73" s="2574"/>
      <c r="X73" s="2574"/>
      <c r="Y73" s="2574"/>
      <c r="Z73" s="2574"/>
      <c r="AA73" s="2574"/>
      <c r="AB73" s="2574"/>
      <c r="AC73" s="2574"/>
      <c r="AD73" s="2574"/>
      <c r="AE73" s="2574"/>
      <c r="AF73" s="2574"/>
      <c r="AG73" s="2574"/>
      <c r="AH73" s="2574"/>
      <c r="AI73" s="2574"/>
      <c r="AJ73" s="2574"/>
      <c r="AK73" s="2574"/>
      <c r="AL73" s="2574"/>
      <c r="AM73" s="2574"/>
      <c r="AN73" s="2574"/>
      <c r="AO73" s="2574"/>
    </row>
    <row r="74" spans="14:41" ht="27.75" customHeight="1">
      <c r="R74" s="2574"/>
      <c r="S74" s="2574"/>
      <c r="T74" s="2574"/>
      <c r="U74" s="2574"/>
      <c r="V74" s="2574"/>
      <c r="W74" s="2574"/>
      <c r="X74" s="2574"/>
      <c r="Y74" s="2574"/>
      <c r="Z74" s="2574"/>
      <c r="AA74" s="2574"/>
      <c r="AB74" s="2574"/>
      <c r="AC74" s="2574"/>
      <c r="AD74" s="2574"/>
      <c r="AE74" s="2574"/>
      <c r="AF74" s="2574"/>
      <c r="AG74" s="2574"/>
      <c r="AH74" s="2574"/>
      <c r="AI74" s="2574"/>
      <c r="AJ74" s="2574"/>
      <c r="AK74" s="2574"/>
      <c r="AL74" s="2574"/>
      <c r="AM74" s="2574"/>
      <c r="AN74" s="2574"/>
      <c r="AO74" s="2574"/>
    </row>
    <row r="75" spans="14:41" ht="27.75" customHeight="1">
      <c r="R75" s="2574"/>
      <c r="S75" s="2574"/>
      <c r="T75" s="2574"/>
      <c r="U75" s="2574"/>
      <c r="V75" s="2574"/>
      <c r="W75" s="2574"/>
      <c r="X75" s="2574"/>
      <c r="Y75" s="2574"/>
      <c r="Z75" s="2574"/>
      <c r="AA75" s="2574"/>
      <c r="AB75" s="2574"/>
      <c r="AC75" s="2574"/>
      <c r="AD75" s="2574"/>
      <c r="AE75" s="2574"/>
      <c r="AF75" s="2574"/>
      <c r="AG75" s="2574"/>
      <c r="AH75" s="2574"/>
      <c r="AI75" s="2574"/>
      <c r="AJ75" s="2574"/>
      <c r="AK75" s="2574"/>
      <c r="AL75" s="2574"/>
      <c r="AM75" s="2574"/>
      <c r="AN75" s="2574"/>
      <c r="AO75" s="2574"/>
    </row>
    <row r="76" spans="14:41" ht="27.75" customHeight="1">
      <c r="R76" s="2574"/>
      <c r="S76" s="2574"/>
      <c r="T76" s="2574"/>
      <c r="U76" s="2574"/>
      <c r="V76" s="2574"/>
      <c r="W76" s="2574"/>
      <c r="X76" s="2574"/>
      <c r="Y76" s="2574"/>
      <c r="Z76" s="2574"/>
      <c r="AA76" s="2574"/>
      <c r="AB76" s="2574"/>
      <c r="AC76" s="2574"/>
      <c r="AD76" s="2574"/>
      <c r="AE76" s="2574"/>
      <c r="AF76" s="2574"/>
      <c r="AG76" s="2574"/>
      <c r="AH76" s="2574"/>
      <c r="AI76" s="2574"/>
      <c r="AJ76" s="2574"/>
      <c r="AK76" s="2574"/>
      <c r="AL76" s="2574"/>
      <c r="AM76" s="2574"/>
      <c r="AN76" s="2574"/>
      <c r="AO76" s="2574"/>
    </row>
    <row r="77" spans="14:41" ht="27.75" customHeight="1">
      <c r="R77" s="2574"/>
      <c r="S77" s="2574"/>
      <c r="T77" s="2574"/>
      <c r="U77" s="2574"/>
      <c r="V77" s="2574"/>
      <c r="W77" s="2574"/>
      <c r="X77" s="2574"/>
      <c r="Y77" s="2574"/>
      <c r="Z77" s="2574"/>
      <c r="AA77" s="2574"/>
      <c r="AB77" s="2574"/>
      <c r="AC77" s="2574"/>
      <c r="AD77" s="2574"/>
      <c r="AE77" s="2574"/>
      <c r="AF77" s="2574"/>
      <c r="AG77" s="2574"/>
      <c r="AH77" s="2574"/>
      <c r="AI77" s="2574"/>
      <c r="AJ77" s="2574"/>
      <c r="AK77" s="2574"/>
      <c r="AL77" s="2574"/>
      <c r="AM77" s="2574"/>
      <c r="AN77" s="2574"/>
      <c r="AO77" s="2574"/>
    </row>
    <row r="78" spans="14:41" ht="27.75" customHeight="1">
      <c r="R78" s="2574"/>
      <c r="S78" s="2574"/>
      <c r="T78" s="2574"/>
      <c r="U78" s="2574"/>
      <c r="V78" s="2574"/>
      <c r="W78" s="2574"/>
      <c r="X78" s="2574"/>
      <c r="Y78" s="2574"/>
      <c r="Z78" s="2574"/>
      <c r="AA78" s="2574"/>
      <c r="AB78" s="2574"/>
      <c r="AC78" s="2574"/>
      <c r="AD78" s="2574"/>
      <c r="AE78" s="2574"/>
      <c r="AF78" s="2574"/>
      <c r="AG78" s="2574"/>
      <c r="AH78" s="2574"/>
      <c r="AI78" s="2574"/>
      <c r="AJ78" s="2574"/>
      <c r="AK78" s="2574"/>
      <c r="AL78" s="2574"/>
      <c r="AM78" s="2574"/>
      <c r="AN78" s="2574"/>
      <c r="AO78" s="2574"/>
    </row>
    <row r="79" spans="14:41" ht="27.75" customHeight="1">
      <c r="R79" s="2574"/>
      <c r="S79" s="2574"/>
      <c r="T79" s="2574"/>
      <c r="U79" s="2574"/>
      <c r="V79" s="2574"/>
      <c r="W79" s="2574"/>
      <c r="X79" s="2574"/>
      <c r="Y79" s="2574"/>
      <c r="Z79" s="2574"/>
      <c r="AA79" s="2574"/>
      <c r="AB79" s="2574"/>
      <c r="AC79" s="2574"/>
      <c r="AD79" s="2574"/>
      <c r="AE79" s="2574"/>
      <c r="AF79" s="2574"/>
      <c r="AG79" s="2574"/>
      <c r="AH79" s="2574"/>
      <c r="AI79" s="2574"/>
      <c r="AJ79" s="2574"/>
      <c r="AK79" s="2574"/>
      <c r="AL79" s="2574"/>
      <c r="AM79" s="2574"/>
      <c r="AN79" s="2574"/>
      <c r="AO79" s="2574"/>
    </row>
    <row r="80" spans="14:41" ht="27.75" customHeight="1">
      <c r="R80" s="2574"/>
      <c r="S80" s="2574"/>
      <c r="T80" s="2574"/>
      <c r="U80" s="2574"/>
      <c r="V80" s="2574"/>
      <c r="W80" s="2574"/>
      <c r="X80" s="2574"/>
      <c r="Y80" s="2574"/>
      <c r="Z80" s="2574"/>
      <c r="AA80" s="2574"/>
      <c r="AB80" s="2574"/>
      <c r="AC80" s="2574"/>
      <c r="AD80" s="2574"/>
      <c r="AE80" s="2574"/>
      <c r="AF80" s="2574"/>
      <c r="AG80" s="2574"/>
      <c r="AH80" s="2574"/>
      <c r="AI80" s="2574"/>
      <c r="AJ80" s="2574"/>
      <c r="AK80" s="2574"/>
      <c r="AL80" s="2574"/>
      <c r="AM80" s="2574"/>
      <c r="AN80" s="2574"/>
      <c r="AO80" s="2574"/>
    </row>
    <row r="81" spans="18:41" ht="27.75" customHeight="1">
      <c r="R81" s="2574"/>
      <c r="S81" s="2574"/>
      <c r="T81" s="2574"/>
      <c r="U81" s="2574"/>
      <c r="V81" s="2574"/>
      <c r="W81" s="2574"/>
      <c r="X81" s="2574"/>
      <c r="Y81" s="2574"/>
      <c r="Z81" s="2574"/>
      <c r="AA81" s="2574"/>
      <c r="AB81" s="2574"/>
      <c r="AC81" s="2574"/>
      <c r="AD81" s="2574"/>
      <c r="AE81" s="2574"/>
      <c r="AF81" s="2574"/>
      <c r="AG81" s="2574"/>
      <c r="AH81" s="2574"/>
      <c r="AI81" s="2574"/>
      <c r="AJ81" s="2574"/>
      <c r="AK81" s="2574"/>
      <c r="AL81" s="2574"/>
      <c r="AM81" s="2574"/>
      <c r="AN81" s="2574"/>
      <c r="AO81" s="2574"/>
    </row>
    <row r="82" spans="18:41" ht="27.75" customHeight="1">
      <c r="R82" s="2574"/>
      <c r="S82" s="2574"/>
      <c r="T82" s="2574"/>
      <c r="U82" s="2574"/>
      <c r="V82" s="2574"/>
      <c r="W82" s="2574"/>
      <c r="X82" s="2574"/>
      <c r="Y82" s="2574"/>
      <c r="Z82" s="2574"/>
      <c r="AA82" s="2574"/>
      <c r="AB82" s="2574"/>
      <c r="AC82" s="2574"/>
      <c r="AD82" s="2574"/>
      <c r="AE82" s="2574"/>
      <c r="AF82" s="2574"/>
      <c r="AG82" s="2574"/>
      <c r="AH82" s="2574"/>
      <c r="AI82" s="2574"/>
      <c r="AJ82" s="2574"/>
      <c r="AK82" s="2574"/>
      <c r="AL82" s="2574"/>
      <c r="AM82" s="2574"/>
      <c r="AN82" s="2574"/>
      <c r="AO82" s="2574"/>
    </row>
    <row r="83" spans="18:41" ht="27.75" customHeight="1">
      <c r="R83" s="2574"/>
      <c r="S83" s="2574"/>
      <c r="T83" s="2574"/>
      <c r="U83" s="2574"/>
      <c r="V83" s="2574"/>
      <c r="W83" s="2574"/>
      <c r="X83" s="2574"/>
      <c r="Y83" s="2574"/>
      <c r="Z83" s="2574"/>
      <c r="AA83" s="2574"/>
      <c r="AB83" s="2574"/>
      <c r="AC83" s="2574"/>
      <c r="AD83" s="2574"/>
      <c r="AE83" s="2574"/>
      <c r="AF83" s="2574"/>
      <c r="AG83" s="2574"/>
      <c r="AH83" s="2574"/>
      <c r="AI83" s="2574"/>
      <c r="AJ83" s="2574"/>
      <c r="AK83" s="2574"/>
      <c r="AL83" s="2574"/>
      <c r="AM83" s="2574"/>
      <c r="AN83" s="2574"/>
      <c r="AO83" s="2574"/>
    </row>
    <row r="84" spans="18:41" ht="27.75" customHeight="1">
      <c r="R84" s="2574"/>
      <c r="S84" s="2574"/>
      <c r="T84" s="2574"/>
      <c r="U84" s="2574"/>
      <c r="V84" s="2574"/>
      <c r="W84" s="2574"/>
      <c r="X84" s="2574"/>
      <c r="Y84" s="2574"/>
      <c r="Z84" s="2574"/>
      <c r="AA84" s="2574"/>
      <c r="AB84" s="2574"/>
      <c r="AC84" s="2574"/>
      <c r="AD84" s="2574"/>
      <c r="AE84" s="2574"/>
      <c r="AF84" s="2574"/>
      <c r="AG84" s="2574"/>
      <c r="AH84" s="2574"/>
      <c r="AI84" s="2574"/>
      <c r="AJ84" s="2574"/>
      <c r="AK84" s="2574"/>
      <c r="AL84" s="2574"/>
      <c r="AM84" s="2574"/>
      <c r="AN84" s="2574"/>
      <c r="AO84" s="2574"/>
    </row>
    <row r="85" spans="18:41" ht="27.75" customHeight="1">
      <c r="R85" s="2574"/>
      <c r="S85" s="2574"/>
      <c r="T85" s="2574"/>
      <c r="U85" s="2574"/>
      <c r="V85" s="2574"/>
      <c r="W85" s="2574"/>
      <c r="X85" s="2574"/>
      <c r="Y85" s="2574"/>
      <c r="Z85" s="2574"/>
      <c r="AA85" s="2574"/>
      <c r="AB85" s="2574"/>
      <c r="AC85" s="2574"/>
      <c r="AD85" s="2574"/>
      <c r="AE85" s="2574"/>
      <c r="AF85" s="2574"/>
      <c r="AG85" s="2574"/>
      <c r="AH85" s="2574"/>
      <c r="AI85" s="2574"/>
      <c r="AJ85" s="2574"/>
      <c r="AK85" s="2574"/>
      <c r="AL85" s="2574"/>
      <c r="AM85" s="2574"/>
      <c r="AN85" s="2574"/>
      <c r="AO85" s="2574"/>
    </row>
    <row r="86" spans="18:41" ht="27.75" customHeight="1">
      <c r="R86" s="2574"/>
      <c r="S86" s="2574"/>
      <c r="T86" s="2574"/>
      <c r="U86" s="2574"/>
      <c r="V86" s="2574"/>
      <c r="W86" s="2574"/>
      <c r="X86" s="2574"/>
      <c r="Y86" s="2574"/>
      <c r="Z86" s="2574"/>
      <c r="AA86" s="2574"/>
      <c r="AB86" s="2574"/>
      <c r="AC86" s="2574"/>
      <c r="AD86" s="2574"/>
      <c r="AE86" s="2574"/>
      <c r="AF86" s="2574"/>
      <c r="AG86" s="2574"/>
      <c r="AH86" s="2574"/>
      <c r="AI86" s="2574"/>
      <c r="AJ86" s="2574"/>
      <c r="AK86" s="2574"/>
      <c r="AL86" s="2574"/>
      <c r="AM86" s="2574"/>
      <c r="AN86" s="2574"/>
      <c r="AO86" s="2574"/>
    </row>
    <row r="87" spans="18:41" ht="27.75" customHeight="1">
      <c r="R87" s="2574"/>
      <c r="S87" s="2574"/>
      <c r="T87" s="2574"/>
      <c r="U87" s="2574"/>
      <c r="V87" s="2574"/>
      <c r="W87" s="2574"/>
      <c r="X87" s="2574"/>
      <c r="Y87" s="2574"/>
      <c r="Z87" s="2574"/>
      <c r="AA87" s="2574"/>
      <c r="AB87" s="2574"/>
      <c r="AC87" s="2574"/>
      <c r="AD87" s="2574"/>
      <c r="AE87" s="2574"/>
      <c r="AF87" s="2574"/>
      <c r="AG87" s="2574"/>
      <c r="AH87" s="2574"/>
      <c r="AI87" s="2574"/>
      <c r="AJ87" s="2574"/>
      <c r="AK87" s="2574"/>
      <c r="AL87" s="2574"/>
      <c r="AM87" s="2574"/>
      <c r="AN87" s="2574"/>
      <c r="AO87" s="2574"/>
    </row>
    <row r="88" spans="18:41" ht="27.75" customHeight="1">
      <c r="R88" s="2574"/>
      <c r="S88" s="2574"/>
      <c r="T88" s="2574"/>
      <c r="U88" s="2574"/>
      <c r="V88" s="2574"/>
      <c r="W88" s="2574"/>
      <c r="X88" s="2574"/>
      <c r="Y88" s="2574"/>
      <c r="Z88" s="2574"/>
      <c r="AA88" s="2574"/>
      <c r="AB88" s="2574"/>
      <c r="AC88" s="2574"/>
      <c r="AD88" s="2574"/>
      <c r="AE88" s="2574"/>
      <c r="AF88" s="2574"/>
      <c r="AG88" s="2574"/>
      <c r="AH88" s="2574"/>
      <c r="AI88" s="2574"/>
      <c r="AJ88" s="2574"/>
      <c r="AK88" s="2574"/>
      <c r="AL88" s="2574"/>
      <c r="AM88" s="2574"/>
      <c r="AN88" s="2574"/>
      <c r="AO88" s="2574"/>
    </row>
    <row r="89" spans="18:41" ht="27.75" customHeight="1">
      <c r="R89" s="2574"/>
      <c r="S89" s="2574"/>
      <c r="T89" s="2574"/>
      <c r="U89" s="2574"/>
      <c r="V89" s="2574"/>
      <c r="W89" s="2574"/>
      <c r="X89" s="2574"/>
      <c r="Y89" s="2574"/>
      <c r="Z89" s="2574"/>
      <c r="AA89" s="2574"/>
      <c r="AB89" s="2574"/>
      <c r="AC89" s="2574"/>
      <c r="AD89" s="2574"/>
      <c r="AE89" s="2574"/>
      <c r="AF89" s="2574"/>
      <c r="AG89" s="2574"/>
      <c r="AH89" s="2574"/>
      <c r="AI89" s="2574"/>
      <c r="AJ89" s="2574"/>
      <c r="AK89" s="2574"/>
      <c r="AL89" s="2574"/>
      <c r="AM89" s="2574"/>
      <c r="AN89" s="2574"/>
      <c r="AO89" s="2574"/>
    </row>
    <row r="90" spans="18:41" ht="27.75" customHeight="1"/>
    <row r="91" spans="18:41" ht="27.75" customHeight="1"/>
    <row r="92" spans="18:41" ht="27.75" customHeight="1"/>
    <row r="93" spans="18:41" ht="27.75" customHeight="1"/>
    <row r="94" spans="18:41" ht="27.75" customHeight="1"/>
    <row r="95" spans="18:41" ht="27.75" customHeight="1"/>
    <row r="96" spans="18:41" ht="27.75" customHeight="1"/>
    <row r="101" ht="10.5" customHeight="1"/>
    <row r="102" ht="10.5" customHeight="1"/>
    <row r="103" ht="10.5" customHeight="1"/>
    <row r="104" ht="10.5" customHeight="1"/>
    <row r="105" ht="10.5" customHeight="1"/>
    <row r="106" ht="6" customHeight="1"/>
  </sheetData>
  <mergeCells count="78">
    <mergeCell ref="A5:F5"/>
    <mergeCell ref="G5:P5"/>
    <mergeCell ref="A1:P1"/>
    <mergeCell ref="A2:P2"/>
    <mergeCell ref="A3:P3"/>
    <mergeCell ref="A4:F4"/>
    <mergeCell ref="G4:P4"/>
    <mergeCell ref="W11:W12"/>
    <mergeCell ref="X11:X1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R11:R12"/>
    <mergeCell ref="S11:S12"/>
    <mergeCell ref="T11:T12"/>
    <mergeCell ref="U11:V11"/>
    <mergeCell ref="Y11:Z11"/>
    <mergeCell ref="AA11:AB11"/>
    <mergeCell ref="AC11:AC12"/>
    <mergeCell ref="AD11:AD12"/>
    <mergeCell ref="AE11:AE13"/>
    <mergeCell ref="E17:L17"/>
    <mergeCell ref="E18:L18"/>
    <mergeCell ref="E19:L19"/>
    <mergeCell ref="A26:A28"/>
    <mergeCell ref="B26:B28"/>
    <mergeCell ref="C26:C28"/>
    <mergeCell ref="D26:D28"/>
    <mergeCell ref="M26:M28"/>
    <mergeCell ref="N26:N28"/>
    <mergeCell ref="O26:O28"/>
    <mergeCell ref="P26:P28"/>
    <mergeCell ref="A30:A31"/>
    <mergeCell ref="B30:B31"/>
    <mergeCell ref="C30:C31"/>
    <mergeCell ref="D30:D31"/>
    <mergeCell ref="M30:M31"/>
    <mergeCell ref="N30:N31"/>
    <mergeCell ref="O30:O31"/>
    <mergeCell ref="A40:A43"/>
    <mergeCell ref="B40:B43"/>
    <mergeCell ref="C40:C41"/>
    <mergeCell ref="D40:D41"/>
    <mergeCell ref="M40:M41"/>
    <mergeCell ref="N40:N41"/>
    <mergeCell ref="O40:O41"/>
    <mergeCell ref="P40:P41"/>
    <mergeCell ref="C42:C43"/>
    <mergeCell ref="D42:D43"/>
    <mergeCell ref="M42:M43"/>
    <mergeCell ref="N42:N43"/>
    <mergeCell ref="O42:O43"/>
    <mergeCell ref="P42:P43"/>
    <mergeCell ref="O58:P58"/>
    <mergeCell ref="A45:A46"/>
    <mergeCell ref="B45:B46"/>
    <mergeCell ref="M45:M46"/>
    <mergeCell ref="N45:N46"/>
    <mergeCell ref="O45:O46"/>
    <mergeCell ref="E54:J54"/>
    <mergeCell ref="A55:C55"/>
    <mergeCell ref="L56:P56"/>
    <mergeCell ref="A57:E57"/>
    <mergeCell ref="H57:J57"/>
    <mergeCell ref="L57:P57"/>
    <mergeCell ref="A61:E61"/>
    <mergeCell ref="H61:J61"/>
    <mergeCell ref="M61:P61"/>
    <mergeCell ref="A62:P62"/>
    <mergeCell ref="A63:P63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topLeftCell="A22" workbookViewId="0">
      <selection activeCell="M28" sqref="M28"/>
    </sheetView>
  </sheetViews>
  <sheetFormatPr defaultRowHeight="15.75"/>
  <cols>
    <col min="1" max="1" width="4.25" style="1846" customWidth="1"/>
    <col min="2" max="2" width="27.625" style="1847" customWidth="1"/>
    <col min="3" max="3" width="6" style="1848" customWidth="1"/>
    <col min="4" max="4" width="5.125" style="2353" customWidth="1"/>
    <col min="5" max="5" width="5.75" style="1850" customWidth="1"/>
    <col min="6" max="6" width="5.75" style="1851" customWidth="1"/>
    <col min="7" max="7" width="5.75" style="1852" customWidth="1"/>
    <col min="8" max="8" width="5.75" style="1851" customWidth="1"/>
    <col min="9" max="9" width="5.75" style="2354" customWidth="1"/>
    <col min="10" max="10" width="5.75" style="2355" customWidth="1"/>
    <col min="11" max="11" width="5.75" style="2356" customWidth="1"/>
    <col min="12" max="12" width="5.75" style="2357" customWidth="1"/>
    <col min="13" max="13" width="7.25" style="1853" customWidth="1"/>
    <col min="14" max="14" width="3.875" style="1851" customWidth="1"/>
    <col min="15" max="15" width="8.75" style="1841" customWidth="1"/>
    <col min="16" max="16" width="11.375" style="1854" customWidth="1"/>
    <col min="17" max="17" width="8.375" style="1854" customWidth="1"/>
    <col min="18" max="18" width="9.75" customWidth="1"/>
    <col min="19" max="20" width="9" bestFit="1" customWidth="1"/>
  </cols>
  <sheetData>
    <row r="1" spans="1:21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1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1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1">
      <c r="A4" s="4340" t="s">
        <v>809</v>
      </c>
      <c r="B4" s="4340"/>
      <c r="C4" s="4340"/>
      <c r="D4" s="4340"/>
      <c r="E4" s="4340"/>
      <c r="F4" s="4340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480"/>
    </row>
    <row r="5" spans="1:21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480"/>
    </row>
    <row r="6" spans="1:21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</row>
    <row r="7" spans="1:21" ht="18.75">
      <c r="A7" s="4858" t="s">
        <v>1291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481"/>
      <c r="R7" s="1754"/>
      <c r="S7" s="1754"/>
      <c r="T7" s="1754"/>
      <c r="U7" s="1754"/>
    </row>
    <row r="8" spans="1:21" ht="15">
      <c r="A8" s="4859" t="s">
        <v>1292</v>
      </c>
      <c r="B8" s="4859"/>
      <c r="C8" s="4859"/>
      <c r="D8" s="4859"/>
      <c r="E8" s="4859"/>
      <c r="F8" s="4859"/>
      <c r="G8" s="4859"/>
      <c r="H8" s="4859"/>
      <c r="I8" s="4859"/>
      <c r="J8" s="4859"/>
      <c r="K8" s="4859"/>
      <c r="L8" s="4859"/>
      <c r="M8" s="4859"/>
      <c r="N8" s="4859"/>
      <c r="O8" s="4859"/>
      <c r="P8" s="4859"/>
      <c r="Q8" s="2497"/>
      <c r="R8" s="1754"/>
      <c r="S8" s="1754"/>
      <c r="T8" s="1754"/>
      <c r="U8" s="1754"/>
    </row>
    <row r="9" spans="1:21" ht="16.5">
      <c r="A9" s="4860" t="s">
        <v>19</v>
      </c>
      <c r="B9" s="4860" t="s">
        <v>1206</v>
      </c>
      <c r="C9" s="4861" t="s">
        <v>623</v>
      </c>
      <c r="D9" s="4862" t="s">
        <v>361</v>
      </c>
      <c r="E9" s="4863" t="s">
        <v>811</v>
      </c>
      <c r="F9" s="4863"/>
      <c r="G9" s="4863"/>
      <c r="H9" s="4863"/>
      <c r="I9" s="4863"/>
      <c r="J9" s="4863"/>
      <c r="K9" s="4863"/>
      <c r="L9" s="4863"/>
      <c r="M9" s="4863"/>
      <c r="N9" s="4863" t="s">
        <v>812</v>
      </c>
      <c r="O9" s="4864" t="s">
        <v>47</v>
      </c>
      <c r="P9" s="4865" t="s">
        <v>813</v>
      </c>
      <c r="Q9" s="2317"/>
      <c r="R9" s="1754"/>
      <c r="S9" s="1754"/>
      <c r="T9" s="1754"/>
      <c r="U9" s="1754"/>
    </row>
    <row r="10" spans="1:21" ht="16.5">
      <c r="A10" s="4860"/>
      <c r="B10" s="4860"/>
      <c r="C10" s="4861"/>
      <c r="D10" s="4862"/>
      <c r="E10" s="1755" t="s">
        <v>814</v>
      </c>
      <c r="F10" s="1755" t="s">
        <v>815</v>
      </c>
      <c r="G10" s="1755" t="s">
        <v>814</v>
      </c>
      <c r="H10" s="1755" t="s">
        <v>815</v>
      </c>
      <c r="I10" s="1755" t="s">
        <v>814</v>
      </c>
      <c r="J10" s="1755" t="s">
        <v>815</v>
      </c>
      <c r="K10" s="1755" t="s">
        <v>814</v>
      </c>
      <c r="L10" s="1756" t="s">
        <v>815</v>
      </c>
      <c r="M10" s="1757" t="s">
        <v>21</v>
      </c>
      <c r="N10" s="4863"/>
      <c r="O10" s="4864"/>
      <c r="P10" s="4865"/>
      <c r="Q10" s="2317"/>
      <c r="R10" s="1754"/>
      <c r="S10" s="1754"/>
      <c r="T10" s="1754"/>
      <c r="U10" s="1754"/>
    </row>
    <row r="11" spans="1:21" ht="33" customHeight="1">
      <c r="A11" s="1758" t="s">
        <v>52</v>
      </c>
      <c r="B11" s="1759" t="s">
        <v>816</v>
      </c>
      <c r="C11" s="1760"/>
      <c r="D11" s="2318"/>
      <c r="E11" s="1761"/>
      <c r="F11" s="1761"/>
      <c r="G11" s="1761"/>
      <c r="H11" s="1761"/>
      <c r="I11" s="1761"/>
      <c r="J11" s="1761"/>
      <c r="K11" s="1761"/>
      <c r="L11" s="1762"/>
      <c r="M11" s="1763"/>
      <c r="N11" s="1761"/>
      <c r="O11" s="1764">
        <f>O21+O15+O12</f>
        <v>7723.5926880609995</v>
      </c>
      <c r="P11" s="1765"/>
      <c r="Q11" s="2319"/>
      <c r="R11" s="1754"/>
      <c r="S11" s="1754"/>
      <c r="T11" s="1754"/>
      <c r="U11" s="1754"/>
    </row>
    <row r="12" spans="1:21" ht="22.5" customHeight="1">
      <c r="A12" s="1766" t="s">
        <v>147</v>
      </c>
      <c r="B12" s="1767" t="s">
        <v>817</v>
      </c>
      <c r="C12" s="1768"/>
      <c r="D12" s="1770"/>
      <c r="E12" s="1769"/>
      <c r="F12" s="1769"/>
      <c r="G12" s="1769"/>
      <c r="H12" s="1769"/>
      <c r="I12" s="1769"/>
      <c r="J12" s="1769"/>
      <c r="K12" s="1769"/>
      <c r="L12" s="1770"/>
      <c r="M12" s="1771"/>
      <c r="N12" s="1769"/>
      <c r="O12" s="1772"/>
      <c r="P12" s="1773"/>
      <c r="Q12" s="2320"/>
      <c r="R12" s="1754"/>
      <c r="S12" s="1754"/>
      <c r="T12" s="1754"/>
      <c r="U12" s="1754"/>
    </row>
    <row r="13" spans="1:21" ht="22.5" customHeight="1">
      <c r="A13" s="1774">
        <v>1</v>
      </c>
      <c r="B13" s="1775" t="s">
        <v>49</v>
      </c>
      <c r="C13" s="1776" t="s">
        <v>818</v>
      </c>
      <c r="D13" s="2321"/>
      <c r="E13" s="1769"/>
      <c r="F13" s="2482"/>
      <c r="G13" s="1769"/>
      <c r="H13" s="1769"/>
      <c r="I13" s="1769"/>
      <c r="J13" s="1769"/>
      <c r="K13" s="1769"/>
      <c r="L13" s="1770"/>
      <c r="M13" s="1771"/>
      <c r="N13" s="2482"/>
      <c r="O13" s="1772"/>
      <c r="P13" s="1777"/>
      <c r="Q13" s="2322"/>
      <c r="R13" s="1754"/>
      <c r="S13" s="1754"/>
      <c r="T13" s="1754"/>
      <c r="U13" s="1754"/>
    </row>
    <row r="14" spans="1:21" ht="22.5" customHeight="1">
      <c r="A14" s="1774">
        <v>2</v>
      </c>
      <c r="B14" s="1775" t="s">
        <v>819</v>
      </c>
      <c r="C14" s="1776" t="s">
        <v>818</v>
      </c>
      <c r="D14" s="2321"/>
      <c r="E14" s="1769"/>
      <c r="F14" s="2482"/>
      <c r="G14" s="1769"/>
      <c r="H14" s="1769"/>
      <c r="I14" s="1769"/>
      <c r="J14" s="1769"/>
      <c r="K14" s="1769"/>
      <c r="L14" s="1770"/>
      <c r="M14" s="2323">
        <v>98</v>
      </c>
      <c r="N14" s="2482"/>
      <c r="O14" s="1772"/>
      <c r="P14" s="1779"/>
      <c r="Q14" s="2324"/>
      <c r="R14" s="1754"/>
      <c r="S14" s="1754"/>
      <c r="T14" s="1754"/>
      <c r="U14" s="1754"/>
    </row>
    <row r="15" spans="1:21" ht="22.5" customHeight="1">
      <c r="A15" s="1766" t="s">
        <v>148</v>
      </c>
      <c r="B15" s="1767" t="s">
        <v>820</v>
      </c>
      <c r="C15" s="1780"/>
      <c r="D15" s="1770"/>
      <c r="E15" s="1769"/>
      <c r="F15" s="1769"/>
      <c r="G15" s="1769"/>
      <c r="H15" s="1769"/>
      <c r="I15" s="1769"/>
      <c r="J15" s="1769"/>
      <c r="K15" s="1769"/>
      <c r="L15" s="1770"/>
      <c r="M15" s="1771"/>
      <c r="N15" s="1769"/>
      <c r="O15" s="1772">
        <f>SUM(O16:O20)</f>
        <v>5335.2</v>
      </c>
      <c r="P15" s="1773"/>
      <c r="Q15" s="2320"/>
      <c r="R15" s="1754"/>
      <c r="S15" s="1754"/>
      <c r="T15" s="1754"/>
      <c r="U15" s="1754"/>
    </row>
    <row r="16" spans="1:21" ht="38.25" customHeight="1">
      <c r="A16" s="1774">
        <v>1</v>
      </c>
      <c r="B16" s="1775" t="s">
        <v>821</v>
      </c>
      <c r="C16" s="1781" t="s">
        <v>362</v>
      </c>
      <c r="D16" s="2321"/>
      <c r="E16" s="4855" t="s">
        <v>1293</v>
      </c>
      <c r="F16" s="4855"/>
      <c r="G16" s="4855"/>
      <c r="H16" s="4855"/>
      <c r="I16" s="4855"/>
      <c r="J16" s="4855"/>
      <c r="K16" s="4855"/>
      <c r="L16" s="4855"/>
      <c r="M16" s="1771"/>
      <c r="N16" s="2482"/>
      <c r="O16" s="1782">
        <f>43*4*70000/25000</f>
        <v>481.6</v>
      </c>
      <c r="P16" s="1779"/>
      <c r="Q16" s="2324"/>
      <c r="R16" s="1754"/>
      <c r="S16" s="1754"/>
      <c r="T16" s="1754"/>
      <c r="U16" s="1754"/>
    </row>
    <row r="17" spans="1:28" ht="38.25" customHeight="1">
      <c r="A17" s="1774">
        <v>2</v>
      </c>
      <c r="B17" s="1775" t="s">
        <v>1294</v>
      </c>
      <c r="C17" s="1776" t="s">
        <v>362</v>
      </c>
      <c r="D17" s="2321"/>
      <c r="E17" s="4855" t="s">
        <v>1295</v>
      </c>
      <c r="F17" s="4855"/>
      <c r="G17" s="4855"/>
      <c r="H17" s="4855"/>
      <c r="I17" s="4855"/>
      <c r="J17" s="4855"/>
      <c r="K17" s="4855"/>
      <c r="L17" s="4855"/>
      <c r="M17" s="1771"/>
      <c r="N17" s="2482"/>
      <c r="O17" s="1782">
        <f>43*26*50000/25000</f>
        <v>2236</v>
      </c>
      <c r="P17" s="1779"/>
      <c r="Q17" s="2324"/>
      <c r="R17" s="1754"/>
      <c r="S17" s="1754"/>
      <c r="T17" s="1754"/>
      <c r="U17" s="1754"/>
    </row>
    <row r="18" spans="1:28" ht="38.25" customHeight="1">
      <c r="A18" s="1774">
        <v>3</v>
      </c>
      <c r="B18" s="1775" t="s">
        <v>1038</v>
      </c>
      <c r="C18" s="1781" t="s">
        <v>362</v>
      </c>
      <c r="D18" s="2321"/>
      <c r="E18" s="4855" t="s">
        <v>1039</v>
      </c>
      <c r="F18" s="4855"/>
      <c r="G18" s="4855"/>
      <c r="H18" s="4855"/>
      <c r="I18" s="4855"/>
      <c r="J18" s="4855"/>
      <c r="K18" s="4855"/>
      <c r="L18" s="4855"/>
      <c r="M18" s="1771"/>
      <c r="N18" s="2482"/>
      <c r="O18" s="1782">
        <f>8*4*90000/25000</f>
        <v>115.2</v>
      </c>
      <c r="P18" s="1779"/>
      <c r="Q18" s="2324"/>
      <c r="R18" s="1754"/>
      <c r="S18" s="1754"/>
      <c r="T18" s="1754"/>
      <c r="U18" s="1754"/>
    </row>
    <row r="19" spans="1:28" ht="37.5" customHeight="1">
      <c r="A19" s="1774">
        <v>4</v>
      </c>
      <c r="B19" s="1775" t="s">
        <v>1296</v>
      </c>
      <c r="C19" s="1776" t="s">
        <v>362</v>
      </c>
      <c r="D19" s="2321"/>
      <c r="E19" s="4855" t="s">
        <v>1297</v>
      </c>
      <c r="F19" s="4855"/>
      <c r="G19" s="4855"/>
      <c r="H19" s="4855"/>
      <c r="I19" s="4855"/>
      <c r="J19" s="4855"/>
      <c r="K19" s="4855"/>
      <c r="L19" s="4855"/>
      <c r="M19" s="1771"/>
      <c r="N19" s="2482"/>
      <c r="O19" s="1782">
        <f>8*26*70000/25000</f>
        <v>582.4</v>
      </c>
      <c r="P19" s="1779"/>
      <c r="Q19" s="2324"/>
      <c r="R19" s="2330"/>
      <c r="S19" s="2330" t="s">
        <v>1298</v>
      </c>
      <c r="T19" s="2330" t="s">
        <v>1207</v>
      </c>
      <c r="U19" s="2330" t="s">
        <v>1299</v>
      </c>
      <c r="V19" s="2329" t="s">
        <v>1210</v>
      </c>
      <c r="W19" s="2329" t="s">
        <v>1212</v>
      </c>
    </row>
    <row r="20" spans="1:28" ht="46.5" customHeight="1">
      <c r="A20" s="1774">
        <v>5</v>
      </c>
      <c r="B20" s="1775" t="s">
        <v>1285</v>
      </c>
      <c r="C20" s="1776" t="s">
        <v>362</v>
      </c>
      <c r="D20" s="2321"/>
      <c r="E20" s="4866" t="s">
        <v>1300</v>
      </c>
      <c r="F20" s="4867"/>
      <c r="G20" s="4867"/>
      <c r="H20" s="4867"/>
      <c r="I20" s="4867"/>
      <c r="J20" s="4867"/>
      <c r="K20" s="4867"/>
      <c r="L20" s="4868"/>
      <c r="M20" s="1771"/>
      <c r="N20" s="2482"/>
      <c r="O20" s="1782">
        <f>16*30*100000/25000</f>
        <v>1920</v>
      </c>
      <c r="P20" s="1779"/>
      <c r="Q20" s="2324"/>
      <c r="R20" s="2330" t="s">
        <v>1214</v>
      </c>
      <c r="S20" s="2330">
        <f>M24+M31+M39</f>
        <v>246.85</v>
      </c>
      <c r="T20" s="2330"/>
      <c r="U20" s="2330">
        <f>M28</f>
        <v>51</v>
      </c>
      <c r="V20" s="2332">
        <f>M29+M37</f>
        <v>84</v>
      </c>
      <c r="W20" s="2332">
        <f>M27</f>
        <v>10</v>
      </c>
      <c r="X20" s="2574"/>
      <c r="Y20" s="2574"/>
      <c r="Z20" s="2574"/>
      <c r="AA20" s="2574"/>
      <c r="AB20" s="2574"/>
    </row>
    <row r="21" spans="1:28" ht="18.75" customHeight="1">
      <c r="A21" s="1783" t="s">
        <v>149</v>
      </c>
      <c r="B21" s="1784" t="s">
        <v>956</v>
      </c>
      <c r="C21" s="1781"/>
      <c r="D21" s="1814"/>
      <c r="E21" s="1786"/>
      <c r="F21" s="1787"/>
      <c r="G21" s="1786"/>
      <c r="H21" s="1787"/>
      <c r="I21" s="1810"/>
      <c r="J21" s="1789"/>
      <c r="K21" s="1810"/>
      <c r="L21" s="2325"/>
      <c r="M21" s="1788"/>
      <c r="N21" s="1789"/>
      <c r="O21" s="1790">
        <f>+O22+O36+O26</f>
        <v>2388.3926880609997</v>
      </c>
      <c r="P21" s="2326"/>
      <c r="Q21" s="2327"/>
      <c r="R21" s="2330" t="s">
        <v>1215</v>
      </c>
      <c r="S21" s="2330">
        <f>M42+M44</f>
        <v>42.17</v>
      </c>
      <c r="T21" s="2330">
        <f>M45</f>
        <v>20.619999999999997</v>
      </c>
      <c r="U21" s="2330"/>
      <c r="V21" s="2332"/>
      <c r="W21" s="2332"/>
      <c r="X21" s="2574"/>
      <c r="Y21" s="2574"/>
      <c r="Z21" s="2574"/>
      <c r="AA21" s="2574"/>
      <c r="AB21" s="2574"/>
    </row>
    <row r="22" spans="1:28" ht="18.75" customHeight="1">
      <c r="A22" s="1783">
        <v>1</v>
      </c>
      <c r="B22" s="1784" t="s">
        <v>927</v>
      </c>
      <c r="C22" s="1781"/>
      <c r="D22" s="1814"/>
      <c r="E22" s="1786"/>
      <c r="F22" s="1787"/>
      <c r="G22" s="1786"/>
      <c r="H22" s="1787"/>
      <c r="I22" s="1810"/>
      <c r="J22" s="1789"/>
      <c r="K22" s="1810"/>
      <c r="L22" s="2325"/>
      <c r="M22" s="1788"/>
      <c r="N22" s="1789"/>
      <c r="O22" s="1790">
        <f>+SUM(O23:O25)</f>
        <v>171.97657225200001</v>
      </c>
      <c r="P22" s="2326"/>
      <c r="Q22" s="2327"/>
      <c r="R22" s="4900"/>
      <c r="S22" s="4900"/>
      <c r="T22" s="2581"/>
      <c r="U22" s="2581"/>
      <c r="V22" s="2578"/>
      <c r="W22" s="2578"/>
      <c r="X22" s="2578"/>
      <c r="Y22" s="2578"/>
      <c r="Z22" s="2578"/>
      <c r="AA22" s="2578"/>
      <c r="AB22" s="2574"/>
    </row>
    <row r="23" spans="1:28" ht="18.75" customHeight="1">
      <c r="A23" s="1792" t="s">
        <v>837</v>
      </c>
      <c r="B23" s="1775" t="s">
        <v>204</v>
      </c>
      <c r="C23" s="1781" t="s">
        <v>957</v>
      </c>
      <c r="D23" s="1814">
        <v>1.25</v>
      </c>
      <c r="E23" s="1804"/>
      <c r="F23" s="1794"/>
      <c r="G23" s="1805"/>
      <c r="H23" s="1796"/>
      <c r="I23" s="1804"/>
      <c r="J23" s="1796"/>
      <c r="K23" s="1789"/>
      <c r="L23" s="2325"/>
      <c r="M23" s="1788">
        <v>23</v>
      </c>
      <c r="N23" s="1789">
        <v>1</v>
      </c>
      <c r="O23" s="1782">
        <f>ROUND((M23/D23)*N23,9)</f>
        <v>18.399999999999999</v>
      </c>
      <c r="P23" s="2326"/>
      <c r="Q23" s="2327"/>
      <c r="R23" s="2583"/>
      <c r="S23" s="2583"/>
      <c r="T23" s="2583"/>
      <c r="U23" s="2583"/>
      <c r="V23" s="2575"/>
      <c r="W23" s="2575"/>
      <c r="X23" s="2575"/>
      <c r="Y23" s="2575"/>
      <c r="Z23" s="2575"/>
      <c r="AA23" s="2575"/>
      <c r="AB23" s="2574"/>
    </row>
    <row r="24" spans="1:28" ht="18.75" customHeight="1">
      <c r="A24" s="4832" t="s">
        <v>838</v>
      </c>
      <c r="B24" s="4834" t="s">
        <v>1061</v>
      </c>
      <c r="C24" s="4836" t="s">
        <v>1047</v>
      </c>
      <c r="D24" s="4838">
        <v>0.20829999999999999</v>
      </c>
      <c r="E24" s="1805" t="s">
        <v>1058</v>
      </c>
      <c r="F24" s="1796">
        <v>1.22</v>
      </c>
      <c r="G24" s="1804" t="s">
        <v>1056</v>
      </c>
      <c r="H24" s="1796">
        <v>3.36</v>
      </c>
      <c r="I24" s="1789" t="s">
        <v>1057</v>
      </c>
      <c r="J24" s="2325">
        <v>3.99</v>
      </c>
      <c r="K24" s="1789">
        <v>8</v>
      </c>
      <c r="L24" s="2325">
        <v>2.2999999999999998</v>
      </c>
      <c r="M24" s="4840">
        <f>F24+H24+J24+L24+F25+H25+J25+L25</f>
        <v>31.990000000000002</v>
      </c>
      <c r="N24" s="4842">
        <v>1</v>
      </c>
      <c r="O24" s="4825">
        <f>ROUND((M24/D24)*N24,9)</f>
        <v>153.57657225200001</v>
      </c>
      <c r="P24" s="2334"/>
      <c r="Q24" s="2333">
        <f>M24*1.7</f>
        <v>54.383000000000003</v>
      </c>
      <c r="R24" s="2574"/>
      <c r="S24" s="2574"/>
      <c r="T24" s="2574">
        <f>S20*1.7</f>
        <v>419.64499999999998</v>
      </c>
      <c r="U24" s="2574"/>
      <c r="V24" s="2574"/>
      <c r="W24" s="2574"/>
      <c r="X24" s="2574"/>
      <c r="Y24" s="2574"/>
      <c r="Z24" s="2574"/>
      <c r="AA24" s="2574"/>
      <c r="AB24" s="2574"/>
    </row>
    <row r="25" spans="1:28" ht="18.75" customHeight="1">
      <c r="A25" s="4833"/>
      <c r="B25" s="4835"/>
      <c r="C25" s="4837"/>
      <c r="D25" s="4839"/>
      <c r="E25" s="1805" t="s">
        <v>1053</v>
      </c>
      <c r="F25" s="1796">
        <v>3.16</v>
      </c>
      <c r="G25" s="1804" t="s">
        <v>1054</v>
      </c>
      <c r="H25" s="1796">
        <v>6.09</v>
      </c>
      <c r="I25" s="1789" t="s">
        <v>209</v>
      </c>
      <c r="J25" s="2325">
        <v>1.77</v>
      </c>
      <c r="K25" s="1789">
        <v>9</v>
      </c>
      <c r="L25" s="2325">
        <v>10.1</v>
      </c>
      <c r="M25" s="4841"/>
      <c r="N25" s="4843"/>
      <c r="O25" s="4826"/>
      <c r="P25" s="2334"/>
      <c r="Q25" s="2333"/>
      <c r="R25" s="2574"/>
      <c r="S25" s="2574"/>
      <c r="T25" s="2574"/>
      <c r="U25" s="2574"/>
      <c r="V25" s="2574"/>
      <c r="W25" s="2574"/>
      <c r="X25" s="2574"/>
      <c r="Y25" s="2574"/>
      <c r="Z25" s="2574"/>
      <c r="AA25" s="2574"/>
      <c r="AB25" s="2574"/>
    </row>
    <row r="26" spans="1:28" ht="18.75" customHeight="1">
      <c r="A26" s="1783">
        <v>2</v>
      </c>
      <c r="B26" s="1784" t="s">
        <v>824</v>
      </c>
      <c r="C26" s="1781"/>
      <c r="D26" s="1814"/>
      <c r="E26" s="1804"/>
      <c r="F26" s="1796"/>
      <c r="G26" s="1804"/>
      <c r="H26" s="1796"/>
      <c r="I26" s="1805"/>
      <c r="J26" s="1796"/>
      <c r="K26" s="1805"/>
      <c r="L26" s="1796"/>
      <c r="M26" s="1788"/>
      <c r="N26" s="1789"/>
      <c r="O26" s="1790">
        <f>+SUM(O27:O35)</f>
        <v>1550.179341925</v>
      </c>
      <c r="P26" s="2326"/>
      <c r="Q26" s="2327"/>
      <c r="R26" s="2574"/>
      <c r="S26" s="2574"/>
      <c r="T26" s="2574"/>
      <c r="U26" s="2574"/>
      <c r="V26" s="2574"/>
      <c r="W26" s="2574"/>
      <c r="X26" s="2574"/>
      <c r="Y26" s="2574"/>
      <c r="Z26" s="2574"/>
      <c r="AA26" s="2574"/>
      <c r="AB26" s="2574"/>
    </row>
    <row r="27" spans="1:28" ht="34.5" customHeight="1">
      <c r="A27" s="1792" t="s">
        <v>967</v>
      </c>
      <c r="B27" s="2335" t="s">
        <v>1216</v>
      </c>
      <c r="C27" s="1781" t="s">
        <v>957</v>
      </c>
      <c r="D27" s="1814">
        <v>0.13</v>
      </c>
      <c r="E27" s="1804"/>
      <c r="F27" s="1796"/>
      <c r="G27" s="1805"/>
      <c r="H27" s="1796"/>
      <c r="I27" s="1804"/>
      <c r="J27" s="1796"/>
      <c r="K27" s="1804"/>
      <c r="L27" s="1796"/>
      <c r="M27" s="1788">
        <v>10</v>
      </c>
      <c r="N27" s="1789">
        <v>1</v>
      </c>
      <c r="O27" s="1782">
        <f t="shared" ref="O27:O30" si="0">ROUND((M27/D27)*N27,9)</f>
        <v>76.923076922999996</v>
      </c>
      <c r="P27" s="2326"/>
      <c r="Q27" s="2327"/>
      <c r="R27" s="2586"/>
      <c r="S27" s="2586"/>
      <c r="T27" s="2586"/>
      <c r="U27" s="2586"/>
      <c r="V27" s="2574"/>
      <c r="W27" s="2574"/>
      <c r="X27" s="2574"/>
      <c r="Y27" s="2574"/>
      <c r="Z27" s="2574"/>
      <c r="AA27" s="2574"/>
      <c r="AB27" s="2574"/>
    </row>
    <row r="28" spans="1:28" ht="39" customHeight="1">
      <c r="A28" s="1792" t="s">
        <v>1062</v>
      </c>
      <c r="B28" s="1775" t="s">
        <v>1077</v>
      </c>
      <c r="C28" s="1781" t="s">
        <v>957</v>
      </c>
      <c r="D28" s="1814">
        <f>25000/200000</f>
        <v>0.125</v>
      </c>
      <c r="E28" s="1804"/>
      <c r="F28" s="1796"/>
      <c r="G28" s="1805"/>
      <c r="H28" s="1796"/>
      <c r="I28" s="1805"/>
      <c r="J28" s="1796"/>
      <c r="K28" s="2363"/>
      <c r="L28" s="1801"/>
      <c r="M28" s="1788">
        <v>51</v>
      </c>
      <c r="N28" s="1789">
        <v>1</v>
      </c>
      <c r="O28" s="1782">
        <f t="shared" si="0"/>
        <v>408</v>
      </c>
      <c r="P28" s="2326"/>
      <c r="Q28" s="2327"/>
      <c r="R28" s="2586"/>
      <c r="S28" s="2586"/>
      <c r="T28" s="2586"/>
      <c r="U28" s="2586"/>
      <c r="V28" s="2574"/>
      <c r="W28" s="2574"/>
      <c r="X28" s="2574"/>
      <c r="Y28" s="2574"/>
      <c r="Z28" s="2574"/>
      <c r="AA28" s="2574"/>
      <c r="AB28" s="2574"/>
    </row>
    <row r="29" spans="1:28" ht="21.75" customHeight="1">
      <c r="A29" s="1792" t="s">
        <v>1063</v>
      </c>
      <c r="B29" s="1775" t="s">
        <v>1043</v>
      </c>
      <c r="C29" s="1781" t="s">
        <v>957</v>
      </c>
      <c r="D29" s="1814">
        <f>25000/150000</f>
        <v>0.16666666666666666</v>
      </c>
      <c r="E29" s="1804"/>
      <c r="F29" s="1796"/>
      <c r="G29" s="1805"/>
      <c r="H29" s="1796"/>
      <c r="I29" s="1805"/>
      <c r="J29" s="1796"/>
      <c r="K29" s="2363"/>
      <c r="L29" s="1801"/>
      <c r="M29" s="1788">
        <f>17+64+1</f>
        <v>82</v>
      </c>
      <c r="N29" s="1789">
        <v>1</v>
      </c>
      <c r="O29" s="1782">
        <f t="shared" si="0"/>
        <v>492</v>
      </c>
      <c r="P29" s="2326"/>
      <c r="Q29" s="2327"/>
      <c r="R29" s="1754"/>
      <c r="S29" s="1754"/>
      <c r="T29" s="1754"/>
      <c r="U29" s="1754"/>
    </row>
    <row r="30" spans="1:28" ht="21.75" customHeight="1">
      <c r="A30" s="1792" t="s">
        <v>1064</v>
      </c>
      <c r="B30" s="1775" t="s">
        <v>204</v>
      </c>
      <c r="C30" s="1781" t="s">
        <v>957</v>
      </c>
      <c r="D30" s="1814">
        <v>1.25</v>
      </c>
      <c r="E30" s="1804"/>
      <c r="F30" s="1796"/>
      <c r="G30" s="1805"/>
      <c r="H30" s="1796"/>
      <c r="I30" s="1805"/>
      <c r="J30" s="1796"/>
      <c r="K30" s="2363"/>
      <c r="L30" s="1801"/>
      <c r="M30" s="1788">
        <v>152</v>
      </c>
      <c r="N30" s="1789">
        <v>1</v>
      </c>
      <c r="O30" s="1782">
        <f t="shared" si="0"/>
        <v>121.6</v>
      </c>
      <c r="P30" s="2326"/>
      <c r="Q30" s="2327"/>
      <c r="R30" s="1754"/>
      <c r="S30" s="1754"/>
      <c r="T30" s="1754"/>
      <c r="U30" s="1754"/>
    </row>
    <row r="31" spans="1:28" ht="21.75" customHeight="1">
      <c r="A31" s="4832" t="s">
        <v>1065</v>
      </c>
      <c r="B31" s="4834" t="s">
        <v>1061</v>
      </c>
      <c r="C31" s="4836" t="s">
        <v>1047</v>
      </c>
      <c r="D31" s="4838">
        <v>0.20829999999999999</v>
      </c>
      <c r="E31" s="1804">
        <v>10</v>
      </c>
      <c r="F31" s="1796">
        <v>3.09</v>
      </c>
      <c r="G31" s="1804">
        <v>14</v>
      </c>
      <c r="H31" s="1796">
        <v>4.3499999999999996</v>
      </c>
      <c r="I31" s="1804" t="s">
        <v>1057</v>
      </c>
      <c r="J31" s="1796">
        <v>1.64</v>
      </c>
      <c r="K31" s="1804" t="s">
        <v>1071</v>
      </c>
      <c r="L31" s="1801">
        <v>2.96</v>
      </c>
      <c r="M31" s="4840">
        <f>L31+L32+L33+L34+J31+J32+J33+J34+F31+F32+F33+F34+H31+H32+H33+H34+F35+H35+J35</f>
        <v>94.08</v>
      </c>
      <c r="N31" s="4842">
        <v>1</v>
      </c>
      <c r="O31" s="4825">
        <f>ROUND((M31/D31)*N31,9)</f>
        <v>451.656265002</v>
      </c>
      <c r="P31" s="2326"/>
      <c r="Q31" s="2327">
        <f>M31*1.7</f>
        <v>159.93600000000001</v>
      </c>
      <c r="R31" s="1709"/>
      <c r="S31" s="1709"/>
      <c r="T31" s="1754"/>
      <c r="U31" s="1754"/>
    </row>
    <row r="32" spans="1:28" ht="21.75" customHeight="1">
      <c r="A32" s="4846"/>
      <c r="B32" s="4847"/>
      <c r="C32" s="4848"/>
      <c r="D32" s="4849"/>
      <c r="E32" s="1804">
        <v>11</v>
      </c>
      <c r="F32" s="1796">
        <v>1.08</v>
      </c>
      <c r="G32" s="1804" t="s">
        <v>1070</v>
      </c>
      <c r="H32" s="1796">
        <v>6.81</v>
      </c>
      <c r="I32" s="1804" t="s">
        <v>209</v>
      </c>
      <c r="J32" s="1796">
        <v>2.87</v>
      </c>
      <c r="K32" s="1804">
        <v>9</v>
      </c>
      <c r="L32" s="1796">
        <v>2.46</v>
      </c>
      <c r="M32" s="4850"/>
      <c r="N32" s="4851"/>
      <c r="O32" s="4845"/>
      <c r="P32" s="2326"/>
      <c r="Q32" s="2333">
        <f>M32*1.7</f>
        <v>0</v>
      </c>
      <c r="R32" s="2337"/>
      <c r="S32" s="2337"/>
      <c r="T32" s="1754"/>
      <c r="U32" s="1754"/>
    </row>
    <row r="33" spans="1:23" ht="21.75" customHeight="1">
      <c r="A33" s="4846"/>
      <c r="B33" s="4847"/>
      <c r="C33" s="4848"/>
      <c r="D33" s="4849"/>
      <c r="E33" s="1804">
        <v>8</v>
      </c>
      <c r="F33" s="1796">
        <v>1.55</v>
      </c>
      <c r="G33" s="1804">
        <v>10</v>
      </c>
      <c r="H33" s="1796">
        <v>5.78</v>
      </c>
      <c r="I33" s="1804" t="s">
        <v>1082</v>
      </c>
      <c r="J33" s="1796">
        <v>11.11</v>
      </c>
      <c r="K33" s="1804" t="s">
        <v>158</v>
      </c>
      <c r="L33" s="1801">
        <v>12.57</v>
      </c>
      <c r="M33" s="4850"/>
      <c r="N33" s="4851"/>
      <c r="O33" s="4845"/>
      <c r="P33" s="2326"/>
      <c r="Q33" s="2333"/>
      <c r="R33" s="2337"/>
      <c r="S33" s="2337"/>
      <c r="T33" s="1754"/>
      <c r="U33" s="1754"/>
    </row>
    <row r="34" spans="1:23" ht="21.75" customHeight="1">
      <c r="A34" s="4846"/>
      <c r="B34" s="4847"/>
      <c r="C34" s="4848"/>
      <c r="D34" s="4849"/>
      <c r="E34" s="1804" t="s">
        <v>159</v>
      </c>
      <c r="F34" s="1796">
        <v>6.63</v>
      </c>
      <c r="G34" s="1804" t="s">
        <v>1073</v>
      </c>
      <c r="H34" s="1796">
        <v>15.52</v>
      </c>
      <c r="I34" s="1804" t="s">
        <v>159</v>
      </c>
      <c r="J34" s="1796">
        <v>0.5</v>
      </c>
      <c r="K34" s="1804">
        <v>7</v>
      </c>
      <c r="L34" s="1801">
        <v>0.95</v>
      </c>
      <c r="M34" s="4850"/>
      <c r="N34" s="4851"/>
      <c r="O34" s="4845"/>
      <c r="P34" s="2326"/>
      <c r="Q34" s="2327"/>
      <c r="R34" s="2337"/>
      <c r="S34" s="2337"/>
      <c r="T34" s="1754"/>
      <c r="U34" s="1754"/>
    </row>
    <row r="35" spans="1:23" ht="21.75" customHeight="1">
      <c r="A35" s="4833"/>
      <c r="B35" s="4835"/>
      <c r="C35" s="4848"/>
      <c r="D35" s="4849"/>
      <c r="E35" s="1804" t="s">
        <v>1084</v>
      </c>
      <c r="F35" s="1796">
        <v>1.32</v>
      </c>
      <c r="G35" s="1804">
        <v>6</v>
      </c>
      <c r="H35" s="1796">
        <v>4.03</v>
      </c>
      <c r="I35" s="1804" t="s">
        <v>206</v>
      </c>
      <c r="J35" s="1796">
        <v>8.86</v>
      </c>
      <c r="K35" s="1804"/>
      <c r="L35" s="1796"/>
      <c r="M35" s="4841"/>
      <c r="N35" s="4843"/>
      <c r="O35" s="4826"/>
      <c r="P35" s="2326"/>
      <c r="Q35" s="2327"/>
      <c r="R35" s="2337"/>
      <c r="S35" s="2337"/>
      <c r="T35" s="1754"/>
      <c r="U35" s="1754"/>
    </row>
    <row r="36" spans="1:23" ht="21" customHeight="1">
      <c r="A36" s="1783">
        <v>3</v>
      </c>
      <c r="B36" s="1784" t="s">
        <v>928</v>
      </c>
      <c r="C36" s="1781"/>
      <c r="D36" s="1814"/>
      <c r="E36" s="1785"/>
      <c r="F36" s="1785"/>
      <c r="G36" s="1785"/>
      <c r="H36" s="1785"/>
      <c r="I36" s="2371"/>
      <c r="J36" s="1794"/>
      <c r="K36" s="1805"/>
      <c r="L36" s="1796"/>
      <c r="M36" s="1788"/>
      <c r="N36" s="1789"/>
      <c r="O36" s="1790">
        <f>+SUM(O37:O40)</f>
        <v>666.23677388399994</v>
      </c>
      <c r="P36" s="2326"/>
      <c r="Q36" s="2327"/>
      <c r="R36" s="2337"/>
      <c r="S36" s="2337"/>
      <c r="T36" s="1754"/>
      <c r="U36" s="1754"/>
    </row>
    <row r="37" spans="1:23" ht="21" customHeight="1">
      <c r="A37" s="1792" t="s">
        <v>889</v>
      </c>
      <c r="B37" s="1775" t="s">
        <v>1043</v>
      </c>
      <c r="C37" s="1781" t="s">
        <v>957</v>
      </c>
      <c r="D37" s="1814">
        <f>25000/150000</f>
        <v>0.16666666666666666</v>
      </c>
      <c r="E37" s="1804"/>
      <c r="F37" s="1796"/>
      <c r="G37" s="1805"/>
      <c r="H37" s="1796"/>
      <c r="I37" s="1805"/>
      <c r="J37" s="1796"/>
      <c r="K37" s="2363"/>
      <c r="L37" s="1801"/>
      <c r="M37" s="1788">
        <v>2</v>
      </c>
      <c r="N37" s="1789">
        <v>1</v>
      </c>
      <c r="O37" s="1782">
        <f t="shared" ref="O37:O38" si="1">ROUND((M37/D37)*N37,9)</f>
        <v>12</v>
      </c>
      <c r="P37" s="2326"/>
      <c r="Q37" s="2327"/>
      <c r="R37" s="2338"/>
      <c r="S37" s="2337"/>
      <c r="T37" s="1754"/>
      <c r="U37" s="1754"/>
    </row>
    <row r="38" spans="1:23" ht="21" customHeight="1">
      <c r="A38" s="1792" t="s">
        <v>968</v>
      </c>
      <c r="B38" s="1775" t="s">
        <v>204</v>
      </c>
      <c r="C38" s="1781" t="s">
        <v>957</v>
      </c>
      <c r="D38" s="1814">
        <v>1.25</v>
      </c>
      <c r="E38" s="1804"/>
      <c r="F38" s="1796"/>
      <c r="G38" s="1805"/>
      <c r="H38" s="1796"/>
      <c r="I38" s="1805"/>
      <c r="J38" s="1796"/>
      <c r="K38" s="2363"/>
      <c r="L38" s="1801"/>
      <c r="M38" s="1788">
        <v>93</v>
      </c>
      <c r="N38" s="1789">
        <v>1</v>
      </c>
      <c r="O38" s="1782">
        <f t="shared" si="1"/>
        <v>74.400000000000006</v>
      </c>
      <c r="P38" s="2326"/>
      <c r="Q38" s="2327"/>
      <c r="R38" s="2337"/>
      <c r="S38" s="2337"/>
      <c r="T38" s="2337"/>
      <c r="U38" s="2337"/>
      <c r="V38" s="1709"/>
      <c r="W38" s="1709"/>
    </row>
    <row r="39" spans="1:23" ht="27" customHeight="1">
      <c r="A39" s="4832" t="s">
        <v>1076</v>
      </c>
      <c r="B39" s="4834" t="s">
        <v>1061</v>
      </c>
      <c r="C39" s="4836" t="s">
        <v>1047</v>
      </c>
      <c r="D39" s="4838">
        <v>0.20829999999999999</v>
      </c>
      <c r="E39" s="2617">
        <v>9</v>
      </c>
      <c r="F39" s="1796">
        <v>1.24</v>
      </c>
      <c r="G39" s="2617">
        <v>14</v>
      </c>
      <c r="H39" s="1796">
        <v>27.25</v>
      </c>
      <c r="I39" s="1789" t="s">
        <v>1098</v>
      </c>
      <c r="J39" s="2325">
        <v>5.45</v>
      </c>
      <c r="K39" s="1789" t="s">
        <v>1099</v>
      </c>
      <c r="L39" s="2325">
        <v>13.48</v>
      </c>
      <c r="M39" s="4840">
        <f>F40+H40+J40+L40+L39+J39+H39+F39</f>
        <v>120.78</v>
      </c>
      <c r="N39" s="4842">
        <v>1</v>
      </c>
      <c r="O39" s="4825">
        <f>ROUND((M39/D39)*N39,9)</f>
        <v>579.83677388399997</v>
      </c>
      <c r="P39" s="2490"/>
      <c r="Q39" s="2327">
        <f>M39*1.7</f>
        <v>205.32599999999999</v>
      </c>
      <c r="R39" s="2337"/>
      <c r="S39" s="2337"/>
      <c r="T39" s="2337"/>
      <c r="U39" s="2561"/>
      <c r="V39" s="1709"/>
      <c r="W39" s="1709"/>
    </row>
    <row r="40" spans="1:23" ht="27.75" customHeight="1">
      <c r="A40" s="4833"/>
      <c r="B40" s="4835"/>
      <c r="C40" s="4837"/>
      <c r="D40" s="4839"/>
      <c r="E40" s="2617">
        <v>11</v>
      </c>
      <c r="F40" s="1796">
        <v>10.6</v>
      </c>
      <c r="G40" s="2617" t="s">
        <v>1096</v>
      </c>
      <c r="H40" s="1796">
        <v>17.88</v>
      </c>
      <c r="I40" s="1789" t="s">
        <v>208</v>
      </c>
      <c r="J40" s="2325">
        <v>41.17</v>
      </c>
      <c r="K40" s="1789" t="s">
        <v>1097</v>
      </c>
      <c r="L40" s="2325">
        <v>3.71</v>
      </c>
      <c r="M40" s="4841"/>
      <c r="N40" s="4843"/>
      <c r="O40" s="4826"/>
      <c r="P40" s="2334"/>
      <c r="Q40" s="2333"/>
      <c r="R40" s="2337"/>
      <c r="S40" s="2337"/>
      <c r="T40" s="2337"/>
      <c r="U40" s="2561"/>
      <c r="V40" s="1709"/>
      <c r="W40" s="1709"/>
    </row>
    <row r="41" spans="1:23" ht="21" customHeight="1">
      <c r="A41" s="1783" t="s">
        <v>92</v>
      </c>
      <c r="B41" s="1808" t="s">
        <v>930</v>
      </c>
      <c r="C41" s="1781"/>
      <c r="D41" s="1814"/>
      <c r="E41" s="1787"/>
      <c r="F41" s="1787"/>
      <c r="G41" s="1787"/>
      <c r="H41" s="1787"/>
      <c r="I41" s="1789"/>
      <c r="J41" s="1789"/>
      <c r="K41" s="1789"/>
      <c r="L41" s="2325"/>
      <c r="M41" s="1788"/>
      <c r="N41" s="1789"/>
      <c r="O41" s="1790">
        <f>SUM(O42:O45)</f>
        <v>532.36839174200009</v>
      </c>
      <c r="P41" s="2326"/>
      <c r="Q41" s="2327"/>
      <c r="R41" s="2337"/>
      <c r="S41" s="2337"/>
      <c r="T41" s="2337"/>
      <c r="U41" s="2337"/>
      <c r="V41" s="1709"/>
      <c r="W41" s="1709"/>
    </row>
    <row r="42" spans="1:23" ht="21.75" customHeight="1">
      <c r="A42" s="4832">
        <v>1</v>
      </c>
      <c r="B42" s="4834" t="s">
        <v>1301</v>
      </c>
      <c r="C42" s="4836" t="s">
        <v>1047</v>
      </c>
      <c r="D42" s="4838">
        <v>0.20830000000000001</v>
      </c>
      <c r="E42" s="1804" t="s">
        <v>160</v>
      </c>
      <c r="F42" s="1796">
        <v>12.18</v>
      </c>
      <c r="G42" s="1805" t="s">
        <v>1054</v>
      </c>
      <c r="H42" s="1796">
        <v>6.51</v>
      </c>
      <c r="I42" s="1804" t="s">
        <v>159</v>
      </c>
      <c r="J42" s="1796">
        <v>1.67</v>
      </c>
      <c r="K42" s="1789" t="s">
        <v>1217</v>
      </c>
      <c r="L42" s="2325">
        <v>8.44</v>
      </c>
      <c r="M42" s="4840">
        <f>F42+F43+H42+J42+L42+H43+J43+L43</f>
        <v>41.11</v>
      </c>
      <c r="N42" s="4842">
        <v>1</v>
      </c>
      <c r="O42" s="4825">
        <f>ROUND((M42/D42)*N42,9)</f>
        <v>197.359577532</v>
      </c>
      <c r="P42" s="2326"/>
      <c r="Q42" s="2327">
        <f>(M42+M44)*2</f>
        <v>84.34</v>
      </c>
      <c r="R42" s="1754"/>
      <c r="S42" s="1754"/>
      <c r="T42" s="1754"/>
      <c r="U42" s="1754"/>
    </row>
    <row r="43" spans="1:23" ht="21" customHeight="1">
      <c r="A43" s="4833"/>
      <c r="B43" s="4835"/>
      <c r="C43" s="4837"/>
      <c r="D43" s="4839"/>
      <c r="E43" s="1805">
        <v>8</v>
      </c>
      <c r="F43" s="1796">
        <v>4.6500000000000004</v>
      </c>
      <c r="G43" s="1805" t="s">
        <v>1071</v>
      </c>
      <c r="H43" s="1796">
        <v>7.66</v>
      </c>
      <c r="I43" s="1804"/>
      <c r="J43" s="1796"/>
      <c r="K43" s="1789"/>
      <c r="L43" s="2325"/>
      <c r="M43" s="4841"/>
      <c r="N43" s="4843"/>
      <c r="O43" s="4826"/>
      <c r="P43" s="2326"/>
      <c r="Q43" s="2327"/>
      <c r="R43" s="2337"/>
      <c r="S43" s="2337"/>
      <c r="T43" s="1754"/>
      <c r="U43" s="1754"/>
    </row>
    <row r="44" spans="1:23" ht="21" customHeight="1">
      <c r="A44" s="2483">
        <v>2</v>
      </c>
      <c r="B44" s="2484" t="s">
        <v>1302</v>
      </c>
      <c r="C44" s="2485" t="s">
        <v>1047</v>
      </c>
      <c r="D44" s="2486">
        <v>0.20830000000000001</v>
      </c>
      <c r="E44" s="2618" t="s">
        <v>159</v>
      </c>
      <c r="F44" s="1794">
        <v>1.06</v>
      </c>
      <c r="G44" s="1805"/>
      <c r="H44" s="1796"/>
      <c r="I44" s="1804"/>
      <c r="J44" s="1796"/>
      <c r="K44" s="1789"/>
      <c r="L44" s="2325"/>
      <c r="M44" s="2487">
        <f>F44</f>
        <v>1.06</v>
      </c>
      <c r="N44" s="2488">
        <v>1</v>
      </c>
      <c r="O44" s="2489">
        <f>ROUND((M44/D44)*N44,9)</f>
        <v>5.0888142099999998</v>
      </c>
      <c r="P44" s="2326"/>
      <c r="Q44" s="2327"/>
      <c r="R44" s="2337"/>
      <c r="S44" s="2337"/>
      <c r="T44" s="1754"/>
      <c r="U44" s="1754"/>
    </row>
    <row r="45" spans="1:23" ht="21" customHeight="1">
      <c r="A45" s="2483">
        <v>3</v>
      </c>
      <c r="B45" s="2484" t="s">
        <v>1303</v>
      </c>
      <c r="C45" s="2485" t="s">
        <v>1047</v>
      </c>
      <c r="D45" s="2486">
        <f>1/16</f>
        <v>6.25E-2</v>
      </c>
      <c r="E45" s="2618" t="s">
        <v>160</v>
      </c>
      <c r="F45" s="2619">
        <v>12.18</v>
      </c>
      <c r="G45" s="1805" t="s">
        <v>1217</v>
      </c>
      <c r="H45" s="2619">
        <v>8.44</v>
      </c>
      <c r="I45" s="1804"/>
      <c r="J45" s="1796"/>
      <c r="K45" s="1789"/>
      <c r="L45" s="2325"/>
      <c r="M45" s="2487">
        <f>F45+H45</f>
        <v>20.619999999999997</v>
      </c>
      <c r="N45" s="2488">
        <v>1</v>
      </c>
      <c r="O45" s="2489">
        <f>ROUND((M45/D45)*N45,9)</f>
        <v>329.92</v>
      </c>
      <c r="P45" s="2326"/>
      <c r="Q45" s="2327"/>
      <c r="R45" s="2337"/>
      <c r="S45" s="2337"/>
      <c r="T45" s="1754"/>
      <c r="U45" s="1754"/>
    </row>
    <row r="46" spans="1:23" ht="21" customHeight="1">
      <c r="A46" s="1766" t="s">
        <v>53</v>
      </c>
      <c r="B46" s="1784" t="s">
        <v>825</v>
      </c>
      <c r="C46" s="1809"/>
      <c r="D46" s="2340"/>
      <c r="E46" s="2482"/>
      <c r="F46" s="2482"/>
      <c r="G46" s="2482"/>
      <c r="H46" s="2482"/>
      <c r="I46" s="2482"/>
      <c r="J46" s="2482"/>
      <c r="K46" s="2482"/>
      <c r="L46" s="2321"/>
      <c r="M46" s="1788"/>
      <c r="N46" s="1810"/>
      <c r="O46" s="1772">
        <f>SUM(O47:O47)</f>
        <v>416</v>
      </c>
      <c r="P46" s="1811"/>
      <c r="Q46" s="2319"/>
      <c r="R46" s="2337"/>
      <c r="S46" s="2337"/>
      <c r="T46" s="1754"/>
      <c r="U46" s="1754"/>
    </row>
    <row r="47" spans="1:23" ht="21" customHeight="1">
      <c r="A47" s="1792">
        <v>1</v>
      </c>
      <c r="B47" s="1812" t="s">
        <v>826</v>
      </c>
      <c r="C47" s="1781" t="s">
        <v>362</v>
      </c>
      <c r="D47" s="1814"/>
      <c r="E47" s="4827" t="s">
        <v>1218</v>
      </c>
      <c r="F47" s="4827"/>
      <c r="G47" s="4827"/>
      <c r="H47" s="4827"/>
      <c r="I47" s="4827"/>
      <c r="J47" s="4827"/>
      <c r="K47" s="1813"/>
      <c r="L47" s="1814"/>
      <c r="M47" s="1815"/>
      <c r="N47" s="1816"/>
      <c r="O47" s="1817">
        <f>4*2600000/25000</f>
        <v>416</v>
      </c>
      <c r="P47" s="1818"/>
      <c r="Q47" s="2341"/>
      <c r="R47" s="2337"/>
      <c r="S47" s="2337"/>
      <c r="T47" s="1754"/>
      <c r="U47" s="1754"/>
    </row>
    <row r="48" spans="1:23" ht="27" customHeight="1">
      <c r="A48" s="4828" t="s">
        <v>1219</v>
      </c>
      <c r="B48" s="4828"/>
      <c r="C48" s="4828"/>
      <c r="D48" s="2342"/>
      <c r="E48" s="1819"/>
      <c r="F48" s="1819"/>
      <c r="G48" s="1819"/>
      <c r="H48" s="1819"/>
      <c r="I48" s="1819"/>
      <c r="J48" s="1819"/>
      <c r="K48" s="1819"/>
      <c r="L48" s="1820"/>
      <c r="M48" s="1821"/>
      <c r="N48" s="1819"/>
      <c r="O48" s="1822">
        <f>O11+O46+O41</f>
        <v>8671.9610798029989</v>
      </c>
      <c r="P48" s="1823"/>
      <c r="Q48" s="2320"/>
      <c r="R48" s="2337"/>
      <c r="S48" s="2337"/>
      <c r="T48" s="1754"/>
      <c r="U48" s="1754"/>
    </row>
    <row r="49" spans="1:21" ht="20.45" customHeight="1">
      <c r="A49" s="1824"/>
      <c r="B49" s="1825"/>
      <c r="C49" s="1826"/>
      <c r="D49" s="2343"/>
      <c r="E49" s="1828"/>
      <c r="F49" s="1829"/>
      <c r="G49" s="1828"/>
      <c r="H49" s="1829"/>
      <c r="I49" s="2497"/>
      <c r="J49" s="1827"/>
      <c r="K49" s="2497"/>
      <c r="L49" s="4829" t="s">
        <v>1304</v>
      </c>
      <c r="M49" s="4829"/>
      <c r="N49" s="4829"/>
      <c r="O49" s="4829"/>
      <c r="P49" s="4829"/>
      <c r="Q49" s="2344"/>
      <c r="R49" s="2337"/>
      <c r="S49" s="2337"/>
      <c r="T49" s="1754"/>
      <c r="U49" s="1754"/>
    </row>
    <row r="50" spans="1:21" ht="20.45" customHeight="1">
      <c r="A50" s="4830"/>
      <c r="B50" s="4830"/>
      <c r="C50" s="4830"/>
      <c r="D50" s="4830"/>
      <c r="E50" s="4830"/>
      <c r="F50" s="1830"/>
      <c r="G50" s="1830"/>
      <c r="H50" s="4831"/>
      <c r="I50" s="4831"/>
      <c r="J50" s="4831"/>
      <c r="K50" s="2496"/>
      <c r="L50" s="4830" t="s">
        <v>827</v>
      </c>
      <c r="M50" s="4830"/>
      <c r="N50" s="4830"/>
      <c r="O50" s="4830"/>
      <c r="P50" s="4830"/>
      <c r="Q50" s="2495"/>
      <c r="R50" s="1754"/>
      <c r="S50" s="1754"/>
      <c r="T50" s="1754"/>
      <c r="U50" s="1754"/>
    </row>
    <row r="51" spans="1:21" ht="20.45" customHeight="1">
      <c r="A51" s="1831"/>
      <c r="B51" s="1832"/>
      <c r="C51" s="1833"/>
      <c r="D51" s="2345"/>
      <c r="E51" s="1834"/>
      <c r="F51" s="1833"/>
      <c r="G51" s="1835"/>
      <c r="H51" s="1833"/>
      <c r="I51" s="2346"/>
      <c r="J51" s="2491"/>
      <c r="K51" s="2346"/>
      <c r="L51" s="2345"/>
      <c r="M51" s="1836"/>
      <c r="N51" s="1837"/>
      <c r="O51" s="4353"/>
      <c r="P51" s="4353"/>
      <c r="Q51" s="2491"/>
    </row>
    <row r="52" spans="1:21" ht="20.45" customHeight="1">
      <c r="A52" s="1831"/>
      <c r="B52" s="1832"/>
      <c r="C52" s="1832"/>
      <c r="D52" s="2347"/>
      <c r="E52" s="1838"/>
      <c r="F52" s="1839"/>
      <c r="G52" s="1748"/>
      <c r="H52" s="1839"/>
      <c r="I52" s="2315"/>
      <c r="J52" s="2348"/>
      <c r="K52" s="2349"/>
      <c r="L52" s="2350"/>
      <c r="M52" s="1840"/>
      <c r="N52" s="1839"/>
      <c r="P52" s="1831"/>
      <c r="Q52" s="1831"/>
    </row>
    <row r="53" spans="1:21" ht="20.45" customHeight="1">
      <c r="A53" s="1831"/>
      <c r="B53" s="1832"/>
      <c r="C53" s="1832"/>
      <c r="D53" s="2347"/>
      <c r="E53" s="1838"/>
      <c r="F53" s="1839"/>
      <c r="G53" s="1748"/>
      <c r="H53" s="1839"/>
      <c r="I53" s="2315"/>
      <c r="J53" s="2348"/>
      <c r="K53" s="2349"/>
      <c r="L53" s="2350"/>
      <c r="M53" s="1840"/>
      <c r="N53" s="1839"/>
      <c r="P53" s="1831"/>
      <c r="Q53" s="1831"/>
    </row>
    <row r="54" spans="1:21" ht="21.75" customHeight="1">
      <c r="A54" s="4844"/>
      <c r="B54" s="4844"/>
      <c r="C54" s="4844"/>
      <c r="D54" s="4844"/>
      <c r="E54" s="4844"/>
      <c r="F54" s="1842"/>
      <c r="G54" s="1843"/>
      <c r="H54" s="4824"/>
      <c r="I54" s="4824"/>
      <c r="J54" s="4824"/>
      <c r="K54" s="2351"/>
      <c r="L54" s="2352"/>
      <c r="M54" s="4824"/>
      <c r="N54" s="4824"/>
      <c r="O54" s="4824"/>
      <c r="P54" s="4824"/>
      <c r="Q54" s="2492"/>
    </row>
    <row r="55" spans="1:21" ht="17.45" customHeight="1">
      <c r="A55" s="4358" t="s">
        <v>828</v>
      </c>
      <c r="B55" s="4358"/>
      <c r="C55" s="4358"/>
      <c r="D55" s="4358"/>
      <c r="E55" s="4358"/>
      <c r="F55" s="4358"/>
      <c r="G55" s="4358"/>
      <c r="H55" s="4358"/>
      <c r="I55" s="4358"/>
      <c r="J55" s="4358"/>
      <c r="K55" s="4358"/>
      <c r="L55" s="4358"/>
      <c r="M55" s="4358"/>
      <c r="N55" s="4358"/>
      <c r="O55" s="4358"/>
      <c r="P55" s="4358"/>
      <c r="Q55" s="2493"/>
    </row>
    <row r="56" spans="1:21" ht="27.75" customHeight="1">
      <c r="A56" s="4343" t="s">
        <v>1221</v>
      </c>
      <c r="B56" s="4343"/>
      <c r="C56" s="4343"/>
      <c r="D56" s="4343"/>
      <c r="E56" s="4343"/>
      <c r="F56" s="4343"/>
      <c r="G56" s="4343"/>
      <c r="H56" s="4343"/>
      <c r="I56" s="4343"/>
      <c r="J56" s="4343"/>
      <c r="K56" s="4343"/>
      <c r="L56" s="4343"/>
      <c r="M56" s="4343"/>
      <c r="N56" s="4343"/>
      <c r="O56" s="4343"/>
      <c r="P56" s="4343"/>
      <c r="Q56" s="2494"/>
    </row>
    <row r="57" spans="1:21" ht="27.75" customHeight="1"/>
    <row r="58" spans="1:21" ht="27.75" customHeight="1"/>
    <row r="59" spans="1:21" ht="27.75" customHeight="1">
      <c r="N59" s="1845"/>
    </row>
    <row r="60" spans="1:21" ht="27.75" customHeight="1"/>
    <row r="61" spans="1:21" ht="27.75" customHeight="1"/>
    <row r="62" spans="1:21" ht="27.75" customHeight="1"/>
    <row r="63" spans="1:21" ht="27.75" customHeight="1"/>
    <row r="64" spans="1:21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4" ht="10.5" customHeight="1"/>
    <row r="95" ht="10.5" customHeight="1"/>
    <row r="96" ht="10.5" customHeight="1"/>
    <row r="97" ht="10.5" customHeight="1"/>
    <row r="98" ht="10.5" customHeight="1"/>
    <row r="99" ht="6" customHeight="1"/>
  </sheetData>
  <mergeCells count="63">
    <mergeCell ref="A56:P56"/>
    <mergeCell ref="E47:J47"/>
    <mergeCell ref="A48:C48"/>
    <mergeCell ref="L49:P49"/>
    <mergeCell ref="A50:E50"/>
    <mergeCell ref="H50:J50"/>
    <mergeCell ref="L50:P50"/>
    <mergeCell ref="O51:P51"/>
    <mergeCell ref="A54:E54"/>
    <mergeCell ref="H54:J54"/>
    <mergeCell ref="M54:P54"/>
    <mergeCell ref="A55:P55"/>
    <mergeCell ref="O39:O40"/>
    <mergeCell ref="A42:A43"/>
    <mergeCell ref="B42:B43"/>
    <mergeCell ref="C42:C43"/>
    <mergeCell ref="D42:D43"/>
    <mergeCell ref="M42:M43"/>
    <mergeCell ref="N42:N43"/>
    <mergeCell ref="O42:O43"/>
    <mergeCell ref="A39:A40"/>
    <mergeCell ref="B39:B40"/>
    <mergeCell ref="C39:C40"/>
    <mergeCell ref="D39:D40"/>
    <mergeCell ref="M39:M40"/>
    <mergeCell ref="N39:N40"/>
    <mergeCell ref="O24:O25"/>
    <mergeCell ref="A31:A35"/>
    <mergeCell ref="B31:B35"/>
    <mergeCell ref="C31:C35"/>
    <mergeCell ref="D31:D35"/>
    <mergeCell ref="M31:M35"/>
    <mergeCell ref="N31:N35"/>
    <mergeCell ref="O31:O35"/>
    <mergeCell ref="A24:A25"/>
    <mergeCell ref="B24:B25"/>
    <mergeCell ref="C24:C25"/>
    <mergeCell ref="D24:D25"/>
    <mergeCell ref="M24:M25"/>
    <mergeCell ref="N24:N25"/>
    <mergeCell ref="R22:S2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4" workbookViewId="0">
      <selection activeCell="T18" sqref="T18"/>
    </sheetView>
  </sheetViews>
  <sheetFormatPr defaultRowHeight="15.75"/>
  <cols>
    <col min="1" max="1" width="4.25" style="1846" customWidth="1"/>
    <col min="2" max="2" width="28.25" style="1847" customWidth="1"/>
    <col min="3" max="3" width="6" style="1848" customWidth="1"/>
    <col min="4" max="4" width="5.875" style="2353" customWidth="1"/>
    <col min="5" max="5" width="5" style="1850" customWidth="1"/>
    <col min="6" max="6" width="6" style="1851" customWidth="1"/>
    <col min="7" max="7" width="5.75" style="1852" customWidth="1"/>
    <col min="8" max="8" width="5.375" style="1851" customWidth="1"/>
    <col min="9" max="9" width="5.75" style="2354" customWidth="1"/>
    <col min="10" max="10" width="5.75" style="2355" customWidth="1"/>
    <col min="11" max="11" width="5.75" style="2356" customWidth="1"/>
    <col min="12" max="12" width="5.75" style="2357" customWidth="1"/>
    <col min="13" max="13" width="7.875" style="1853" customWidth="1"/>
    <col min="14" max="14" width="3.875" style="1851" customWidth="1"/>
    <col min="15" max="15" width="8.875" style="1841" customWidth="1"/>
    <col min="16" max="16" width="14" style="1854" customWidth="1"/>
    <col min="17" max="17" width="6.375" style="1854" customWidth="1"/>
    <col min="18" max="18" width="9.75" customWidth="1"/>
    <col min="19" max="19" width="11" bestFit="1" customWidth="1"/>
    <col min="20" max="20" width="9" bestFit="1" customWidth="1"/>
  </cols>
  <sheetData>
    <row r="1" spans="1:23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3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3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3">
      <c r="A4" s="4901" t="s">
        <v>809</v>
      </c>
      <c r="B4" s="4901"/>
      <c r="C4" s="4901"/>
      <c r="D4" s="4901"/>
      <c r="E4" s="4901"/>
      <c r="F4" s="4901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800"/>
    </row>
    <row r="5" spans="1:23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800"/>
    </row>
    <row r="6" spans="1:23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</row>
    <row r="7" spans="1:23" ht="18.75">
      <c r="A7" s="4858" t="s">
        <v>1319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801"/>
      <c r="R7" s="1754"/>
      <c r="S7" s="1754"/>
      <c r="T7" s="1754"/>
      <c r="U7" s="1754"/>
    </row>
    <row r="8" spans="1:23" ht="15">
      <c r="A8" s="4872" t="s">
        <v>1292</v>
      </c>
      <c r="B8" s="4872"/>
      <c r="C8" s="4872"/>
      <c r="D8" s="4872"/>
      <c r="E8" s="4872"/>
      <c r="F8" s="4872"/>
      <c r="G8" s="4872"/>
      <c r="H8" s="4872"/>
      <c r="I8" s="4872"/>
      <c r="J8" s="4872"/>
      <c r="K8" s="4872"/>
      <c r="L8" s="4872"/>
      <c r="M8" s="4872"/>
      <c r="N8" s="4872"/>
      <c r="O8" s="4872"/>
      <c r="P8" s="4872"/>
      <c r="Q8" s="2812"/>
      <c r="R8" s="1754"/>
      <c r="S8" s="1754"/>
      <c r="T8" s="1754"/>
      <c r="U8" s="1754"/>
    </row>
    <row r="9" spans="1:23" ht="18">
      <c r="A9" s="4903" t="s">
        <v>19</v>
      </c>
      <c r="B9" s="4903" t="s">
        <v>1206</v>
      </c>
      <c r="C9" s="4903" t="s">
        <v>623</v>
      </c>
      <c r="D9" s="4905" t="s">
        <v>361</v>
      </c>
      <c r="E9" s="4903" t="s">
        <v>811</v>
      </c>
      <c r="F9" s="4903"/>
      <c r="G9" s="4903"/>
      <c r="H9" s="4903"/>
      <c r="I9" s="4903"/>
      <c r="J9" s="4903"/>
      <c r="K9" s="4903"/>
      <c r="L9" s="4903"/>
      <c r="M9" s="4903"/>
      <c r="N9" s="4903" t="s">
        <v>812</v>
      </c>
      <c r="O9" s="4907" t="s">
        <v>47</v>
      </c>
      <c r="P9" s="4909" t="s">
        <v>813</v>
      </c>
      <c r="Q9" s="2317"/>
      <c r="R9" s="1754"/>
      <c r="S9" s="1754"/>
      <c r="T9" s="1754"/>
      <c r="U9" s="1754"/>
    </row>
    <row r="10" spans="1:23" ht="39" customHeight="1">
      <c r="A10" s="4904"/>
      <c r="B10" s="4904"/>
      <c r="C10" s="4904"/>
      <c r="D10" s="4906"/>
      <c r="E10" s="2818" t="s">
        <v>814</v>
      </c>
      <c r="F10" s="2818" t="s">
        <v>815</v>
      </c>
      <c r="G10" s="2818" t="s">
        <v>814</v>
      </c>
      <c r="H10" s="2818" t="s">
        <v>815</v>
      </c>
      <c r="I10" s="2818" t="s">
        <v>814</v>
      </c>
      <c r="J10" s="2818" t="s">
        <v>815</v>
      </c>
      <c r="K10" s="2818" t="s">
        <v>814</v>
      </c>
      <c r="L10" s="2819" t="s">
        <v>815</v>
      </c>
      <c r="M10" s="2820" t="s">
        <v>21</v>
      </c>
      <c r="N10" s="4904"/>
      <c r="O10" s="4908"/>
      <c r="P10" s="4910"/>
      <c r="Q10" s="2317"/>
      <c r="R10" s="1754"/>
      <c r="S10" s="1754"/>
      <c r="T10" s="1754"/>
      <c r="U10" s="1754"/>
    </row>
    <row r="11" spans="1:23" ht="51" customHeight="1">
      <c r="A11" s="2821" t="s">
        <v>52</v>
      </c>
      <c r="B11" s="1784" t="s">
        <v>887</v>
      </c>
      <c r="C11" s="2822"/>
      <c r="D11" s="2823"/>
      <c r="E11" s="2824"/>
      <c r="F11" s="2824"/>
      <c r="G11" s="2824"/>
      <c r="H11" s="2824"/>
      <c r="I11" s="2824"/>
      <c r="J11" s="2824"/>
      <c r="K11" s="2824"/>
      <c r="L11" s="2825"/>
      <c r="M11" s="2826"/>
      <c r="N11" s="2824"/>
      <c r="O11" s="2827"/>
      <c r="P11" s="2828"/>
      <c r="Q11" s="2319"/>
      <c r="R11" s="1754"/>
      <c r="S11" s="1754"/>
      <c r="T11" s="1754"/>
      <c r="U11" s="1754"/>
    </row>
    <row r="12" spans="1:23" ht="32.25" customHeight="1">
      <c r="A12" s="2821" t="s">
        <v>147</v>
      </c>
      <c r="B12" s="1767" t="s">
        <v>817</v>
      </c>
      <c r="C12" s="2829"/>
      <c r="D12" s="2830"/>
      <c r="E12" s="2821"/>
      <c r="F12" s="2821"/>
      <c r="G12" s="2821"/>
      <c r="H12" s="2821"/>
      <c r="I12" s="2821"/>
      <c r="J12" s="2821"/>
      <c r="K12" s="2821"/>
      <c r="L12" s="2830"/>
      <c r="M12" s="2831"/>
      <c r="N12" s="2821"/>
      <c r="O12" s="2827"/>
      <c r="P12" s="2818"/>
      <c r="Q12" s="2320"/>
      <c r="R12" s="2832"/>
      <c r="S12" s="2833" t="s">
        <v>1320</v>
      </c>
      <c r="T12" s="2833" t="s">
        <v>569</v>
      </c>
      <c r="U12" s="2833" t="s">
        <v>1226</v>
      </c>
      <c r="V12" s="2834" t="s">
        <v>1277</v>
      </c>
      <c r="W12" s="2834" t="s">
        <v>1321</v>
      </c>
    </row>
    <row r="13" spans="1:23" ht="32.25" customHeight="1">
      <c r="A13" s="2835">
        <v>1</v>
      </c>
      <c r="B13" s="2836" t="s">
        <v>49</v>
      </c>
      <c r="C13" s="2835" t="s">
        <v>818</v>
      </c>
      <c r="D13" s="2837"/>
      <c r="E13" s="2821"/>
      <c r="F13" s="2835"/>
      <c r="G13" s="2821"/>
      <c r="H13" s="2821"/>
      <c r="I13" s="2821"/>
      <c r="J13" s="2821"/>
      <c r="K13" s="2821"/>
      <c r="L13" s="2830"/>
      <c r="M13" s="2831"/>
      <c r="N13" s="2835"/>
      <c r="O13" s="2827"/>
      <c r="P13" s="2838"/>
      <c r="Q13" s="2322"/>
      <c r="R13" s="2833" t="s">
        <v>1283</v>
      </c>
      <c r="S13" s="2839">
        <f>O23+O27+O30</f>
        <v>208</v>
      </c>
      <c r="T13" s="2839">
        <f>O32</f>
        <v>329.92</v>
      </c>
      <c r="U13" s="2839">
        <f>O25</f>
        <v>32</v>
      </c>
      <c r="V13" s="2839">
        <f>O29+O26</f>
        <v>42</v>
      </c>
      <c r="W13" s="2832">
        <f>O35</f>
        <v>48</v>
      </c>
    </row>
    <row r="14" spans="1:23" ht="32.25" customHeight="1">
      <c r="A14" s="2835">
        <v>2</v>
      </c>
      <c r="B14" s="2836" t="s">
        <v>819</v>
      </c>
      <c r="C14" s="2835" t="s">
        <v>818</v>
      </c>
      <c r="D14" s="2837"/>
      <c r="E14" s="2821"/>
      <c r="F14" s="2835"/>
      <c r="G14" s="2821"/>
      <c r="H14" s="2821"/>
      <c r="I14" s="2821"/>
      <c r="J14" s="2821"/>
      <c r="K14" s="2821"/>
      <c r="L14" s="2830"/>
      <c r="M14" s="2840"/>
      <c r="N14" s="2835"/>
      <c r="O14" s="2827"/>
      <c r="P14" s="2841"/>
      <c r="Q14" s="2324"/>
      <c r="R14" s="2833" t="s">
        <v>1322</v>
      </c>
      <c r="S14" s="2953">
        <f>S13*25000</f>
        <v>5200000</v>
      </c>
      <c r="T14" s="2833">
        <f>T13*25000</f>
        <v>8248000</v>
      </c>
      <c r="U14" s="2833">
        <f>U13*25000</f>
        <v>800000</v>
      </c>
      <c r="V14" s="2833">
        <f>V13*25000</f>
        <v>1050000</v>
      </c>
      <c r="W14" s="2832">
        <f>W13*25000</f>
        <v>1200000</v>
      </c>
    </row>
    <row r="15" spans="1:23" ht="27.75" customHeight="1">
      <c r="A15" s="2821" t="s">
        <v>148</v>
      </c>
      <c r="B15" s="1767" t="s">
        <v>820</v>
      </c>
      <c r="C15" s="2821"/>
      <c r="D15" s="2830"/>
      <c r="E15" s="2821"/>
      <c r="F15" s="2821"/>
      <c r="G15" s="2821"/>
      <c r="H15" s="2821"/>
      <c r="I15" s="2821"/>
      <c r="J15" s="2821"/>
      <c r="K15" s="2821"/>
      <c r="L15" s="2830"/>
      <c r="M15" s="2831"/>
      <c r="N15" s="2821"/>
      <c r="O15" s="2827"/>
      <c r="P15" s="2818"/>
      <c r="Q15" s="2320"/>
      <c r="R15" s="2833" t="s">
        <v>724</v>
      </c>
      <c r="S15" s="4911">
        <f>S14+T14+U14+V14+W14</f>
        <v>16498000</v>
      </c>
      <c r="T15" s="4912"/>
      <c r="U15" s="4912"/>
      <c r="V15" s="4912"/>
      <c r="W15" s="4913"/>
    </row>
    <row r="16" spans="1:23" ht="38.25" customHeight="1">
      <c r="A16" s="2835">
        <v>1</v>
      </c>
      <c r="B16" s="2836" t="s">
        <v>821</v>
      </c>
      <c r="C16" s="2842" t="s">
        <v>362</v>
      </c>
      <c r="D16" s="2837"/>
      <c r="E16" s="4902"/>
      <c r="F16" s="4902"/>
      <c r="G16" s="4902"/>
      <c r="H16" s="4902"/>
      <c r="I16" s="4902"/>
      <c r="J16" s="4902"/>
      <c r="K16" s="4902"/>
      <c r="L16" s="4902"/>
      <c r="M16" s="2831"/>
      <c r="N16" s="2835"/>
      <c r="O16" s="2843"/>
      <c r="P16" s="2841"/>
      <c r="Q16" s="2324"/>
      <c r="R16" s="2369">
        <f>S13+T13+U13+V13</f>
        <v>611.92000000000007</v>
      </c>
      <c r="S16" s="1754">
        <f>O33</f>
        <v>416</v>
      </c>
      <c r="T16" s="1754">
        <f>O35</f>
        <v>48</v>
      </c>
      <c r="U16" s="1754"/>
    </row>
    <row r="17" spans="1:28" ht="38.25" customHeight="1">
      <c r="A17" s="2835">
        <v>2</v>
      </c>
      <c r="B17" s="2836" t="s">
        <v>1294</v>
      </c>
      <c r="C17" s="2835" t="s">
        <v>362</v>
      </c>
      <c r="D17" s="2837"/>
      <c r="E17" s="4902"/>
      <c r="F17" s="4902"/>
      <c r="G17" s="4902"/>
      <c r="H17" s="4902"/>
      <c r="I17" s="4902"/>
      <c r="J17" s="4902"/>
      <c r="K17" s="4902"/>
      <c r="L17" s="4902"/>
      <c r="M17" s="2831"/>
      <c r="N17" s="2835"/>
      <c r="O17" s="2843"/>
      <c r="P17" s="2841"/>
      <c r="Q17" s="2324"/>
      <c r="R17" s="2369">
        <f>R16+S16+T16</f>
        <v>1075.92</v>
      </c>
      <c r="S17" s="1754"/>
      <c r="T17" s="1754"/>
      <c r="U17" s="1754"/>
    </row>
    <row r="18" spans="1:28" ht="38.25" customHeight="1">
      <c r="A18" s="2835">
        <v>3</v>
      </c>
      <c r="B18" s="2836" t="s">
        <v>1038</v>
      </c>
      <c r="C18" s="2842" t="s">
        <v>362</v>
      </c>
      <c r="D18" s="2837"/>
      <c r="E18" s="4902"/>
      <c r="F18" s="4902"/>
      <c r="G18" s="4902"/>
      <c r="H18" s="4902"/>
      <c r="I18" s="4902"/>
      <c r="J18" s="4902"/>
      <c r="K18" s="4902"/>
      <c r="L18" s="4902"/>
      <c r="M18" s="2831"/>
      <c r="N18" s="2835"/>
      <c r="O18" s="2843"/>
      <c r="P18" s="2841"/>
      <c r="Q18" s="2324"/>
      <c r="R18" s="1754"/>
      <c r="S18" s="1754"/>
      <c r="T18" s="1754"/>
      <c r="U18" s="1754"/>
    </row>
    <row r="19" spans="1:28" ht="37.5" customHeight="1">
      <c r="A19" s="2835">
        <v>4</v>
      </c>
      <c r="B19" s="2836" t="s">
        <v>1296</v>
      </c>
      <c r="C19" s="2835" t="s">
        <v>362</v>
      </c>
      <c r="D19" s="2837"/>
      <c r="E19" s="4902"/>
      <c r="F19" s="4902"/>
      <c r="G19" s="4902"/>
      <c r="H19" s="4902"/>
      <c r="I19" s="4902"/>
      <c r="J19" s="4902"/>
      <c r="K19" s="4902"/>
      <c r="L19" s="4902"/>
      <c r="M19" s="2831"/>
      <c r="N19" s="2835"/>
      <c r="O19" s="2843"/>
      <c r="P19" s="2841"/>
      <c r="Q19" s="2324"/>
      <c r="R19" s="1754"/>
      <c r="S19" s="1754"/>
      <c r="T19" s="1754"/>
      <c r="U19" s="1754"/>
    </row>
    <row r="20" spans="1:28" ht="37.5" customHeight="1">
      <c r="A20" s="2835">
        <v>5</v>
      </c>
      <c r="B20" s="2836" t="s">
        <v>1285</v>
      </c>
      <c r="C20" s="2835" t="s">
        <v>362</v>
      </c>
      <c r="D20" s="2837"/>
      <c r="E20" s="4902"/>
      <c r="F20" s="4902"/>
      <c r="G20" s="4902"/>
      <c r="H20" s="4902"/>
      <c r="I20" s="4902"/>
      <c r="J20" s="4902"/>
      <c r="K20" s="4902"/>
      <c r="L20" s="4902"/>
      <c r="M20" s="2831"/>
      <c r="N20" s="2835"/>
      <c r="O20" s="2843"/>
      <c r="P20" s="2841"/>
      <c r="Q20" s="2324"/>
      <c r="R20" s="2586"/>
      <c r="S20" s="2586"/>
      <c r="T20" s="2586"/>
      <c r="U20" s="2586"/>
      <c r="V20" s="2574"/>
      <c r="W20" s="2574"/>
      <c r="X20" s="2574"/>
      <c r="Y20" s="2574"/>
      <c r="Z20" s="2574"/>
      <c r="AA20" s="2574"/>
      <c r="AB20" s="2574"/>
    </row>
    <row r="21" spans="1:28" ht="32.25" customHeight="1">
      <c r="A21" s="2844" t="s">
        <v>149</v>
      </c>
      <c r="B21" s="1784" t="s">
        <v>956</v>
      </c>
      <c r="C21" s="2842"/>
      <c r="D21" s="2845"/>
      <c r="E21" s="2846"/>
      <c r="F21" s="2847"/>
      <c r="G21" s="2846"/>
      <c r="H21" s="2847"/>
      <c r="I21" s="2824"/>
      <c r="J21" s="2848"/>
      <c r="K21" s="2824"/>
      <c r="L21" s="2849"/>
      <c r="M21" s="2826"/>
      <c r="N21" s="2848"/>
      <c r="O21" s="2850">
        <f>+O22+O28+O24</f>
        <v>282</v>
      </c>
      <c r="P21" s="2851"/>
      <c r="Q21" s="2327"/>
      <c r="R21" s="2586"/>
      <c r="S21" s="2586"/>
      <c r="T21" s="2586"/>
      <c r="U21" s="2586"/>
      <c r="V21" s="2574"/>
      <c r="W21" s="2574"/>
      <c r="X21" s="2574"/>
      <c r="Y21" s="2574"/>
      <c r="Z21" s="2574"/>
      <c r="AA21" s="2574"/>
      <c r="AB21" s="2574"/>
    </row>
    <row r="22" spans="1:28" ht="40.5" customHeight="1">
      <c r="A22" s="2844">
        <v>1</v>
      </c>
      <c r="B22" s="1784" t="s">
        <v>927</v>
      </c>
      <c r="C22" s="2842"/>
      <c r="D22" s="2845"/>
      <c r="E22" s="2846"/>
      <c r="F22" s="2847"/>
      <c r="G22" s="2846"/>
      <c r="H22" s="2847"/>
      <c r="I22" s="2824"/>
      <c r="J22" s="2848"/>
      <c r="K22" s="2824"/>
      <c r="L22" s="2849"/>
      <c r="M22" s="2826"/>
      <c r="N22" s="2848"/>
      <c r="O22" s="2850">
        <f>+SUM(O23:O23)</f>
        <v>18.399999999999999</v>
      </c>
      <c r="P22" s="2851"/>
      <c r="Q22" s="2327"/>
      <c r="R22" s="4900"/>
      <c r="S22" s="4900"/>
      <c r="T22" s="2814"/>
      <c r="U22" s="2814"/>
      <c r="V22" s="2578"/>
      <c r="W22" s="2578"/>
      <c r="X22" s="2578"/>
      <c r="Y22" s="2578"/>
      <c r="Z22" s="2578"/>
      <c r="AA22" s="2578"/>
      <c r="AB22" s="2574"/>
    </row>
    <row r="23" spans="1:28" ht="32.25" customHeight="1">
      <c r="A23" s="2852" t="s">
        <v>837</v>
      </c>
      <c r="B23" s="2836" t="s">
        <v>204</v>
      </c>
      <c r="C23" s="2842" t="s">
        <v>957</v>
      </c>
      <c r="D23" s="2845">
        <v>1.25</v>
      </c>
      <c r="E23" s="2853"/>
      <c r="F23" s="2854"/>
      <c r="G23" s="2855"/>
      <c r="H23" s="2856"/>
      <c r="I23" s="2853"/>
      <c r="J23" s="2856"/>
      <c r="K23" s="2824"/>
      <c r="L23" s="2849"/>
      <c r="M23" s="2826">
        <v>23</v>
      </c>
      <c r="N23" s="2848">
        <v>1</v>
      </c>
      <c r="O23" s="2843">
        <f>ROUND((M23/D23)*N23,9)</f>
        <v>18.399999999999999</v>
      </c>
      <c r="P23" s="2851"/>
      <c r="Q23" s="2327"/>
      <c r="R23" s="2583"/>
      <c r="S23" s="2583"/>
      <c r="T23" s="2583"/>
      <c r="U23" s="2583"/>
      <c r="V23" s="2575"/>
      <c r="W23" s="2575"/>
      <c r="X23" s="2575"/>
      <c r="Y23" s="2575"/>
      <c r="Z23" s="2575"/>
      <c r="AA23" s="2575"/>
      <c r="AB23" s="2574"/>
    </row>
    <row r="24" spans="1:28" ht="42" customHeight="1">
      <c r="A24" s="2844">
        <v>2</v>
      </c>
      <c r="B24" s="1784" t="s">
        <v>824</v>
      </c>
      <c r="C24" s="2842"/>
      <c r="D24" s="2845"/>
      <c r="E24" s="2853"/>
      <c r="F24" s="2856"/>
      <c r="G24" s="2853"/>
      <c r="H24" s="2856"/>
      <c r="I24" s="2855"/>
      <c r="J24" s="2856"/>
      <c r="K24" s="2855"/>
      <c r="L24" s="2856"/>
      <c r="M24" s="2826"/>
      <c r="N24" s="2848"/>
      <c r="O24" s="2850">
        <f>+SUM(O25:O27)</f>
        <v>177.2</v>
      </c>
      <c r="P24" s="2851"/>
      <c r="Q24" s="2327"/>
      <c r="R24" s="2574"/>
      <c r="S24" s="2574"/>
      <c r="T24" s="2574"/>
      <c r="U24" s="2574"/>
      <c r="V24" s="2574"/>
      <c r="W24" s="2574"/>
      <c r="X24" s="2574"/>
      <c r="Y24" s="2574"/>
      <c r="Z24" s="2574"/>
      <c r="AA24" s="2574"/>
      <c r="AB24" s="2574"/>
    </row>
    <row r="25" spans="1:28" ht="55.5" customHeight="1">
      <c r="A25" s="2852" t="s">
        <v>967</v>
      </c>
      <c r="B25" s="2857" t="s">
        <v>1216</v>
      </c>
      <c r="C25" s="2842" t="s">
        <v>957</v>
      </c>
      <c r="D25" s="2845">
        <f>25000/200000</f>
        <v>0.125</v>
      </c>
      <c r="E25" s="2853"/>
      <c r="F25" s="2854"/>
      <c r="G25" s="2855"/>
      <c r="H25" s="2856"/>
      <c r="I25" s="2853"/>
      <c r="J25" s="2856"/>
      <c r="K25" s="2824"/>
      <c r="L25" s="2849"/>
      <c r="M25" s="2826">
        <v>4</v>
      </c>
      <c r="N25" s="2848">
        <v>1</v>
      </c>
      <c r="O25" s="2843">
        <f t="shared" ref="O25:O27" si="0">ROUND((M25/D25)*N25,9)</f>
        <v>32</v>
      </c>
      <c r="P25" s="2851"/>
      <c r="Q25" s="2327"/>
      <c r="R25" s="2586"/>
      <c r="S25" s="2574"/>
      <c r="T25" s="2586"/>
      <c r="U25" s="2586"/>
      <c r="V25" s="2574"/>
      <c r="W25" s="2574"/>
      <c r="X25" s="2574"/>
      <c r="Y25" s="2574"/>
      <c r="Z25" s="2574"/>
      <c r="AA25" s="2574"/>
      <c r="AB25" s="2574"/>
    </row>
    <row r="26" spans="1:28" ht="36" customHeight="1">
      <c r="A26" s="2852" t="s">
        <v>1062</v>
      </c>
      <c r="B26" s="2836" t="s">
        <v>1043</v>
      </c>
      <c r="C26" s="2842" t="s">
        <v>957</v>
      </c>
      <c r="D26" s="2845">
        <f>25000/150000</f>
        <v>0.16666666666666666</v>
      </c>
      <c r="E26" s="2853"/>
      <c r="F26" s="2856"/>
      <c r="G26" s="2855"/>
      <c r="H26" s="2856"/>
      <c r="I26" s="2855"/>
      <c r="J26" s="2856"/>
      <c r="K26" s="2858"/>
      <c r="L26" s="2859"/>
      <c r="M26" s="2826">
        <v>5</v>
      </c>
      <c r="N26" s="2848">
        <v>1</v>
      </c>
      <c r="O26" s="2843">
        <f t="shared" si="0"/>
        <v>30</v>
      </c>
      <c r="P26" s="2851"/>
      <c r="Q26" s="2327"/>
      <c r="R26" s="1754"/>
      <c r="S26" s="1754"/>
      <c r="T26" s="1754"/>
      <c r="U26" s="1754"/>
    </row>
    <row r="27" spans="1:28" ht="37.5" customHeight="1">
      <c r="A27" s="2852" t="s">
        <v>1063</v>
      </c>
      <c r="B27" s="2836" t="s">
        <v>204</v>
      </c>
      <c r="C27" s="2842" t="s">
        <v>957</v>
      </c>
      <c r="D27" s="2845">
        <v>1.25</v>
      </c>
      <c r="E27" s="2853"/>
      <c r="F27" s="2856"/>
      <c r="G27" s="2855"/>
      <c r="H27" s="2856"/>
      <c r="I27" s="2855"/>
      <c r="J27" s="2856"/>
      <c r="K27" s="2858"/>
      <c r="L27" s="2859"/>
      <c r="M27" s="2826">
        <v>144</v>
      </c>
      <c r="N27" s="2848">
        <v>1</v>
      </c>
      <c r="O27" s="2843">
        <f t="shared" si="0"/>
        <v>115.2</v>
      </c>
      <c r="P27" s="2851"/>
      <c r="Q27" s="2327"/>
      <c r="R27" s="1754"/>
      <c r="S27" s="1754"/>
      <c r="T27" s="1754"/>
      <c r="U27" s="1754"/>
    </row>
    <row r="28" spans="1:28" ht="35.25" customHeight="1">
      <c r="A28" s="2844">
        <v>3</v>
      </c>
      <c r="B28" s="1784" t="s">
        <v>928</v>
      </c>
      <c r="C28" s="2842"/>
      <c r="D28" s="2845"/>
      <c r="E28" s="2822"/>
      <c r="F28" s="2842"/>
      <c r="G28" s="2822"/>
      <c r="H28" s="2842"/>
      <c r="I28" s="2860"/>
      <c r="J28" s="2854"/>
      <c r="K28" s="2855"/>
      <c r="L28" s="2856"/>
      <c r="M28" s="2826"/>
      <c r="N28" s="2848"/>
      <c r="O28" s="2850">
        <f>+SUM(O29:O30)</f>
        <v>86.4</v>
      </c>
      <c r="P28" s="2851"/>
      <c r="Q28" s="2327"/>
      <c r="R28" s="2337"/>
      <c r="S28" s="2337"/>
      <c r="T28" s="1754"/>
      <c r="U28" s="1754"/>
    </row>
    <row r="29" spans="1:28" ht="36" customHeight="1">
      <c r="A29" s="2852" t="s">
        <v>889</v>
      </c>
      <c r="B29" s="2857" t="s">
        <v>1043</v>
      </c>
      <c r="C29" s="2842" t="s">
        <v>957</v>
      </c>
      <c r="D29" s="2845">
        <f>25000/150000</f>
        <v>0.16666666666666666</v>
      </c>
      <c r="E29" s="2853"/>
      <c r="F29" s="2856"/>
      <c r="G29" s="2855"/>
      <c r="H29" s="2856"/>
      <c r="I29" s="2853"/>
      <c r="J29" s="2856"/>
      <c r="K29" s="2853"/>
      <c r="L29" s="2856"/>
      <c r="M29" s="2826">
        <v>2</v>
      </c>
      <c r="N29" s="2848">
        <v>1</v>
      </c>
      <c r="O29" s="2861">
        <f t="shared" ref="O29:O30" si="1">ROUND((M29/D29)*N29,9)</f>
        <v>12</v>
      </c>
      <c r="P29" s="2851"/>
      <c r="Q29" s="2327"/>
      <c r="R29" s="2337"/>
      <c r="S29" s="2337"/>
      <c r="T29" s="1754"/>
      <c r="U29" s="1754"/>
    </row>
    <row r="30" spans="1:28" ht="39" customHeight="1">
      <c r="A30" s="2852" t="s">
        <v>968</v>
      </c>
      <c r="B30" s="2836" t="s">
        <v>204</v>
      </c>
      <c r="C30" s="2842" t="s">
        <v>957</v>
      </c>
      <c r="D30" s="2845">
        <v>1.25</v>
      </c>
      <c r="E30" s="2853"/>
      <c r="F30" s="2856"/>
      <c r="G30" s="2855"/>
      <c r="H30" s="2856"/>
      <c r="I30" s="2855"/>
      <c r="J30" s="2856"/>
      <c r="K30" s="2858"/>
      <c r="L30" s="2859"/>
      <c r="M30" s="2826">
        <v>93</v>
      </c>
      <c r="N30" s="2848">
        <v>1</v>
      </c>
      <c r="O30" s="2843">
        <f t="shared" si="1"/>
        <v>74.400000000000006</v>
      </c>
      <c r="P30" s="2851"/>
      <c r="Q30" s="2327"/>
      <c r="R30" s="2337"/>
      <c r="S30" s="2337"/>
      <c r="T30" s="1754"/>
      <c r="U30" s="1754"/>
    </row>
    <row r="31" spans="1:28" ht="21" customHeight="1">
      <c r="A31" s="2844" t="s">
        <v>92</v>
      </c>
      <c r="B31" s="1808" t="s">
        <v>930</v>
      </c>
      <c r="C31" s="2842"/>
      <c r="D31" s="2845"/>
      <c r="E31" s="2846"/>
      <c r="F31" s="2847"/>
      <c r="G31" s="2846"/>
      <c r="H31" s="2847"/>
      <c r="I31" s="2824"/>
      <c r="J31" s="2848"/>
      <c r="K31" s="2824"/>
      <c r="L31" s="2849"/>
      <c r="M31" s="2826"/>
      <c r="N31" s="2848"/>
      <c r="O31" s="2850">
        <f>O32</f>
        <v>329.92</v>
      </c>
      <c r="P31" s="2851"/>
      <c r="Q31" s="2327"/>
      <c r="R31" s="2337"/>
      <c r="S31" s="2337"/>
      <c r="T31" s="2337"/>
      <c r="U31" s="2337"/>
      <c r="V31" s="1709"/>
      <c r="W31" s="1709"/>
    </row>
    <row r="32" spans="1:28" ht="27" customHeight="1">
      <c r="A32" s="2852">
        <v>1</v>
      </c>
      <c r="B32" s="2862" t="s">
        <v>1323</v>
      </c>
      <c r="C32" s="2842" t="s">
        <v>1047</v>
      </c>
      <c r="D32" s="2863">
        <f>1/16</f>
        <v>6.25E-2</v>
      </c>
      <c r="E32" s="2864" t="s">
        <v>160</v>
      </c>
      <c r="F32" s="2856">
        <v>12.18</v>
      </c>
      <c r="G32" s="2864" t="s">
        <v>1217</v>
      </c>
      <c r="H32" s="2856">
        <v>8.44</v>
      </c>
      <c r="I32" s="2853"/>
      <c r="J32" s="2856"/>
      <c r="K32" s="2824"/>
      <c r="L32" s="2849"/>
      <c r="M32" s="2826">
        <f>F32+H32</f>
        <v>20.619999999999997</v>
      </c>
      <c r="N32" s="2848">
        <v>1</v>
      </c>
      <c r="O32" s="2865">
        <f>ROUND((M32/D32)*N32,9)</f>
        <v>329.92</v>
      </c>
      <c r="P32" s="2851"/>
      <c r="Q32" s="2327"/>
      <c r="R32" s="2337"/>
      <c r="S32" s="2337"/>
      <c r="T32" s="1754"/>
      <c r="U32" s="1754"/>
    </row>
    <row r="33" spans="1:23" ht="21" customHeight="1">
      <c r="A33" s="2821" t="s">
        <v>53</v>
      </c>
      <c r="B33" s="1784" t="s">
        <v>825</v>
      </c>
      <c r="C33" s="2822"/>
      <c r="D33" s="2823"/>
      <c r="E33" s="2821"/>
      <c r="F33" s="2821"/>
      <c r="G33" s="2821"/>
      <c r="H33" s="2821"/>
      <c r="I33" s="2821"/>
      <c r="J33" s="2821"/>
      <c r="K33" s="2821"/>
      <c r="L33" s="2830"/>
      <c r="M33" s="2826"/>
      <c r="N33" s="2824"/>
      <c r="O33" s="2827">
        <f>O34</f>
        <v>416</v>
      </c>
      <c r="P33" s="2828"/>
      <c r="Q33" s="2319"/>
      <c r="R33" s="2337"/>
      <c r="S33" s="2337"/>
      <c r="T33" s="1754"/>
      <c r="U33" s="1754"/>
    </row>
    <row r="34" spans="1:23" ht="44.25" customHeight="1">
      <c r="A34" s="2852">
        <v>1</v>
      </c>
      <c r="B34" s="2862" t="s">
        <v>826</v>
      </c>
      <c r="C34" s="2842" t="s">
        <v>362</v>
      </c>
      <c r="D34" s="2845"/>
      <c r="E34" s="4914" t="s">
        <v>1218</v>
      </c>
      <c r="F34" s="4914"/>
      <c r="G34" s="4914"/>
      <c r="H34" s="4914"/>
      <c r="I34" s="4914"/>
      <c r="J34" s="4914"/>
      <c r="K34" s="4914"/>
      <c r="L34" s="4914"/>
      <c r="M34" s="4914"/>
      <c r="N34" s="2866"/>
      <c r="O34" s="2867">
        <f>4*2600000/25000</f>
        <v>416</v>
      </c>
      <c r="P34" s="2868"/>
      <c r="Q34" s="2341"/>
      <c r="R34" s="2337"/>
      <c r="S34" s="2337"/>
      <c r="T34" s="1754"/>
      <c r="U34" s="1754"/>
    </row>
    <row r="35" spans="1:23" ht="20.25" customHeight="1">
      <c r="A35" s="2821" t="s">
        <v>93</v>
      </c>
      <c r="B35" s="1784" t="s">
        <v>1100</v>
      </c>
      <c r="C35" s="2822"/>
      <c r="D35" s="2823"/>
      <c r="E35" s="2821"/>
      <c r="F35" s="2821"/>
      <c r="G35" s="2821"/>
      <c r="H35" s="2821"/>
      <c r="I35" s="2821"/>
      <c r="J35" s="2821"/>
      <c r="K35" s="2821"/>
      <c r="L35" s="2830"/>
      <c r="M35" s="2826"/>
      <c r="N35" s="2824"/>
      <c r="O35" s="2827">
        <f>O36</f>
        <v>48</v>
      </c>
      <c r="P35" s="2828"/>
      <c r="Q35" s="2319"/>
      <c r="R35" s="1791"/>
      <c r="S35" s="1754"/>
      <c r="T35" s="1754"/>
      <c r="U35" s="1754"/>
      <c r="V35" s="1754"/>
      <c r="W35" s="1754"/>
    </row>
    <row r="36" spans="1:23" s="2376" customFormat="1" ht="21" customHeight="1">
      <c r="A36" s="2835">
        <v>1</v>
      </c>
      <c r="B36" s="2862" t="s">
        <v>1316</v>
      </c>
      <c r="C36" s="2842" t="s">
        <v>362</v>
      </c>
      <c r="D36" s="2845"/>
      <c r="E36" s="4902" t="s">
        <v>1324</v>
      </c>
      <c r="F36" s="4902"/>
      <c r="G36" s="4902"/>
      <c r="H36" s="4902"/>
      <c r="I36" s="4902"/>
      <c r="J36" s="4902"/>
      <c r="K36" s="4902"/>
      <c r="L36" s="4902"/>
      <c r="M36" s="4902"/>
      <c r="N36" s="2848"/>
      <c r="O36" s="2869">
        <v>48</v>
      </c>
      <c r="P36" s="2868"/>
      <c r="Q36" s="2341"/>
      <c r="R36" s="1791"/>
      <c r="S36" s="1754"/>
      <c r="T36" s="1754"/>
      <c r="U36" s="1754"/>
      <c r="V36" s="1754"/>
      <c r="W36" s="1754"/>
    </row>
    <row r="37" spans="1:23" ht="27" customHeight="1">
      <c r="A37" s="4828" t="s">
        <v>1219</v>
      </c>
      <c r="B37" s="4828"/>
      <c r="C37" s="4828"/>
      <c r="D37" s="2870"/>
      <c r="E37" s="2871"/>
      <c r="F37" s="2871"/>
      <c r="G37" s="2871"/>
      <c r="H37" s="2871"/>
      <c r="I37" s="2871"/>
      <c r="J37" s="2871"/>
      <c r="K37" s="2871"/>
      <c r="L37" s="2872"/>
      <c r="M37" s="2873"/>
      <c r="N37" s="2871"/>
      <c r="O37" s="2874">
        <f>O21+O31+O33+O35</f>
        <v>1075.92</v>
      </c>
      <c r="P37" s="2871"/>
      <c r="Q37" s="2320"/>
      <c r="R37" s="2337"/>
      <c r="S37" s="2337"/>
      <c r="T37" s="1754"/>
      <c r="U37" s="1754"/>
    </row>
    <row r="38" spans="1:23" ht="20.45" customHeight="1">
      <c r="A38" s="1824"/>
      <c r="B38" s="1825"/>
      <c r="C38" s="1826"/>
      <c r="D38" s="2343"/>
      <c r="E38" s="1828"/>
      <c r="F38" s="1829"/>
      <c r="G38" s="1828"/>
      <c r="H38" s="1829"/>
      <c r="I38" s="2812"/>
      <c r="J38" s="1827"/>
      <c r="K38" s="2812"/>
      <c r="L38" s="4915" t="s">
        <v>1325</v>
      </c>
      <c r="M38" s="4915"/>
      <c r="N38" s="4915"/>
      <c r="O38" s="4915"/>
      <c r="P38" s="4915"/>
      <c r="Q38" s="2344"/>
      <c r="R38" s="2337"/>
      <c r="S38" s="2337"/>
      <c r="T38" s="1754"/>
      <c r="U38" s="1754"/>
    </row>
    <row r="39" spans="1:23" ht="20.45" customHeight="1">
      <c r="A39" s="4830"/>
      <c r="B39" s="4830"/>
      <c r="C39" s="4830"/>
      <c r="D39" s="4830"/>
      <c r="E39" s="4830"/>
      <c r="F39" s="1830"/>
      <c r="G39" s="1830"/>
      <c r="H39" s="4831"/>
      <c r="I39" s="4831"/>
      <c r="J39" s="4831"/>
      <c r="K39" s="2811"/>
      <c r="L39" s="4830" t="s">
        <v>827</v>
      </c>
      <c r="M39" s="4830"/>
      <c r="N39" s="4830"/>
      <c r="O39" s="4830"/>
      <c r="P39" s="4830"/>
      <c r="Q39" s="2810"/>
      <c r="R39" s="1754"/>
      <c r="S39" s="1754"/>
      <c r="T39" s="1754"/>
      <c r="U39" s="1754"/>
    </row>
    <row r="40" spans="1:23" ht="20.45" customHeight="1">
      <c r="A40" s="1831"/>
      <c r="B40" s="1832"/>
      <c r="C40" s="1833"/>
      <c r="D40" s="2345"/>
      <c r="E40" s="1834"/>
      <c r="F40" s="1833"/>
      <c r="G40" s="1835"/>
      <c r="H40" s="1833"/>
      <c r="I40" s="2346"/>
      <c r="J40" s="2806"/>
      <c r="K40" s="2346"/>
      <c r="L40" s="2345"/>
      <c r="M40" s="1836"/>
      <c r="N40" s="1837"/>
      <c r="O40" s="4353"/>
      <c r="P40" s="4353"/>
      <c r="Q40" s="2806"/>
    </row>
    <row r="41" spans="1:23" ht="20.45" customHeight="1">
      <c r="A41" s="1831"/>
      <c r="B41" s="1832"/>
      <c r="C41" s="1832"/>
      <c r="D41" s="2347"/>
      <c r="E41" s="1838"/>
      <c r="F41" s="1839"/>
      <c r="G41" s="1748"/>
      <c r="H41" s="1839"/>
      <c r="I41" s="2315"/>
      <c r="J41" s="2348"/>
      <c r="K41" s="2349"/>
      <c r="L41" s="2350"/>
      <c r="M41" s="1840"/>
      <c r="N41" s="1839"/>
      <c r="P41" s="1831"/>
      <c r="Q41" s="1831"/>
    </row>
    <row r="42" spans="1:23" ht="20.45" customHeight="1">
      <c r="A42" s="1831"/>
      <c r="B42" s="1832"/>
      <c r="C42" s="1832"/>
      <c r="D42" s="2347"/>
      <c r="E42" s="1838"/>
      <c r="F42" s="1839"/>
      <c r="G42" s="1748"/>
      <c r="H42" s="1839"/>
      <c r="I42" s="2315"/>
      <c r="J42" s="2348"/>
      <c r="K42" s="2349"/>
      <c r="L42" s="2350"/>
      <c r="M42" s="1840"/>
      <c r="N42" s="1839"/>
      <c r="P42" s="1831"/>
      <c r="Q42" s="1831"/>
    </row>
    <row r="43" spans="1:23" ht="21.75" customHeight="1">
      <c r="A43" s="4844"/>
      <c r="B43" s="4844"/>
      <c r="C43" s="4844"/>
      <c r="D43" s="4844"/>
      <c r="E43" s="4844"/>
      <c r="F43" s="1842"/>
      <c r="G43" s="1843"/>
      <c r="H43" s="4824"/>
      <c r="I43" s="4824"/>
      <c r="J43" s="4824"/>
      <c r="K43" s="2351"/>
      <c r="L43" s="2352"/>
      <c r="M43" s="4824"/>
      <c r="N43" s="4824"/>
      <c r="O43" s="4824"/>
      <c r="P43" s="4824"/>
      <c r="Q43" s="2807"/>
    </row>
    <row r="44" spans="1:23" ht="17.45" customHeight="1">
      <c r="Q44" s="2808"/>
    </row>
    <row r="45" spans="1:23" ht="27.75" customHeight="1">
      <c r="A45" s="4358" t="s">
        <v>828</v>
      </c>
      <c r="B45" s="4358"/>
      <c r="C45" s="4358"/>
      <c r="D45" s="4358"/>
      <c r="E45" s="4358"/>
      <c r="F45" s="4358"/>
      <c r="G45" s="4358"/>
      <c r="H45" s="4358"/>
      <c r="I45" s="4358"/>
      <c r="J45" s="4358"/>
      <c r="K45" s="4358"/>
      <c r="L45" s="4358"/>
      <c r="M45" s="4358"/>
      <c r="N45" s="4358"/>
      <c r="O45" s="4358"/>
      <c r="P45" s="4358"/>
      <c r="Q45" s="2809"/>
    </row>
    <row r="46" spans="1:23" ht="27.75" customHeight="1">
      <c r="A46" s="4343" t="s">
        <v>1221</v>
      </c>
      <c r="B46" s="4343"/>
      <c r="C46" s="4343"/>
      <c r="D46" s="4343"/>
      <c r="E46" s="4343"/>
      <c r="F46" s="4343"/>
      <c r="G46" s="4343"/>
      <c r="H46" s="4343"/>
      <c r="I46" s="4343"/>
      <c r="J46" s="4343"/>
      <c r="K46" s="4343"/>
      <c r="L46" s="4343"/>
      <c r="M46" s="4343"/>
      <c r="N46" s="4343"/>
      <c r="O46" s="4343"/>
      <c r="P46" s="4343"/>
    </row>
    <row r="47" spans="1:23" ht="27.75" customHeight="1"/>
    <row r="48" spans="1:23" ht="27.75" customHeight="1">
      <c r="N48" s="1845"/>
    </row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83" ht="10.5" customHeight="1"/>
    <row r="84" ht="10.5" customHeight="1"/>
    <row r="85" ht="10.5" customHeight="1"/>
    <row r="86" ht="10.5" customHeight="1"/>
    <row r="87" ht="10.5" customHeight="1"/>
    <row r="88" ht="6" customHeight="1"/>
  </sheetData>
  <mergeCells count="37">
    <mergeCell ref="A46:P46"/>
    <mergeCell ref="R22:S22"/>
    <mergeCell ref="E34:M34"/>
    <mergeCell ref="E36:M36"/>
    <mergeCell ref="A37:C37"/>
    <mergeCell ref="L38:P38"/>
    <mergeCell ref="A39:E39"/>
    <mergeCell ref="H39:J39"/>
    <mergeCell ref="L39:P39"/>
    <mergeCell ref="O40:P40"/>
    <mergeCell ref="A43:E43"/>
    <mergeCell ref="H43:J43"/>
    <mergeCell ref="M43:P43"/>
    <mergeCell ref="A45:P45"/>
    <mergeCell ref="S15:W15"/>
    <mergeCell ref="E16:L16"/>
    <mergeCell ref="E17:L17"/>
    <mergeCell ref="E18:L18"/>
    <mergeCell ref="E19:L19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1"/>
  <sheetViews>
    <sheetView topLeftCell="C26" workbookViewId="0">
      <selection activeCell="Y33" sqref="Y33"/>
    </sheetView>
  </sheetViews>
  <sheetFormatPr defaultRowHeight="15.75"/>
  <cols>
    <col min="1" max="1" width="3.625" style="1846" customWidth="1"/>
    <col min="2" max="2" width="31.75" style="1847" customWidth="1"/>
    <col min="3" max="3" width="4.875" style="1848" customWidth="1"/>
    <col min="4" max="4" width="5.125" style="2353" customWidth="1"/>
    <col min="5" max="5" width="4" style="1850" customWidth="1"/>
    <col min="6" max="6" width="6.125" style="1851" customWidth="1"/>
    <col min="7" max="7" width="4.375" style="1852" customWidth="1"/>
    <col min="8" max="8" width="5.625" style="1851" customWidth="1"/>
    <col min="9" max="9" width="4.75" style="2354" customWidth="1"/>
    <col min="10" max="10" width="5.25" style="2355" customWidth="1"/>
    <col min="11" max="11" width="4.75" style="2356" customWidth="1"/>
    <col min="12" max="12" width="5.75" style="2357" customWidth="1"/>
    <col min="13" max="13" width="7.25" style="1853" customWidth="1"/>
    <col min="14" max="14" width="3.875" style="1851" customWidth="1"/>
    <col min="15" max="15" width="9.375" style="1841" customWidth="1"/>
    <col min="16" max="16" width="10.75" style="1854" customWidth="1"/>
    <col min="17" max="17" width="6.375" style="1854" customWidth="1"/>
    <col min="18" max="18" width="9.75" customWidth="1"/>
    <col min="19" max="19" width="9.25" bestFit="1" customWidth="1"/>
    <col min="20" max="21" width="9.25" customWidth="1"/>
    <col min="22" max="22" width="9" bestFit="1" customWidth="1"/>
    <col min="23" max="23" width="11.75" bestFit="1" customWidth="1"/>
    <col min="25" max="25" width="15.25" bestFit="1" customWidth="1"/>
  </cols>
  <sheetData>
    <row r="1" spans="1:23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  <c r="O1" s="4299"/>
      <c r="P1" s="4299"/>
    </row>
    <row r="2" spans="1:23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  <c r="O2" s="4299"/>
      <c r="P2" s="4299"/>
    </row>
    <row r="3" spans="1:23" ht="16.5">
      <c r="A3" s="4341" t="s">
        <v>726</v>
      </c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  <c r="O3" s="4341"/>
      <c r="P3" s="4341"/>
    </row>
    <row r="4" spans="1:23">
      <c r="A4" s="4901" t="s">
        <v>809</v>
      </c>
      <c r="B4" s="4901"/>
      <c r="C4" s="4901"/>
      <c r="D4" s="4901"/>
      <c r="E4" s="4901"/>
      <c r="F4" s="4901"/>
      <c r="G4" s="4340"/>
      <c r="H4" s="4340"/>
      <c r="I4" s="4340"/>
      <c r="J4" s="4340"/>
      <c r="K4" s="4340"/>
      <c r="L4" s="4340"/>
      <c r="M4" s="4340"/>
      <c r="N4" s="4340"/>
      <c r="O4" s="4340"/>
      <c r="P4" s="4340"/>
      <c r="Q4" s="2800"/>
    </row>
    <row r="5" spans="1:23">
      <c r="A5" s="4340" t="s">
        <v>541</v>
      </c>
      <c r="B5" s="4340"/>
      <c r="C5" s="4340"/>
      <c r="D5" s="4340"/>
      <c r="E5" s="4340"/>
      <c r="F5" s="4340"/>
      <c r="G5" s="4340"/>
      <c r="H5" s="4340"/>
      <c r="I5" s="4340"/>
      <c r="J5" s="4340"/>
      <c r="K5" s="4340"/>
      <c r="L5" s="4340"/>
      <c r="M5" s="4340"/>
      <c r="N5" s="4340"/>
      <c r="O5" s="4340"/>
      <c r="P5" s="4340"/>
      <c r="Q5" s="2800"/>
    </row>
    <row r="6" spans="1:23" ht="18.75" customHeight="1">
      <c r="A6" s="1749"/>
      <c r="B6" s="1749"/>
      <c r="C6" s="1749"/>
      <c r="D6" s="1751"/>
      <c r="E6" s="1746"/>
      <c r="F6" s="1747"/>
      <c r="G6" s="1748"/>
      <c r="H6" s="1747"/>
      <c r="I6" s="2315"/>
      <c r="J6" s="2316"/>
      <c r="K6" s="1750"/>
      <c r="L6" s="1751"/>
      <c r="M6" s="1752"/>
      <c r="N6" s="1749"/>
      <c r="O6" s="1753"/>
      <c r="P6" s="1749"/>
      <c r="Q6" s="1749"/>
    </row>
    <row r="7" spans="1:23" ht="18.75">
      <c r="A7" s="4858" t="s">
        <v>1326</v>
      </c>
      <c r="B7" s="4858"/>
      <c r="C7" s="4858"/>
      <c r="D7" s="4858"/>
      <c r="E7" s="4858"/>
      <c r="F7" s="4858"/>
      <c r="G7" s="4858"/>
      <c r="H7" s="4858"/>
      <c r="I7" s="4858"/>
      <c r="J7" s="4858"/>
      <c r="K7" s="4858"/>
      <c r="L7" s="4858"/>
      <c r="M7" s="4858"/>
      <c r="N7" s="4858"/>
      <c r="O7" s="4858"/>
      <c r="P7" s="4858"/>
      <c r="Q7" s="2801"/>
      <c r="R7" s="1754"/>
      <c r="S7" s="1754"/>
      <c r="T7" s="1754"/>
      <c r="U7" s="1754"/>
      <c r="V7" s="1754"/>
      <c r="W7" s="1754"/>
    </row>
    <row r="8" spans="1:23" ht="15">
      <c r="A8" s="4859" t="s">
        <v>1327</v>
      </c>
      <c r="B8" s="4859"/>
      <c r="C8" s="4859"/>
      <c r="D8" s="4859"/>
      <c r="E8" s="4859"/>
      <c r="F8" s="4859"/>
      <c r="G8" s="4859"/>
      <c r="H8" s="4859"/>
      <c r="I8" s="4859"/>
      <c r="J8" s="4859"/>
      <c r="K8" s="4859"/>
      <c r="L8" s="4859"/>
      <c r="M8" s="4859"/>
      <c r="N8" s="4859"/>
      <c r="O8" s="4859"/>
      <c r="P8" s="4859"/>
      <c r="Q8" s="2812"/>
      <c r="R8" s="1754"/>
      <c r="S8" s="1754"/>
      <c r="T8" s="1754"/>
      <c r="U8" s="1754"/>
      <c r="V8" s="1754"/>
      <c r="W8" s="1754"/>
    </row>
    <row r="9" spans="1:23" ht="16.5">
      <c r="A9" s="4917" t="s">
        <v>19</v>
      </c>
      <c r="B9" s="4917" t="s">
        <v>1206</v>
      </c>
      <c r="C9" s="4919" t="s">
        <v>623</v>
      </c>
      <c r="D9" s="4921" t="s">
        <v>361</v>
      </c>
      <c r="E9" s="4923" t="s">
        <v>811</v>
      </c>
      <c r="F9" s="4923"/>
      <c r="G9" s="4923"/>
      <c r="H9" s="4923"/>
      <c r="I9" s="4923"/>
      <c r="J9" s="4923"/>
      <c r="K9" s="4923"/>
      <c r="L9" s="4923"/>
      <c r="M9" s="4923"/>
      <c r="N9" s="4923" t="s">
        <v>812</v>
      </c>
      <c r="O9" s="4925" t="s">
        <v>47</v>
      </c>
      <c r="P9" s="4927" t="s">
        <v>813</v>
      </c>
      <c r="Q9" s="2317"/>
      <c r="R9" s="1754"/>
      <c r="S9" s="1754"/>
      <c r="T9" s="1754"/>
      <c r="U9" s="1754"/>
      <c r="V9" s="1754"/>
      <c r="W9" s="1754"/>
    </row>
    <row r="10" spans="1:23" ht="16.5">
      <c r="A10" s="4918"/>
      <c r="B10" s="4918"/>
      <c r="C10" s="4920"/>
      <c r="D10" s="4922"/>
      <c r="E10" s="2875" t="s">
        <v>814</v>
      </c>
      <c r="F10" s="2875" t="s">
        <v>815</v>
      </c>
      <c r="G10" s="2875" t="s">
        <v>814</v>
      </c>
      <c r="H10" s="2875" t="s">
        <v>815</v>
      </c>
      <c r="I10" s="2875" t="s">
        <v>814</v>
      </c>
      <c r="J10" s="2875" t="s">
        <v>815</v>
      </c>
      <c r="K10" s="2875" t="s">
        <v>814</v>
      </c>
      <c r="L10" s="2876" t="s">
        <v>815</v>
      </c>
      <c r="M10" s="2877" t="s">
        <v>21</v>
      </c>
      <c r="N10" s="4924"/>
      <c r="O10" s="4926"/>
      <c r="P10" s="4928"/>
      <c r="Q10" s="2317"/>
      <c r="R10" s="1754"/>
      <c r="S10" s="1754"/>
      <c r="T10" s="1754"/>
      <c r="U10" s="1754"/>
      <c r="V10" s="1754"/>
      <c r="W10" s="1754"/>
    </row>
    <row r="11" spans="1:23" ht="33" customHeight="1">
      <c r="A11" s="1766" t="s">
        <v>52</v>
      </c>
      <c r="B11" s="1784" t="s">
        <v>816</v>
      </c>
      <c r="C11" s="1809"/>
      <c r="D11" s="2340"/>
      <c r="E11" s="1810"/>
      <c r="F11" s="1810"/>
      <c r="G11" s="1810"/>
      <c r="H11" s="1810"/>
      <c r="I11" s="1810"/>
      <c r="J11" s="1810"/>
      <c r="K11" s="1810"/>
      <c r="L11" s="2878"/>
      <c r="M11" s="1788"/>
      <c r="N11" s="1810"/>
      <c r="O11" s="1772">
        <f>O21+O15+O12</f>
        <v>7256.6605675199989</v>
      </c>
      <c r="P11" s="1811"/>
      <c r="Q11" s="2319"/>
      <c r="R11" s="1754"/>
      <c r="S11" s="1754"/>
      <c r="T11" s="1754"/>
      <c r="U11" s="1754"/>
      <c r="V11" s="1754"/>
      <c r="W11" s="1754"/>
    </row>
    <row r="12" spans="1:23" ht="30" customHeight="1">
      <c r="A12" s="1766" t="s">
        <v>147</v>
      </c>
      <c r="B12" s="1767" t="s">
        <v>817</v>
      </c>
      <c r="C12" s="1768"/>
      <c r="D12" s="1770"/>
      <c r="E12" s="1769"/>
      <c r="F12" s="1769"/>
      <c r="G12" s="1769"/>
      <c r="H12" s="1769"/>
      <c r="I12" s="1769"/>
      <c r="J12" s="1769"/>
      <c r="K12" s="1769"/>
      <c r="L12" s="1770"/>
      <c r="M12" s="1771"/>
      <c r="N12" s="1769"/>
      <c r="O12" s="1772"/>
      <c r="P12" s="1773"/>
      <c r="Q12" s="2320"/>
      <c r="R12" s="1754"/>
      <c r="S12" s="1754"/>
      <c r="T12" s="1754"/>
      <c r="U12" s="1754"/>
      <c r="V12" s="1754"/>
      <c r="W12" s="1754"/>
    </row>
    <row r="13" spans="1:23" ht="30" customHeight="1">
      <c r="A13" s="1774">
        <v>1</v>
      </c>
      <c r="B13" s="1775" t="s">
        <v>49</v>
      </c>
      <c r="C13" s="1776" t="s">
        <v>818</v>
      </c>
      <c r="D13" s="2321"/>
      <c r="E13" s="1769"/>
      <c r="F13" s="2802"/>
      <c r="G13" s="1769"/>
      <c r="H13" s="1769"/>
      <c r="I13" s="1769"/>
      <c r="J13" s="1769"/>
      <c r="K13" s="1769"/>
      <c r="L13" s="1770"/>
      <c r="M13" s="1771"/>
      <c r="N13" s="2802"/>
      <c r="O13" s="1772"/>
      <c r="P13" s="1777"/>
      <c r="Q13" s="2322"/>
      <c r="R13" s="1754"/>
      <c r="S13" s="1754"/>
      <c r="T13" s="1754"/>
      <c r="U13" s="1754"/>
      <c r="V13" s="1754"/>
      <c r="W13" s="1754"/>
    </row>
    <row r="14" spans="1:23" ht="30" customHeight="1">
      <c r="A14" s="1774">
        <v>2</v>
      </c>
      <c r="B14" s="1775" t="s">
        <v>819</v>
      </c>
      <c r="C14" s="1776" t="s">
        <v>818</v>
      </c>
      <c r="D14" s="2321"/>
      <c r="E14" s="1769"/>
      <c r="F14" s="2802"/>
      <c r="G14" s="1769"/>
      <c r="H14" s="1769"/>
      <c r="I14" s="1769"/>
      <c r="J14" s="1769"/>
      <c r="K14" s="1769"/>
      <c r="L14" s="1770"/>
      <c r="M14" s="2323">
        <v>141</v>
      </c>
      <c r="N14" s="2802"/>
      <c r="O14" s="1772"/>
      <c r="P14" s="1779"/>
      <c r="Q14" s="2324"/>
      <c r="R14" s="1754"/>
      <c r="S14" s="1754"/>
      <c r="T14" s="1754"/>
      <c r="U14" s="1754"/>
      <c r="V14" s="1754"/>
      <c r="W14" s="1754"/>
    </row>
    <row r="15" spans="1:23" ht="42" customHeight="1">
      <c r="A15" s="1766" t="s">
        <v>148</v>
      </c>
      <c r="B15" s="1767" t="s">
        <v>820</v>
      </c>
      <c r="C15" s="1780"/>
      <c r="D15" s="1770"/>
      <c r="E15" s="1769"/>
      <c r="F15" s="1769"/>
      <c r="G15" s="1769"/>
      <c r="H15" s="1769"/>
      <c r="I15" s="1769"/>
      <c r="J15" s="1769"/>
      <c r="K15" s="1769"/>
      <c r="L15" s="1770"/>
      <c r="M15" s="2879"/>
      <c r="N15" s="1769"/>
      <c r="O15" s="1772">
        <f>SUM(O16:O20)</f>
        <v>5507.5999999999995</v>
      </c>
      <c r="P15" s="1773"/>
      <c r="Q15" s="2320"/>
      <c r="R15" s="1754"/>
      <c r="S15" s="1754"/>
      <c r="T15" s="1754"/>
      <c r="U15" s="1754"/>
      <c r="V15" s="1754"/>
      <c r="W15" s="1754"/>
    </row>
    <row r="16" spans="1:23" ht="42" customHeight="1">
      <c r="A16" s="1774">
        <v>1</v>
      </c>
      <c r="B16" s="1775" t="s">
        <v>821</v>
      </c>
      <c r="C16" s="1781" t="s">
        <v>362</v>
      </c>
      <c r="D16" s="2321"/>
      <c r="E16" s="4855" t="s">
        <v>1293</v>
      </c>
      <c r="F16" s="4855"/>
      <c r="G16" s="4855"/>
      <c r="H16" s="4855"/>
      <c r="I16" s="4855"/>
      <c r="J16" s="4855"/>
      <c r="K16" s="4855"/>
      <c r="L16" s="4855"/>
      <c r="M16" s="1771"/>
      <c r="N16" s="2802"/>
      <c r="O16" s="1782">
        <f>43*4*70000/25000</f>
        <v>481.6</v>
      </c>
      <c r="P16" s="1779"/>
      <c r="Q16" s="2324"/>
      <c r="R16" s="1754"/>
      <c r="S16" s="1754"/>
      <c r="T16" s="1754"/>
      <c r="U16" s="1754"/>
      <c r="V16" s="1754"/>
      <c r="W16" s="1754"/>
    </row>
    <row r="17" spans="1:30" ht="42" customHeight="1">
      <c r="A17" s="1774">
        <v>2</v>
      </c>
      <c r="B17" s="1775" t="s">
        <v>1294</v>
      </c>
      <c r="C17" s="1776" t="s">
        <v>362</v>
      </c>
      <c r="D17" s="2321"/>
      <c r="E17" s="4855" t="s">
        <v>1328</v>
      </c>
      <c r="F17" s="4855"/>
      <c r="G17" s="4855"/>
      <c r="H17" s="4855"/>
      <c r="I17" s="4855"/>
      <c r="J17" s="4855"/>
      <c r="K17" s="4855"/>
      <c r="L17" s="4855"/>
      <c r="M17" s="1771"/>
      <c r="N17" s="2802"/>
      <c r="O17" s="1782">
        <f>43*27*50000/25000</f>
        <v>2322</v>
      </c>
      <c r="P17" s="1779"/>
      <c r="Q17" s="2324"/>
      <c r="R17" s="1754"/>
      <c r="S17" s="1754"/>
      <c r="T17" s="1754"/>
      <c r="U17" s="1754"/>
      <c r="V17" s="1754"/>
      <c r="W17" s="1754"/>
    </row>
    <row r="18" spans="1:30" ht="40.5" customHeight="1">
      <c r="A18" s="1774">
        <v>3</v>
      </c>
      <c r="B18" s="1775" t="s">
        <v>1038</v>
      </c>
      <c r="C18" s="1781" t="s">
        <v>362</v>
      </c>
      <c r="D18" s="2321"/>
      <c r="E18" s="4855" t="s">
        <v>1039</v>
      </c>
      <c r="F18" s="4855"/>
      <c r="G18" s="4855"/>
      <c r="H18" s="4855"/>
      <c r="I18" s="4855"/>
      <c r="J18" s="4855"/>
      <c r="K18" s="4855"/>
      <c r="L18" s="4855"/>
      <c r="M18" s="1771"/>
      <c r="N18" s="2802"/>
      <c r="O18" s="1782">
        <f>8*4*90000/25000</f>
        <v>115.2</v>
      </c>
      <c r="P18" s="1779"/>
      <c r="Q18" s="2324"/>
      <c r="R18" s="1754"/>
      <c r="S18" s="1754"/>
      <c r="T18" s="1754"/>
      <c r="U18" s="1754"/>
      <c r="V18" s="1754"/>
      <c r="W18" s="1754"/>
    </row>
    <row r="19" spans="1:30" ht="40.5" customHeight="1">
      <c r="A19" s="1774">
        <v>4</v>
      </c>
      <c r="B19" s="1775" t="s">
        <v>1296</v>
      </c>
      <c r="C19" s="1776" t="s">
        <v>362</v>
      </c>
      <c r="D19" s="2321"/>
      <c r="E19" s="4855" t="s">
        <v>1041</v>
      </c>
      <c r="F19" s="4855"/>
      <c r="G19" s="4855"/>
      <c r="H19" s="4855"/>
      <c r="I19" s="4855"/>
      <c r="J19" s="4855"/>
      <c r="K19" s="4855"/>
      <c r="L19" s="4855"/>
      <c r="M19" s="1771"/>
      <c r="N19" s="2802"/>
      <c r="O19" s="1782">
        <f>8*27*70000/25000</f>
        <v>604.79999999999995</v>
      </c>
      <c r="P19" s="1779"/>
      <c r="Q19" s="2324"/>
      <c r="R19" s="1754"/>
      <c r="S19" s="1754"/>
      <c r="T19" s="1754"/>
      <c r="U19" s="1754"/>
      <c r="V19" s="1754"/>
      <c r="W19" s="1754"/>
    </row>
    <row r="20" spans="1:30" ht="40.5" customHeight="1">
      <c r="A20" s="1774">
        <v>5</v>
      </c>
      <c r="B20" s="1775" t="s">
        <v>1285</v>
      </c>
      <c r="C20" s="1776" t="s">
        <v>362</v>
      </c>
      <c r="D20" s="2321"/>
      <c r="E20" s="4855" t="s">
        <v>1329</v>
      </c>
      <c r="F20" s="4855"/>
      <c r="G20" s="4855"/>
      <c r="H20" s="4855"/>
      <c r="I20" s="4855"/>
      <c r="J20" s="4855"/>
      <c r="K20" s="4855"/>
      <c r="L20" s="4855"/>
      <c r="M20" s="1771"/>
      <c r="N20" s="2802"/>
      <c r="O20" s="1782">
        <f>16*31*100000/25000</f>
        <v>1984</v>
      </c>
      <c r="P20" s="1779"/>
      <c r="Q20" s="2324"/>
      <c r="R20" s="2586"/>
      <c r="S20" s="2586"/>
      <c r="T20" s="2586"/>
      <c r="U20" s="2586"/>
      <c r="V20" s="2586"/>
      <c r="W20" s="2586"/>
      <c r="X20" s="2574"/>
      <c r="Y20" s="2574"/>
      <c r="Z20" s="2574"/>
      <c r="AA20" s="2574"/>
      <c r="AB20" s="2574"/>
      <c r="AC20" s="2574"/>
      <c r="AD20" s="2574"/>
    </row>
    <row r="21" spans="1:30" ht="27" customHeight="1">
      <c r="A21" s="1783" t="s">
        <v>149</v>
      </c>
      <c r="B21" s="1784" t="s">
        <v>956</v>
      </c>
      <c r="C21" s="1781"/>
      <c r="D21" s="1814"/>
      <c r="E21" s="1786"/>
      <c r="F21" s="1787"/>
      <c r="G21" s="1786"/>
      <c r="H21" s="1787"/>
      <c r="I21" s="1810"/>
      <c r="J21" s="1789"/>
      <c r="K21" s="1810"/>
      <c r="L21" s="2325"/>
      <c r="M21" s="1788"/>
      <c r="N21" s="1789"/>
      <c r="O21" s="1790">
        <f>+O23+O35+O28+O41+O47</f>
        <v>1749.0605675199999</v>
      </c>
      <c r="P21" s="2326"/>
      <c r="Q21" s="2327"/>
      <c r="R21" s="2586"/>
      <c r="S21" s="2586"/>
      <c r="T21" s="2586"/>
      <c r="U21" s="2586"/>
      <c r="V21" s="2586"/>
      <c r="W21" s="2586"/>
      <c r="X21" s="2574"/>
      <c r="Y21" s="2574"/>
      <c r="Z21" s="2574"/>
      <c r="AA21" s="2574"/>
      <c r="AB21" s="2574"/>
      <c r="AC21" s="2574"/>
      <c r="AD21" s="2574"/>
    </row>
    <row r="22" spans="1:30" ht="22.5" customHeight="1">
      <c r="A22" s="1783"/>
      <c r="B22" s="1767" t="s">
        <v>321</v>
      </c>
      <c r="C22" s="1781"/>
      <c r="D22" s="1814"/>
      <c r="E22" s="1786"/>
      <c r="F22" s="1787"/>
      <c r="G22" s="1786"/>
      <c r="H22" s="1787"/>
      <c r="I22" s="1810"/>
      <c r="J22" s="1789"/>
      <c r="K22" s="1810"/>
      <c r="L22" s="2325"/>
      <c r="M22" s="1788"/>
      <c r="N22" s="1789"/>
      <c r="O22" s="1790">
        <f>O23+O28+O35</f>
        <v>947.38963034200003</v>
      </c>
      <c r="P22" s="2326"/>
      <c r="Q22" s="2327"/>
      <c r="R22" s="2586"/>
      <c r="S22" s="2586"/>
      <c r="T22" s="2586"/>
      <c r="U22" s="2586"/>
      <c r="V22" s="2586"/>
      <c r="W22" s="2586"/>
      <c r="X22" s="2574"/>
      <c r="Y22" s="2574"/>
      <c r="Z22" s="2574"/>
      <c r="AA22" s="2574"/>
      <c r="AB22" s="2574"/>
      <c r="AC22" s="2574"/>
      <c r="AD22" s="2574"/>
    </row>
    <row r="23" spans="1:30" ht="22.5" customHeight="1">
      <c r="A23" s="1783">
        <v>1</v>
      </c>
      <c r="B23" s="1784" t="s">
        <v>927</v>
      </c>
      <c r="C23" s="1781"/>
      <c r="D23" s="1814"/>
      <c r="E23" s="1786"/>
      <c r="F23" s="1787"/>
      <c r="G23" s="1786"/>
      <c r="H23" s="1787"/>
      <c r="I23" s="1810"/>
      <c r="J23" s="1789"/>
      <c r="K23" s="1810"/>
      <c r="L23" s="2325"/>
      <c r="M23" s="1788"/>
      <c r="N23" s="1789"/>
      <c r="O23" s="1790">
        <f>+SUM(O24:O27)</f>
        <v>124.225012002</v>
      </c>
      <c r="P23" s="2326"/>
      <c r="Q23" s="2327"/>
      <c r="R23" s="2580"/>
      <c r="S23" s="3038"/>
      <c r="T23" s="4856" t="s">
        <v>1372</v>
      </c>
      <c r="U23" s="4916"/>
      <c r="V23" s="4857"/>
      <c r="W23" s="4897" t="s">
        <v>1373</v>
      </c>
      <c r="X23" s="4897"/>
      <c r="Y23" s="4897"/>
      <c r="Z23" s="2578"/>
      <c r="AA23" s="2578"/>
      <c r="AB23" s="2578"/>
      <c r="AC23" s="2578"/>
      <c r="AD23" s="2574"/>
    </row>
    <row r="24" spans="1:30" ht="22.5" customHeight="1">
      <c r="A24" s="1792" t="s">
        <v>837</v>
      </c>
      <c r="B24" s="1775" t="s">
        <v>204</v>
      </c>
      <c r="C24" s="1781" t="s">
        <v>957</v>
      </c>
      <c r="D24" s="1814">
        <v>1.25</v>
      </c>
      <c r="E24" s="1793"/>
      <c r="F24" s="1794"/>
      <c r="G24" s="1795"/>
      <c r="H24" s="1796"/>
      <c r="I24" s="1793"/>
      <c r="J24" s="1796"/>
      <c r="K24" s="1810"/>
      <c r="L24" s="2325"/>
      <c r="M24" s="1788">
        <v>23</v>
      </c>
      <c r="N24" s="1789">
        <v>1</v>
      </c>
      <c r="O24" s="1782">
        <f>ROUND((M24/D24)*N24,9)</f>
        <v>18.399999999999999</v>
      </c>
      <c r="P24" s="2326"/>
      <c r="Q24" s="2327"/>
      <c r="R24" s="2588"/>
      <c r="S24" s="3041"/>
      <c r="T24" s="3041" t="s">
        <v>1374</v>
      </c>
      <c r="U24" s="3041" t="s">
        <v>1375</v>
      </c>
      <c r="V24" s="3042" t="s">
        <v>1376</v>
      </c>
      <c r="W24" s="3042" t="s">
        <v>1374</v>
      </c>
      <c r="X24" s="2332" t="s">
        <v>1375</v>
      </c>
      <c r="Y24" s="2332" t="s">
        <v>1376</v>
      </c>
      <c r="Z24" s="2575"/>
      <c r="AA24" s="2575"/>
      <c r="AB24" s="2575"/>
      <c r="AC24" s="2575"/>
      <c r="AD24" s="2574"/>
    </row>
    <row r="25" spans="1:30" ht="22.5" customHeight="1">
      <c r="A25" s="2880" t="s">
        <v>838</v>
      </c>
      <c r="B25" s="2881" t="s">
        <v>1330</v>
      </c>
      <c r="C25" s="1781" t="s">
        <v>1047</v>
      </c>
      <c r="D25" s="1814">
        <v>0.20830000000000001</v>
      </c>
      <c r="E25" s="1805" t="s">
        <v>1058</v>
      </c>
      <c r="F25" s="1796">
        <v>1.22</v>
      </c>
      <c r="G25" s="1804" t="s">
        <v>1054</v>
      </c>
      <c r="H25" s="1796">
        <v>6.09</v>
      </c>
      <c r="I25" s="1789" t="s">
        <v>209</v>
      </c>
      <c r="J25" s="2325">
        <v>1.77</v>
      </c>
      <c r="K25" s="1810"/>
      <c r="L25" s="2325"/>
      <c r="M25" s="1788">
        <f>F25+H25+J25</f>
        <v>9.08</v>
      </c>
      <c r="N25" s="1789">
        <v>1</v>
      </c>
      <c r="O25" s="1782">
        <f>ROUND((M25/D25)*N25,9)</f>
        <v>43.590974555999999</v>
      </c>
      <c r="P25" s="2334"/>
      <c r="Q25" s="2333"/>
      <c r="R25" s="2574"/>
      <c r="S25" s="3043">
        <v>1</v>
      </c>
      <c r="T25" s="3047">
        <f>M25+M31+M37</f>
        <v>100.88999999999999</v>
      </c>
      <c r="U25" s="3048">
        <f>M43</f>
        <v>85.47</v>
      </c>
      <c r="V25" s="3044"/>
      <c r="W25" s="3044">
        <f>M27+M39+M34</f>
        <v>8.7866999999999997</v>
      </c>
      <c r="X25" s="3045"/>
      <c r="Y25" s="3051">
        <f>M48</f>
        <v>61.351349999999996</v>
      </c>
      <c r="Z25" s="2574"/>
      <c r="AA25" s="2574"/>
      <c r="AB25" s="2574"/>
      <c r="AC25" s="2574"/>
      <c r="AD25" s="2574"/>
    </row>
    <row r="26" spans="1:30" ht="22.5" customHeight="1">
      <c r="A26" s="2880" t="s">
        <v>1044</v>
      </c>
      <c r="B26" s="2881" t="s">
        <v>1332</v>
      </c>
      <c r="C26" s="1781" t="s">
        <v>1047</v>
      </c>
      <c r="D26" s="1814">
        <v>0.20830000000000001</v>
      </c>
      <c r="E26" s="1805">
        <v>9</v>
      </c>
      <c r="F26" s="1796">
        <v>8.08</v>
      </c>
      <c r="G26" s="1804">
        <v>8</v>
      </c>
      <c r="H26" s="1796">
        <v>2.0499999999999998</v>
      </c>
      <c r="I26" s="1810"/>
      <c r="J26" s="2325"/>
      <c r="K26" s="1810"/>
      <c r="L26" s="2325"/>
      <c r="M26" s="1788">
        <f>F26+H26</f>
        <v>10.129999999999999</v>
      </c>
      <c r="N26" s="1789">
        <v>1</v>
      </c>
      <c r="O26" s="1782">
        <f>ROUND((M26/D26)*N26,9)</f>
        <v>48.631781085</v>
      </c>
      <c r="P26" s="2334"/>
      <c r="Q26" s="2333"/>
      <c r="R26" s="2588"/>
      <c r="S26" s="3046">
        <v>0.8</v>
      </c>
      <c r="T26" s="3049">
        <f>M26+M38</f>
        <v>53.67</v>
      </c>
      <c r="U26" s="3049"/>
      <c r="V26" s="3049"/>
      <c r="W26" s="3049"/>
      <c r="X26" s="3045"/>
      <c r="Y26" s="3049"/>
      <c r="Z26" s="3053">
        <f>T25+T26+U25+U26+W25+Y25</f>
        <v>310.16804999999999</v>
      </c>
      <c r="AA26" s="2574">
        <f>Z26*1.7</f>
        <v>527.28568499999994</v>
      </c>
      <c r="AB26" s="2574"/>
      <c r="AC26" s="2574"/>
      <c r="AD26" s="2574"/>
    </row>
    <row r="27" spans="1:30" ht="54" customHeight="1">
      <c r="A27" s="2880" t="s">
        <v>1045</v>
      </c>
      <c r="B27" s="2881" t="s">
        <v>1333</v>
      </c>
      <c r="C27" s="1781" t="s">
        <v>1047</v>
      </c>
      <c r="D27" s="1814">
        <v>0.20830000000000001</v>
      </c>
      <c r="E27" s="1805" t="s">
        <v>1057</v>
      </c>
      <c r="F27" s="1796">
        <f>(352*15)/10000</f>
        <v>0.52800000000000002</v>
      </c>
      <c r="G27" s="1804" t="s">
        <v>1053</v>
      </c>
      <c r="H27" s="1796">
        <f>(931.4*15)/10000</f>
        <v>1.3971</v>
      </c>
      <c r="I27" s="1789" t="s">
        <v>1056</v>
      </c>
      <c r="J27" s="2325">
        <f>(605.5*15)/10000</f>
        <v>0.90825</v>
      </c>
      <c r="K27" s="1810"/>
      <c r="L27" s="2325"/>
      <c r="M27" s="1788">
        <f>F27+H27+J27</f>
        <v>2.8333500000000003</v>
      </c>
      <c r="N27" s="1789">
        <v>1</v>
      </c>
      <c r="O27" s="1782">
        <f>ROUND((M27/D27)*N27,9)</f>
        <v>13.602256361</v>
      </c>
      <c r="P27" s="2882" t="s">
        <v>1334</v>
      </c>
      <c r="Q27" s="2333"/>
      <c r="R27" s="2574"/>
      <c r="S27" s="3050" t="s">
        <v>1331</v>
      </c>
      <c r="T27" s="2331">
        <f>F53+H53+L53</f>
        <v>18.82</v>
      </c>
      <c r="U27" s="2331">
        <f>J53+F54</f>
        <v>2.73</v>
      </c>
      <c r="V27" s="2331"/>
      <c r="W27" s="2331"/>
      <c r="X27" s="2331">
        <f>M55</f>
        <v>5.0999999999999996</v>
      </c>
      <c r="Y27" s="2331"/>
      <c r="Z27" s="2588">
        <f>T27+U27+X27</f>
        <v>26.65</v>
      </c>
      <c r="AA27" s="2574">
        <f>Z27*2</f>
        <v>53.3</v>
      </c>
      <c r="AB27" s="2574"/>
      <c r="AC27" s="2574"/>
      <c r="AD27" s="2574"/>
    </row>
    <row r="28" spans="1:30" ht="24.75" customHeight="1">
      <c r="A28" s="1783">
        <v>2</v>
      </c>
      <c r="B28" s="1784" t="s">
        <v>824</v>
      </c>
      <c r="C28" s="1781"/>
      <c r="D28" s="1814"/>
      <c r="E28" s="1793"/>
      <c r="F28" s="1796"/>
      <c r="G28" s="1793"/>
      <c r="H28" s="1796"/>
      <c r="I28" s="1795"/>
      <c r="J28" s="1796"/>
      <c r="K28" s="1795"/>
      <c r="L28" s="1796"/>
      <c r="M28" s="1788"/>
      <c r="N28" s="1789"/>
      <c r="O28" s="1790">
        <f>+SUM(O29:O34)</f>
        <v>276.47537205999998</v>
      </c>
      <c r="P28" s="2326"/>
      <c r="Q28" s="2327"/>
      <c r="R28" s="2574"/>
      <c r="S28" s="2331" t="s">
        <v>187</v>
      </c>
      <c r="T28" s="2331">
        <f>SUM(T25:T27)</f>
        <v>173.38</v>
      </c>
      <c r="U28" s="2331">
        <f t="shared" ref="U28:Y28" si="0">SUM(U25:U27)</f>
        <v>88.2</v>
      </c>
      <c r="V28" s="2331">
        <f t="shared" si="0"/>
        <v>0</v>
      </c>
      <c r="W28" s="2331">
        <f t="shared" si="0"/>
        <v>8.7866999999999997</v>
      </c>
      <c r="X28" s="2331">
        <f t="shared" si="0"/>
        <v>5.0999999999999996</v>
      </c>
      <c r="Y28" s="2331">
        <f t="shared" si="0"/>
        <v>61.351349999999996</v>
      </c>
      <c r="Z28" s="2574"/>
      <c r="AA28" s="2574"/>
      <c r="AB28" s="2574"/>
      <c r="AC28" s="2574"/>
      <c r="AD28" s="2574"/>
    </row>
    <row r="29" spans="1:30" ht="45.75" customHeight="1">
      <c r="A29" s="1792" t="s">
        <v>967</v>
      </c>
      <c r="B29" s="2335" t="s">
        <v>1216</v>
      </c>
      <c r="C29" s="1781" t="s">
        <v>957</v>
      </c>
      <c r="D29" s="1814">
        <f>25000/200000</f>
        <v>0.125</v>
      </c>
      <c r="E29" s="1793"/>
      <c r="F29" s="1794"/>
      <c r="G29" s="1795"/>
      <c r="H29" s="1796"/>
      <c r="I29" s="1793"/>
      <c r="J29" s="1796"/>
      <c r="K29" s="1810"/>
      <c r="L29" s="2325"/>
      <c r="M29" s="1788">
        <v>6</v>
      </c>
      <c r="N29" s="1789">
        <v>1</v>
      </c>
      <c r="O29" s="1782">
        <f t="shared" ref="O29:O30" si="1">ROUND((M29/D29)*N29,9)</f>
        <v>48</v>
      </c>
      <c r="P29" s="2326"/>
      <c r="Q29" s="2327"/>
      <c r="R29" s="2586"/>
      <c r="S29" s="2574"/>
      <c r="T29" s="2588">
        <f>T28+U28+V28</f>
        <v>261.58</v>
      </c>
      <c r="U29" s="2574"/>
      <c r="V29" s="2586"/>
      <c r="W29" s="3052">
        <f>W28+X28+Y28</f>
        <v>75.238050000000001</v>
      </c>
      <c r="X29" s="2574"/>
      <c r="Y29" s="2574"/>
      <c r="Z29" s="2574"/>
      <c r="AA29" s="2574"/>
      <c r="AB29" s="2574"/>
      <c r="AC29" s="2574"/>
      <c r="AD29" s="2574"/>
    </row>
    <row r="30" spans="1:30" ht="39" customHeight="1">
      <c r="A30" s="1792" t="s">
        <v>1062</v>
      </c>
      <c r="B30" s="1775" t="s">
        <v>204</v>
      </c>
      <c r="C30" s="1781" t="s">
        <v>957</v>
      </c>
      <c r="D30" s="1814">
        <v>1.25</v>
      </c>
      <c r="E30" s="1793"/>
      <c r="F30" s="1796"/>
      <c r="G30" s="1795"/>
      <c r="H30" s="1796"/>
      <c r="I30" s="1795"/>
      <c r="J30" s="1796"/>
      <c r="K30" s="2336"/>
      <c r="L30" s="1801"/>
      <c r="M30" s="1788">
        <v>28</v>
      </c>
      <c r="N30" s="1789">
        <v>1</v>
      </c>
      <c r="O30" s="1782">
        <f t="shared" si="1"/>
        <v>22.4</v>
      </c>
      <c r="P30" s="2326"/>
      <c r="Q30" s="2327"/>
      <c r="R30" s="1798"/>
      <c r="S30" s="1754"/>
      <c r="T30" s="1754"/>
      <c r="U30" s="1754"/>
      <c r="V30" s="1754"/>
      <c r="W30" s="1754"/>
      <c r="Y30" s="2366">
        <f>T28+U28+W28+X28</f>
        <v>275.4667</v>
      </c>
      <c r="Z30">
        <v>120000</v>
      </c>
    </row>
    <row r="31" spans="1:30" ht="33.75" customHeight="1">
      <c r="A31" s="4931" t="s">
        <v>1063</v>
      </c>
      <c r="B31" s="4932" t="s">
        <v>1061</v>
      </c>
      <c r="C31" s="4933" t="s">
        <v>1047</v>
      </c>
      <c r="D31" s="4934">
        <v>0.20829999999999999</v>
      </c>
      <c r="E31" s="1804">
        <v>10</v>
      </c>
      <c r="F31" s="1796">
        <v>3.09</v>
      </c>
      <c r="G31" s="1804">
        <v>14</v>
      </c>
      <c r="H31" s="1796">
        <v>4.3499999999999996</v>
      </c>
      <c r="I31" s="1804" t="s">
        <v>1057</v>
      </c>
      <c r="J31" s="1796">
        <v>1.64</v>
      </c>
      <c r="K31" s="1804" t="s">
        <v>1071</v>
      </c>
      <c r="L31" s="1801">
        <v>2.96</v>
      </c>
      <c r="M31" s="4935">
        <f>F31+F32+F33+H31+H32+H33+J31+L31+L32+J32+J33</f>
        <v>39.99</v>
      </c>
      <c r="N31" s="4929">
        <v>1</v>
      </c>
      <c r="O31" s="4825">
        <f>ROUND((M31/D31)*N31,9)</f>
        <v>191.982717235</v>
      </c>
      <c r="P31" s="2326"/>
      <c r="Q31" s="2327"/>
      <c r="R31" s="1709"/>
      <c r="S31" s="1709"/>
      <c r="T31" s="1709"/>
      <c r="U31" s="1709"/>
      <c r="V31" s="1754"/>
      <c r="W31" s="1754"/>
      <c r="Y31" s="3018">
        <f>Y30*Z30</f>
        <v>33056004</v>
      </c>
    </row>
    <row r="32" spans="1:30" ht="33.75" customHeight="1">
      <c r="A32" s="4931"/>
      <c r="B32" s="4932"/>
      <c r="C32" s="4933"/>
      <c r="D32" s="4934"/>
      <c r="E32" s="1804">
        <v>11</v>
      </c>
      <c r="F32" s="1796">
        <v>1.08</v>
      </c>
      <c r="G32" s="1804" t="s">
        <v>1070</v>
      </c>
      <c r="H32" s="1796">
        <v>6.81</v>
      </c>
      <c r="I32" s="1804" t="s">
        <v>209</v>
      </c>
      <c r="J32" s="1796">
        <v>2.87</v>
      </c>
      <c r="K32" s="1804">
        <v>9</v>
      </c>
      <c r="L32" s="1796">
        <v>2.46</v>
      </c>
      <c r="M32" s="4935"/>
      <c r="N32" s="4929"/>
      <c r="O32" s="4845"/>
      <c r="P32" s="2326"/>
      <c r="Q32" s="2327"/>
      <c r="R32" s="2337"/>
      <c r="S32" s="2337"/>
      <c r="T32" s="2337"/>
      <c r="U32" s="2337"/>
      <c r="V32" s="1754"/>
      <c r="W32" s="1754"/>
      <c r="Y32">
        <f>120000*255</f>
        <v>30600000</v>
      </c>
    </row>
    <row r="33" spans="1:25" ht="33.75" customHeight="1">
      <c r="A33" s="4931"/>
      <c r="B33" s="4932"/>
      <c r="C33" s="4933"/>
      <c r="D33" s="4934"/>
      <c r="E33" s="1804">
        <v>8</v>
      </c>
      <c r="F33" s="1796">
        <v>1.55</v>
      </c>
      <c r="G33" s="1804">
        <v>10</v>
      </c>
      <c r="H33" s="1796">
        <v>5.78</v>
      </c>
      <c r="I33" s="2371" t="s">
        <v>1070</v>
      </c>
      <c r="J33" s="1794">
        <v>7.4</v>
      </c>
      <c r="K33" s="1795"/>
      <c r="L33" s="1796"/>
      <c r="M33" s="4935"/>
      <c r="N33" s="4929"/>
      <c r="O33" s="4826"/>
      <c r="P33" s="2326"/>
      <c r="Q33" s="2327"/>
      <c r="R33" s="2337"/>
      <c r="S33" s="2337"/>
      <c r="T33" s="2337"/>
      <c r="U33" s="2337"/>
      <c r="V33" s="1754"/>
      <c r="W33" s="1754"/>
      <c r="Y33" s="3054">
        <f>Y31-Y32</f>
        <v>2456004</v>
      </c>
    </row>
    <row r="34" spans="1:25" ht="57.75" customHeight="1">
      <c r="A34" s="1792" t="s">
        <v>1064</v>
      </c>
      <c r="B34" s="2881" t="s">
        <v>1333</v>
      </c>
      <c r="C34" s="1781" t="s">
        <v>1047</v>
      </c>
      <c r="D34" s="1814">
        <v>0.20830000000000001</v>
      </c>
      <c r="E34" s="1804">
        <v>4</v>
      </c>
      <c r="F34" s="1796">
        <f>(1957*15)/10000</f>
        <v>2.9355000000000002</v>
      </c>
      <c r="G34" s="1804"/>
      <c r="H34" s="1796"/>
      <c r="I34" s="1802"/>
      <c r="J34" s="1794"/>
      <c r="K34" s="1795"/>
      <c r="L34" s="1796"/>
      <c r="M34" s="1788">
        <f>F34</f>
        <v>2.9355000000000002</v>
      </c>
      <c r="N34" s="1789">
        <v>1</v>
      </c>
      <c r="O34" s="1782">
        <f>ROUND((M34/D34)*N34,9)</f>
        <v>14.092654825</v>
      </c>
      <c r="P34" s="2882" t="s">
        <v>1334</v>
      </c>
      <c r="Q34" s="2327"/>
      <c r="R34" s="2337"/>
      <c r="S34" s="2337"/>
      <c r="T34" s="2337"/>
      <c r="U34" s="2337"/>
      <c r="V34" s="1754"/>
      <c r="W34" s="1754"/>
    </row>
    <row r="35" spans="1:25" ht="23.25" customHeight="1">
      <c r="A35" s="1783">
        <v>3</v>
      </c>
      <c r="B35" s="1784" t="s">
        <v>928</v>
      </c>
      <c r="C35" s="1781"/>
      <c r="D35" s="1814"/>
      <c r="E35" s="1806"/>
      <c r="F35" s="1785"/>
      <c r="G35" s="1806"/>
      <c r="H35" s="1785"/>
      <c r="I35" s="1802"/>
      <c r="J35" s="1794"/>
      <c r="K35" s="1795"/>
      <c r="L35" s="1796"/>
      <c r="M35" s="1788"/>
      <c r="N35" s="1789"/>
      <c r="O35" s="1790">
        <f>+SUM(O36:O39)</f>
        <v>546.68924628000002</v>
      </c>
      <c r="P35" s="2326"/>
      <c r="Q35" s="2327"/>
      <c r="R35" s="2337"/>
      <c r="S35" s="2337"/>
      <c r="T35" s="2337"/>
      <c r="U35" s="2337"/>
      <c r="V35" s="1754"/>
      <c r="W35" s="1754"/>
    </row>
    <row r="36" spans="1:25" ht="23.25" customHeight="1">
      <c r="A36" s="1792" t="s">
        <v>889</v>
      </c>
      <c r="B36" s="1775" t="s">
        <v>204</v>
      </c>
      <c r="C36" s="1781" t="s">
        <v>957</v>
      </c>
      <c r="D36" s="1814">
        <v>1.25</v>
      </c>
      <c r="E36" s="1793"/>
      <c r="F36" s="1796"/>
      <c r="G36" s="1795"/>
      <c r="H36" s="1796"/>
      <c r="I36" s="1795"/>
      <c r="J36" s="1796"/>
      <c r="K36" s="2336"/>
      <c r="L36" s="1801"/>
      <c r="M36" s="1788">
        <v>93</v>
      </c>
      <c r="N36" s="1789">
        <v>1</v>
      </c>
      <c r="O36" s="1782">
        <f t="shared" ref="O36" si="2">ROUND((M36/D36)*N36,9)</f>
        <v>74.400000000000006</v>
      </c>
      <c r="P36" s="2326"/>
      <c r="Q36" s="2327"/>
      <c r="R36" s="2337"/>
      <c r="S36" s="2337"/>
      <c r="T36" s="2337"/>
      <c r="U36" s="2337"/>
      <c r="V36" s="1754"/>
      <c r="W36" s="1754"/>
    </row>
    <row r="37" spans="1:25" ht="36" customHeight="1">
      <c r="A37" s="1792" t="s">
        <v>968</v>
      </c>
      <c r="B37" s="1812" t="s">
        <v>1335</v>
      </c>
      <c r="C37" s="1781" t="s">
        <v>1047</v>
      </c>
      <c r="D37" s="1814">
        <v>0.20829999999999999</v>
      </c>
      <c r="E37" s="2617">
        <v>9</v>
      </c>
      <c r="F37" s="1796">
        <v>1.24</v>
      </c>
      <c r="G37" s="2617">
        <v>14</v>
      </c>
      <c r="H37" s="1796">
        <v>27.25</v>
      </c>
      <c r="I37" s="1789" t="s">
        <v>1098</v>
      </c>
      <c r="J37" s="2325">
        <v>5.45</v>
      </c>
      <c r="K37" s="1789" t="s">
        <v>1096</v>
      </c>
      <c r="L37" s="2325">
        <v>17.88</v>
      </c>
      <c r="M37" s="1788">
        <f>F37+H37+J37+L37</f>
        <v>51.819999999999993</v>
      </c>
      <c r="N37" s="1789">
        <v>1</v>
      </c>
      <c r="O37" s="1782">
        <f>ROUND((M37/D37)*N37,9)</f>
        <v>248.77580412899999</v>
      </c>
      <c r="P37" s="2334"/>
      <c r="Q37" s="2333"/>
      <c r="S37" s="2337" t="s">
        <v>1320</v>
      </c>
      <c r="T37" s="2337"/>
      <c r="U37" s="2337"/>
      <c r="V37" s="2337" t="s">
        <v>1227</v>
      </c>
      <c r="W37" s="2337"/>
      <c r="X37" s="1709"/>
      <c r="Y37" s="1709"/>
    </row>
    <row r="38" spans="1:25" ht="33.75" customHeight="1">
      <c r="A38" s="1792" t="s">
        <v>1076</v>
      </c>
      <c r="B38" s="1812" t="s">
        <v>1336</v>
      </c>
      <c r="C38" s="1781" t="s">
        <v>1047</v>
      </c>
      <c r="D38" s="1814">
        <v>0.20829999999999999</v>
      </c>
      <c r="E38" s="2617" t="s">
        <v>208</v>
      </c>
      <c r="F38" s="1796">
        <v>32.94</v>
      </c>
      <c r="G38" s="2617">
        <v>11</v>
      </c>
      <c r="H38" s="1796">
        <v>10.6</v>
      </c>
      <c r="I38" s="1810"/>
      <c r="J38" s="2325"/>
      <c r="K38" s="1810"/>
      <c r="L38" s="2325"/>
      <c r="M38" s="1788">
        <f>F38+H38</f>
        <v>43.54</v>
      </c>
      <c r="N38" s="1789">
        <v>1</v>
      </c>
      <c r="O38" s="1782">
        <f>ROUND((M38/D38)*N38,9)</f>
        <v>209.02544407100001</v>
      </c>
      <c r="P38" s="2334"/>
      <c r="Q38" s="2333"/>
      <c r="R38" s="2337" t="s">
        <v>1337</v>
      </c>
      <c r="S38" s="2337">
        <f>M24+M30+M36</f>
        <v>144</v>
      </c>
      <c r="T38" s="2337"/>
      <c r="U38" s="2337"/>
      <c r="V38" s="2951">
        <f>O37+O38+O43+O55+O54+O53</f>
        <v>995.86516699800006</v>
      </c>
      <c r="W38" s="2952">
        <f>V38*25000</f>
        <v>24896629.17495</v>
      </c>
      <c r="X38" s="1709"/>
      <c r="Y38" s="1709"/>
    </row>
    <row r="39" spans="1:25" ht="54.75" customHeight="1">
      <c r="A39" s="1792" t="s">
        <v>1078</v>
      </c>
      <c r="B39" s="2881" t="s">
        <v>1333</v>
      </c>
      <c r="C39" s="1781" t="s">
        <v>1047</v>
      </c>
      <c r="D39" s="1814">
        <v>0.20829999999999999</v>
      </c>
      <c r="E39" s="2617" t="s">
        <v>1099</v>
      </c>
      <c r="F39" s="1796">
        <f>(1467*15)/10000</f>
        <v>2.2004999999999999</v>
      </c>
      <c r="G39" s="2617" t="s">
        <v>1097</v>
      </c>
      <c r="H39" s="1796">
        <f>(544.9*15)/10000</f>
        <v>0.81735000000000002</v>
      </c>
      <c r="I39" s="1810"/>
      <c r="J39" s="2325"/>
      <c r="K39" s="1810"/>
      <c r="L39" s="2325"/>
      <c r="M39" s="1788">
        <f>F39+H39</f>
        <v>3.0178500000000001</v>
      </c>
      <c r="N39" s="1789">
        <v>1</v>
      </c>
      <c r="O39" s="1782">
        <f>ROUND((M39/D39)*N39,9)</f>
        <v>14.487998080000001</v>
      </c>
      <c r="P39" s="2882" t="s">
        <v>1334</v>
      </c>
      <c r="Q39" s="2333"/>
      <c r="R39" s="2337"/>
      <c r="S39" s="2337"/>
      <c r="T39" s="2337"/>
      <c r="U39" s="2337"/>
      <c r="V39" s="2337"/>
      <c r="W39" s="2337"/>
      <c r="X39" s="1709"/>
      <c r="Y39" s="1709"/>
    </row>
    <row r="40" spans="1:25" s="2358" customFormat="1" ht="33" customHeight="1">
      <c r="A40" s="1792"/>
      <c r="B40" s="1767" t="s">
        <v>322</v>
      </c>
      <c r="C40" s="1809"/>
      <c r="D40" s="2340"/>
      <c r="E40" s="1807"/>
      <c r="F40" s="2883"/>
      <c r="G40" s="1807"/>
      <c r="H40" s="2883"/>
      <c r="I40" s="1810"/>
      <c r="J40" s="2325"/>
      <c r="K40" s="1810"/>
      <c r="L40" s="2878"/>
      <c r="M40" s="1788"/>
      <c r="N40" s="1810"/>
      <c r="O40" s="1790">
        <f>O41</f>
        <v>458.32165146400001</v>
      </c>
      <c r="P40" s="2326"/>
      <c r="Q40" s="2327"/>
      <c r="R40" s="2884" t="s">
        <v>1338</v>
      </c>
      <c r="S40" s="2884">
        <f>M42</f>
        <v>60</v>
      </c>
      <c r="T40" s="2884"/>
      <c r="U40" s="2884"/>
      <c r="V40" s="2884"/>
      <c r="W40" s="2884"/>
      <c r="X40" s="2885"/>
      <c r="Y40" s="2885"/>
    </row>
    <row r="41" spans="1:25" ht="22.5" customHeight="1">
      <c r="A41" s="1783">
        <v>1</v>
      </c>
      <c r="B41" s="1784" t="s">
        <v>824</v>
      </c>
      <c r="C41" s="1781"/>
      <c r="D41" s="1814"/>
      <c r="E41" s="1807"/>
      <c r="F41" s="1796"/>
      <c r="G41" s="1807"/>
      <c r="H41" s="1796"/>
      <c r="I41" s="1810"/>
      <c r="J41" s="2325"/>
      <c r="K41" s="1810"/>
      <c r="L41" s="2325"/>
      <c r="M41" s="1788"/>
      <c r="N41" s="1789"/>
      <c r="O41" s="1790">
        <f>+SUM(O42:O45)</f>
        <v>458.32165146400001</v>
      </c>
      <c r="P41" s="2334"/>
      <c r="Q41" s="2333"/>
      <c r="R41" s="2337" t="s">
        <v>1339</v>
      </c>
      <c r="S41" s="2337">
        <f>M51</f>
        <v>64</v>
      </c>
      <c r="T41" s="2337"/>
      <c r="U41" s="2337"/>
      <c r="V41" s="2337"/>
      <c r="W41" s="2337"/>
      <c r="X41" s="1709"/>
      <c r="Y41" s="1709"/>
    </row>
    <row r="42" spans="1:25" ht="22.5" customHeight="1">
      <c r="A42" s="1792" t="s">
        <v>837</v>
      </c>
      <c r="B42" s="1775" t="s">
        <v>204</v>
      </c>
      <c r="C42" s="1781" t="s">
        <v>957</v>
      </c>
      <c r="D42" s="1814">
        <v>1.25</v>
      </c>
      <c r="E42" s="1807"/>
      <c r="F42" s="1796"/>
      <c r="G42" s="1807"/>
      <c r="H42" s="1796"/>
      <c r="I42" s="1810"/>
      <c r="J42" s="2325"/>
      <c r="K42" s="1810"/>
      <c r="L42" s="2325"/>
      <c r="M42" s="1788">
        <v>60</v>
      </c>
      <c r="N42" s="1789">
        <v>1</v>
      </c>
      <c r="O42" s="1782">
        <f t="shared" ref="O42" si="3">ROUND((M42/D42)*N42,9)</f>
        <v>48</v>
      </c>
      <c r="P42" s="2334"/>
      <c r="Q42" s="2333"/>
      <c r="R42" s="2337"/>
      <c r="S42" s="2337"/>
      <c r="T42" s="2337"/>
      <c r="U42" s="2337"/>
      <c r="V42" s="2337"/>
      <c r="W42" s="2337"/>
      <c r="X42" s="1709"/>
      <c r="Y42" s="1709"/>
    </row>
    <row r="43" spans="1:25" ht="22.5" customHeight="1">
      <c r="A43" s="4931" t="s">
        <v>838</v>
      </c>
      <c r="B43" s="4932" t="s">
        <v>1335</v>
      </c>
      <c r="C43" s="4933" t="s">
        <v>1047</v>
      </c>
      <c r="D43" s="4934">
        <v>0.20829999999999999</v>
      </c>
      <c r="E43" s="1804" t="s">
        <v>159</v>
      </c>
      <c r="F43" s="1796">
        <v>6.63</v>
      </c>
      <c r="G43" s="1804" t="s">
        <v>159</v>
      </c>
      <c r="H43" s="1796">
        <v>0.5</v>
      </c>
      <c r="I43" s="1804" t="s">
        <v>159</v>
      </c>
      <c r="J43" s="1796">
        <v>20.03</v>
      </c>
      <c r="K43" s="1804" t="s">
        <v>1082</v>
      </c>
      <c r="L43" s="1796">
        <v>11.11</v>
      </c>
      <c r="M43" s="4935">
        <f>F43+F44+F45+H43+H44+J43+J44+L43+L44+H45+J45</f>
        <v>85.47</v>
      </c>
      <c r="N43" s="4929">
        <v>1</v>
      </c>
      <c r="O43" s="4930">
        <f>ROUND((M43/D43)*N43,9)</f>
        <v>410.32165146400001</v>
      </c>
      <c r="P43" s="2334"/>
      <c r="Q43" s="2333"/>
      <c r="R43" s="2337"/>
      <c r="S43" s="2337"/>
      <c r="T43" s="2337"/>
      <c r="U43" s="2337"/>
      <c r="V43" s="2337"/>
      <c r="W43" s="2337"/>
      <c r="X43" s="1709"/>
      <c r="Y43" s="1709"/>
    </row>
    <row r="44" spans="1:25" ht="22.5" customHeight="1">
      <c r="A44" s="4931"/>
      <c r="B44" s="4932"/>
      <c r="C44" s="4933"/>
      <c r="D44" s="4934"/>
      <c r="E44" s="1804" t="s">
        <v>158</v>
      </c>
      <c r="F44" s="1801">
        <v>12.57</v>
      </c>
      <c r="G44" s="1804" t="s">
        <v>1083</v>
      </c>
      <c r="H44" s="1796">
        <v>3.95</v>
      </c>
      <c r="I44" s="1804">
        <v>7</v>
      </c>
      <c r="J44" s="1801">
        <v>0.95</v>
      </c>
      <c r="K44" s="1804" t="s">
        <v>206</v>
      </c>
      <c r="L44" s="1796">
        <v>8.86</v>
      </c>
      <c r="M44" s="4935"/>
      <c r="N44" s="4929"/>
      <c r="O44" s="4930"/>
      <c r="P44" s="2334"/>
      <c r="Q44" s="2333"/>
      <c r="R44" s="2561">
        <v>1.19</v>
      </c>
      <c r="S44" s="2337"/>
      <c r="T44" s="2337"/>
      <c r="U44" s="2337"/>
      <c r="V44" s="2337"/>
      <c r="W44" s="2337"/>
      <c r="X44" s="1709"/>
      <c r="Y44" s="1709"/>
    </row>
    <row r="45" spans="1:25" ht="22.5" customHeight="1">
      <c r="A45" s="4931"/>
      <c r="B45" s="4932"/>
      <c r="C45" s="4933"/>
      <c r="D45" s="4934"/>
      <c r="E45" s="1804" t="s">
        <v>1084</v>
      </c>
      <c r="F45" s="1796">
        <v>1.32</v>
      </c>
      <c r="G45" s="1804" t="s">
        <v>1073</v>
      </c>
      <c r="H45" s="1796">
        <v>15.52</v>
      </c>
      <c r="I45" s="1804">
        <v>6</v>
      </c>
      <c r="J45" s="1796">
        <v>4.03</v>
      </c>
      <c r="K45" s="1804"/>
      <c r="L45" s="1796"/>
      <c r="M45" s="4935"/>
      <c r="N45" s="4929"/>
      <c r="O45" s="4930"/>
      <c r="P45" s="2334"/>
      <c r="Q45" s="2333"/>
      <c r="R45" s="2561">
        <v>8.01</v>
      </c>
      <c r="S45" s="2337"/>
      <c r="T45" s="2337"/>
      <c r="U45" s="2337"/>
      <c r="V45" s="2337"/>
      <c r="W45" s="2337"/>
      <c r="X45" s="1709"/>
      <c r="Y45" s="1709"/>
    </row>
    <row r="46" spans="1:25" s="2358" customFormat="1" ht="22.5" customHeight="1">
      <c r="A46" s="1783"/>
      <c r="B46" s="1767" t="s">
        <v>371</v>
      </c>
      <c r="C46" s="1809"/>
      <c r="D46" s="2340"/>
      <c r="E46" s="1793"/>
      <c r="F46" s="2886"/>
      <c r="G46" s="1793"/>
      <c r="H46" s="2883"/>
      <c r="I46" s="1793"/>
      <c r="J46" s="2883"/>
      <c r="K46" s="1793"/>
      <c r="L46" s="2883"/>
      <c r="M46" s="1788"/>
      <c r="N46" s="1810"/>
      <c r="O46" s="1790">
        <f>O47</f>
        <v>343.34928571399996</v>
      </c>
      <c r="P46" s="2326"/>
      <c r="Q46" s="2327"/>
      <c r="R46" s="2887">
        <v>6.48</v>
      </c>
      <c r="S46" s="2884"/>
      <c r="T46" s="2884"/>
      <c r="U46" s="2884"/>
      <c r="V46" s="2884"/>
      <c r="W46" s="2884"/>
      <c r="X46" s="2885"/>
      <c r="Y46" s="2885"/>
    </row>
    <row r="47" spans="1:25" ht="22.5" customHeight="1">
      <c r="A47" s="1783">
        <v>1</v>
      </c>
      <c r="B47" s="1784" t="s">
        <v>824</v>
      </c>
      <c r="C47" s="1781"/>
      <c r="D47" s="1814"/>
      <c r="E47" s="1793"/>
      <c r="F47" s="1801"/>
      <c r="G47" s="1793"/>
      <c r="H47" s="1796"/>
      <c r="I47" s="1793"/>
      <c r="J47" s="1796"/>
      <c r="K47" s="1793"/>
      <c r="L47" s="1796"/>
      <c r="M47" s="1788"/>
      <c r="N47" s="1789"/>
      <c r="O47" s="1790">
        <f>O51+O48</f>
        <v>343.34928571399996</v>
      </c>
      <c r="P47" s="2334"/>
      <c r="Q47" s="2333"/>
      <c r="R47" s="2561">
        <v>13.34</v>
      </c>
      <c r="S47" s="2337"/>
      <c r="T47" s="2337"/>
      <c r="U47" s="2337"/>
      <c r="V47" s="2888">
        <f>542.5</f>
        <v>542.5</v>
      </c>
      <c r="W47" s="2337"/>
      <c r="X47" s="1709"/>
      <c r="Y47" s="1709"/>
    </row>
    <row r="48" spans="1:25" ht="24" customHeight="1">
      <c r="A48" s="4832" t="s">
        <v>837</v>
      </c>
      <c r="B48" s="4942" t="s">
        <v>1333</v>
      </c>
      <c r="C48" s="4836" t="s">
        <v>1047</v>
      </c>
      <c r="D48" s="4838">
        <v>0.21</v>
      </c>
      <c r="E48" s="1804" t="s">
        <v>1085</v>
      </c>
      <c r="F48" s="2889">
        <f>(542.5*15)/10000</f>
        <v>0.81374999999999997</v>
      </c>
      <c r="G48" s="1804" t="s">
        <v>1087</v>
      </c>
      <c r="H48" s="2889">
        <f>(2802*15)/10000</f>
        <v>4.2030000000000003</v>
      </c>
      <c r="I48" s="1804" t="s">
        <v>1089</v>
      </c>
      <c r="J48" s="2889">
        <f>((1636+932)*15)/10000</f>
        <v>3.8519999999999999</v>
      </c>
      <c r="K48" s="1804" t="s">
        <v>1086</v>
      </c>
      <c r="L48" s="2889">
        <f>((4246+400.3+437.7+387.3+410)*15)/10000</f>
        <v>8.8219499999999993</v>
      </c>
      <c r="M48" s="4945">
        <f>F48+H48+J48+L48+F49+H49+J49+F50+L49</f>
        <v>61.351349999999996</v>
      </c>
      <c r="N48" s="4842">
        <v>1</v>
      </c>
      <c r="O48" s="4936">
        <f>ROUND((M48/D48)*N48,9)</f>
        <v>292.14928571399997</v>
      </c>
      <c r="P48" s="4939" t="s">
        <v>1334</v>
      </c>
      <c r="Q48" s="2333"/>
      <c r="R48" s="2561">
        <v>1.21</v>
      </c>
      <c r="S48" s="2337"/>
      <c r="T48" s="2337"/>
      <c r="U48" s="2337"/>
      <c r="V48" s="2888">
        <f>2802</f>
        <v>2802</v>
      </c>
      <c r="W48" s="2337"/>
      <c r="X48" s="1709"/>
      <c r="Y48" s="1709"/>
    </row>
    <row r="49" spans="1:25" ht="24" customHeight="1">
      <c r="A49" s="4846"/>
      <c r="B49" s="4943"/>
      <c r="C49" s="4848"/>
      <c r="D49" s="4849"/>
      <c r="E49" s="1804" t="s">
        <v>1086</v>
      </c>
      <c r="F49" s="2889">
        <f>(456.4*15)/10000</f>
        <v>0.68459999999999999</v>
      </c>
      <c r="G49" s="1804" t="s">
        <v>1088</v>
      </c>
      <c r="H49" s="2889">
        <f>((2310+1477)*15)/10000</f>
        <v>5.6805000000000003</v>
      </c>
      <c r="I49" s="1804" t="s">
        <v>1090</v>
      </c>
      <c r="J49" s="2889">
        <f>((624.3+885.3+253.8+167.9+1352+898.5+1139)*15)/10000</f>
        <v>7.9812000000000003</v>
      </c>
      <c r="K49" s="1804" t="s">
        <v>1092</v>
      </c>
      <c r="L49" s="2889">
        <f>((1148+531.5+269.9+125.4+2132+202.9+687.5+1609+437.8+523.9+292.2+515.5+436.2+706.2+1404+379.6)*15)/10000</f>
        <v>17.102399999999999</v>
      </c>
      <c r="M49" s="4946"/>
      <c r="N49" s="4851"/>
      <c r="O49" s="4937"/>
      <c r="P49" s="4940"/>
      <c r="Q49" s="2333"/>
      <c r="R49" s="2561">
        <v>11.09</v>
      </c>
      <c r="S49" s="2337"/>
      <c r="T49" s="2337"/>
      <c r="U49" s="2337"/>
      <c r="V49" s="2888">
        <f>1636+932</f>
        <v>2568</v>
      </c>
      <c r="W49" s="2337"/>
      <c r="X49" s="1709"/>
      <c r="Y49" s="1709"/>
    </row>
    <row r="50" spans="1:25" ht="24" customHeight="1">
      <c r="A50" s="4833"/>
      <c r="B50" s="4944"/>
      <c r="C50" s="4837"/>
      <c r="D50" s="4839"/>
      <c r="E50" s="1804" t="s">
        <v>1091</v>
      </c>
      <c r="F50" s="2889">
        <f>((125+270+1550+856.5+358.5+426.1+803.2+243.2+760.7+542.3+187.8+2018)*15)/10000</f>
        <v>12.21195</v>
      </c>
      <c r="G50" s="1804"/>
      <c r="H50" s="1796"/>
      <c r="I50" s="1804"/>
      <c r="J50" s="1796"/>
      <c r="K50" s="1804"/>
      <c r="L50" s="1796"/>
      <c r="M50" s="4947"/>
      <c r="N50" s="4843"/>
      <c r="O50" s="4938"/>
      <c r="P50" s="4941"/>
      <c r="Q50" s="2333"/>
      <c r="R50" s="2561">
        <v>11.12</v>
      </c>
      <c r="S50" s="2337"/>
      <c r="T50" s="2337"/>
      <c r="U50" s="2337"/>
      <c r="V50" s="2888">
        <f>4246+400.3+437.7+387.3+410</f>
        <v>5881.3</v>
      </c>
      <c r="W50" s="2337"/>
      <c r="X50" s="1709"/>
      <c r="Y50" s="1709"/>
    </row>
    <row r="51" spans="1:25" ht="27.75" customHeight="1">
      <c r="A51" s="1792" t="s">
        <v>838</v>
      </c>
      <c r="B51" s="1775" t="s">
        <v>204</v>
      </c>
      <c r="C51" s="1781" t="s">
        <v>957</v>
      </c>
      <c r="D51" s="1814">
        <v>1.25</v>
      </c>
      <c r="E51" s="1793"/>
      <c r="F51" s="1801"/>
      <c r="G51" s="1793"/>
      <c r="H51" s="1796"/>
      <c r="I51" s="1793"/>
      <c r="J51" s="1796"/>
      <c r="K51" s="1793"/>
      <c r="L51" s="1796"/>
      <c r="M51" s="1788">
        <v>64</v>
      </c>
      <c r="N51" s="1789">
        <v>1</v>
      </c>
      <c r="O51" s="1782">
        <f>ROUND((M51/D51)*N51,9)</f>
        <v>51.2</v>
      </c>
      <c r="P51" s="2334"/>
      <c r="Q51" s="2333"/>
      <c r="R51" s="2561">
        <v>22.61</v>
      </c>
      <c r="S51" s="2337"/>
      <c r="T51" s="2337"/>
      <c r="U51" s="2337"/>
      <c r="V51" s="2888">
        <v>456.4</v>
      </c>
      <c r="W51" s="2337"/>
      <c r="X51" s="1709"/>
      <c r="Y51" s="1709"/>
    </row>
    <row r="52" spans="1:25" ht="21" customHeight="1">
      <c r="A52" s="1783" t="s">
        <v>92</v>
      </c>
      <c r="B52" s="1808" t="s">
        <v>930</v>
      </c>
      <c r="C52" s="1781"/>
      <c r="D52" s="1814"/>
      <c r="E52" s="1786"/>
      <c r="F52" s="1787"/>
      <c r="G52" s="1786"/>
      <c r="H52" s="1787"/>
      <c r="I52" s="1810"/>
      <c r="J52" s="1789"/>
      <c r="K52" s="1810"/>
      <c r="L52" s="2325"/>
      <c r="M52" s="1788"/>
      <c r="N52" s="1789"/>
      <c r="O52" s="1790">
        <f>SUM(O53:O56)</f>
        <v>2527.7422673340002</v>
      </c>
      <c r="P52" s="2326"/>
      <c r="Q52" s="2327"/>
      <c r="R52" s="2561">
        <v>0</v>
      </c>
      <c r="S52" s="2337"/>
      <c r="T52" s="2337"/>
      <c r="U52" s="2337"/>
      <c r="V52" s="2888">
        <f>2310+1477</f>
        <v>3787</v>
      </c>
      <c r="W52" s="2337"/>
      <c r="X52" s="1709"/>
      <c r="Y52" s="1709"/>
    </row>
    <row r="53" spans="1:25" ht="21.75" customHeight="1">
      <c r="A53" s="1792">
        <v>1</v>
      </c>
      <c r="B53" s="1812" t="s">
        <v>1340</v>
      </c>
      <c r="C53" s="1781" t="s">
        <v>1047</v>
      </c>
      <c r="D53" s="2605">
        <v>0.20829999999999999</v>
      </c>
      <c r="E53" s="2618">
        <v>8</v>
      </c>
      <c r="F53" s="1794">
        <v>4.6500000000000004</v>
      </c>
      <c r="G53" s="1805" t="s">
        <v>1054</v>
      </c>
      <c r="H53" s="1796">
        <v>6.51</v>
      </c>
      <c r="I53" s="1804" t="s">
        <v>159</v>
      </c>
      <c r="J53" s="1796">
        <v>1.67</v>
      </c>
      <c r="K53" s="1789" t="s">
        <v>1071</v>
      </c>
      <c r="L53" s="2325">
        <v>7.66</v>
      </c>
      <c r="M53" s="1788">
        <f>F53+H53+J53+L53</f>
        <v>20.490000000000002</v>
      </c>
      <c r="N53" s="1789">
        <v>1</v>
      </c>
      <c r="O53" s="1782">
        <f>ROUND((M53/D53)*N53,9)</f>
        <v>98.367738837999994</v>
      </c>
      <c r="P53" s="2326"/>
      <c r="Q53" s="2327"/>
      <c r="R53" s="1798">
        <v>21.02</v>
      </c>
      <c r="S53" s="1754"/>
      <c r="T53" s="1754"/>
      <c r="U53" s="1754"/>
      <c r="V53" s="2888">
        <f>624.3+885.3+253.8+167.9+1352+898.5+1139</f>
        <v>5320.8</v>
      </c>
      <c r="W53" s="1754"/>
    </row>
    <row r="54" spans="1:25" ht="21" customHeight="1">
      <c r="A54" s="1792">
        <v>2</v>
      </c>
      <c r="B54" s="1812" t="s">
        <v>1341</v>
      </c>
      <c r="C54" s="1781" t="s">
        <v>1047</v>
      </c>
      <c r="D54" s="2605">
        <v>0.20829999999999999</v>
      </c>
      <c r="E54" s="1805" t="s">
        <v>159</v>
      </c>
      <c r="F54" s="1796">
        <v>1.06</v>
      </c>
      <c r="G54" s="1795"/>
      <c r="H54" s="1796"/>
      <c r="I54" s="1793"/>
      <c r="J54" s="1796"/>
      <c r="K54" s="1810"/>
      <c r="L54" s="2325"/>
      <c r="M54" s="1788">
        <f>F54</f>
        <v>1.06</v>
      </c>
      <c r="N54" s="1789">
        <v>1</v>
      </c>
      <c r="O54" s="1782">
        <f>ROUND((M54/D54)*N54,9)</f>
        <v>5.0888142099999998</v>
      </c>
      <c r="P54" s="2326"/>
      <c r="Q54" s="2327"/>
      <c r="R54" s="2561">
        <v>0</v>
      </c>
      <c r="S54" s="2337"/>
      <c r="T54" s="2337"/>
      <c r="U54" s="2337"/>
      <c r="V54" s="2888">
        <f>1148+531.5+269.9+125.4+2132+202.9+687.5+1609+437.8+523.9+292.2+515.5+436.2+706.2+1404+379.6</f>
        <v>11401.6</v>
      </c>
      <c r="W54" s="1754"/>
    </row>
    <row r="55" spans="1:25" ht="52.5" customHeight="1">
      <c r="A55" s="1792">
        <v>3</v>
      </c>
      <c r="B55" s="2881" t="s">
        <v>1333</v>
      </c>
      <c r="C55" s="1781" t="s">
        <v>1047</v>
      </c>
      <c r="D55" s="2605">
        <v>0.21</v>
      </c>
      <c r="E55" s="1805" t="s">
        <v>160</v>
      </c>
      <c r="F55" s="1796">
        <f>(2200*15)/10000</f>
        <v>3.3</v>
      </c>
      <c r="G55" s="2890" t="s">
        <v>1217</v>
      </c>
      <c r="H55" s="1796">
        <f>(1200*15)/10000</f>
        <v>1.8</v>
      </c>
      <c r="I55" s="1793"/>
      <c r="J55" s="1796"/>
      <c r="K55" s="1810"/>
      <c r="L55" s="2325"/>
      <c r="M55" s="1788">
        <f>F55+H55</f>
        <v>5.0999999999999996</v>
      </c>
      <c r="N55" s="1789">
        <v>1</v>
      </c>
      <c r="O55" s="1782">
        <f>ROUND((M55/D55)*N55,9)</f>
        <v>24.285714286000001</v>
      </c>
      <c r="P55" s="2882" t="s">
        <v>1334</v>
      </c>
      <c r="Q55" s="2327"/>
      <c r="R55" s="2561"/>
      <c r="S55" s="2337"/>
      <c r="T55" s="2337"/>
      <c r="U55" s="2337"/>
      <c r="V55" s="2891"/>
      <c r="W55" s="1754"/>
    </row>
    <row r="56" spans="1:25" ht="56.25" customHeight="1">
      <c r="A56" s="1792">
        <v>4</v>
      </c>
      <c r="B56" s="2881" t="s">
        <v>1342</v>
      </c>
      <c r="C56" s="1781" t="s">
        <v>1343</v>
      </c>
      <c r="D56" s="2605">
        <f>1/0.48</f>
        <v>2.0833333333333335</v>
      </c>
      <c r="E56" s="1805" t="s">
        <v>160</v>
      </c>
      <c r="F56" s="2890">
        <v>3000</v>
      </c>
      <c r="G56" s="2890" t="s">
        <v>1217</v>
      </c>
      <c r="H56" s="2890">
        <v>2000</v>
      </c>
      <c r="I56" s="1793"/>
      <c r="J56" s="1796"/>
      <c r="K56" s="1810"/>
      <c r="L56" s="2325"/>
      <c r="M56" s="1789">
        <f>F56+H56</f>
        <v>5000</v>
      </c>
      <c r="N56" s="1789">
        <v>1</v>
      </c>
      <c r="O56" s="2892">
        <f>ROUND((M56/D56)*N56,9)</f>
        <v>2400</v>
      </c>
      <c r="P56" s="2882" t="s">
        <v>1334</v>
      </c>
      <c r="Q56" s="2327"/>
      <c r="R56" s="2561"/>
      <c r="S56" s="2337">
        <f>O56*25000</f>
        <v>60000000</v>
      </c>
      <c r="T56" s="2337"/>
      <c r="U56" s="2337"/>
      <c r="V56" s="2888">
        <f>125+270+1550+856.5+358.5+426.1+803.2+243.2+760.7+542.3+187.8+2018</f>
        <v>8141.3</v>
      </c>
      <c r="W56" s="1754"/>
    </row>
    <row r="57" spans="1:25" ht="21" customHeight="1">
      <c r="A57" s="1766" t="s">
        <v>53</v>
      </c>
      <c r="B57" s="1784" t="s">
        <v>825</v>
      </c>
      <c r="C57" s="1809"/>
      <c r="D57" s="2340"/>
      <c r="E57" s="1769"/>
      <c r="F57" s="1769"/>
      <c r="G57" s="1769"/>
      <c r="H57" s="1769"/>
      <c r="I57" s="1769"/>
      <c r="J57" s="1769"/>
      <c r="K57" s="1769"/>
      <c r="L57" s="1770"/>
      <c r="M57" s="1788"/>
      <c r="N57" s="1810"/>
      <c r="O57" s="1772">
        <f>O58</f>
        <v>416</v>
      </c>
      <c r="P57" s="1811"/>
      <c r="Q57" s="2319"/>
      <c r="R57" s="2337"/>
      <c r="S57" s="2337"/>
      <c r="T57" s="2337"/>
      <c r="U57" s="2337"/>
      <c r="V57" s="2891"/>
      <c r="W57" s="1754"/>
    </row>
    <row r="58" spans="1:25" ht="21" customHeight="1">
      <c r="A58" s="1792">
        <v>1</v>
      </c>
      <c r="B58" s="1812" t="s">
        <v>826</v>
      </c>
      <c r="C58" s="1781" t="s">
        <v>362</v>
      </c>
      <c r="D58" s="1814"/>
      <c r="E58" s="4827" t="s">
        <v>1218</v>
      </c>
      <c r="F58" s="4827"/>
      <c r="G58" s="4827"/>
      <c r="H58" s="4827"/>
      <c r="I58" s="4827"/>
      <c r="J58" s="4827"/>
      <c r="K58" s="4827"/>
      <c r="L58" s="1814"/>
      <c r="M58" s="1815"/>
      <c r="N58" s="1816"/>
      <c r="O58" s="1817">
        <f>4*2600000/25000</f>
        <v>416</v>
      </c>
      <c r="P58" s="1818"/>
      <c r="Q58" s="2341"/>
      <c r="R58" s="2337"/>
      <c r="S58" s="2337"/>
      <c r="T58" s="2337"/>
      <c r="U58" s="2337"/>
      <c r="V58" s="1754"/>
      <c r="W58" s="1754"/>
    </row>
    <row r="59" spans="1:25" s="2358" customFormat="1" ht="21" customHeight="1">
      <c r="A59" s="2893" t="s">
        <v>93</v>
      </c>
      <c r="B59" s="2894" t="s">
        <v>1100</v>
      </c>
      <c r="C59" s="2895"/>
      <c r="D59" s="2896"/>
      <c r="E59" s="2606"/>
      <c r="F59" s="2606"/>
      <c r="G59" s="2606"/>
      <c r="H59" s="2606"/>
      <c r="I59" s="2606"/>
      <c r="J59" s="2606"/>
      <c r="K59" s="2606"/>
      <c r="L59" s="2606"/>
      <c r="M59" s="2897"/>
      <c r="N59" s="2898"/>
      <c r="O59" s="2899">
        <f>O60</f>
        <v>20</v>
      </c>
      <c r="P59" s="2900"/>
      <c r="Q59" s="2319"/>
      <c r="R59" s="2884"/>
      <c r="S59" s="2884"/>
      <c r="T59" s="2884"/>
      <c r="U59" s="2884"/>
      <c r="V59" s="1791"/>
      <c r="W59" s="1791"/>
    </row>
    <row r="60" spans="1:25" ht="21" customHeight="1">
      <c r="A60" s="2803">
        <v>1</v>
      </c>
      <c r="B60" s="2901" t="s">
        <v>1344</v>
      </c>
      <c r="C60" s="2804" t="s">
        <v>362</v>
      </c>
      <c r="D60" s="2805"/>
      <c r="E60" s="2813"/>
      <c r="F60" s="2813"/>
      <c r="G60" s="2813"/>
      <c r="H60" s="2813"/>
      <c r="I60" s="2813"/>
      <c r="J60" s="2813"/>
      <c r="K60" s="2813"/>
      <c r="L60" s="2813"/>
      <c r="M60" s="2813"/>
      <c r="N60" s="2902"/>
      <c r="O60" s="2903">
        <v>20</v>
      </c>
      <c r="P60" s="2375"/>
      <c r="Q60" s="2341"/>
      <c r="R60" s="2337"/>
      <c r="S60" s="2337"/>
      <c r="T60" s="2337"/>
      <c r="U60" s="2337"/>
      <c r="V60" s="1754"/>
      <c r="W60" s="1754"/>
    </row>
    <row r="61" spans="1:25" ht="20.25" customHeight="1">
      <c r="A61" s="4828" t="s">
        <v>1219</v>
      </c>
      <c r="B61" s="4828"/>
      <c r="C61" s="4828"/>
      <c r="D61" s="2342"/>
      <c r="E61" s="1819"/>
      <c r="F61" s="1819"/>
      <c r="G61" s="1819"/>
      <c r="H61" s="1819"/>
      <c r="I61" s="1819"/>
      <c r="J61" s="1819"/>
      <c r="K61" s="1819"/>
      <c r="L61" s="1820"/>
      <c r="M61" s="1821"/>
      <c r="N61" s="1819"/>
      <c r="O61" s="1822">
        <f>O11+O57+O52+O59</f>
        <v>10220.402834854</v>
      </c>
      <c r="P61" s="1823"/>
      <c r="Q61" s="2320"/>
      <c r="R61" s="2337"/>
      <c r="S61" s="2337"/>
      <c r="T61" s="2337"/>
      <c r="U61" s="2337"/>
      <c r="V61" s="1754"/>
      <c r="W61" s="1754"/>
    </row>
    <row r="62" spans="1:25" ht="20.45" customHeight="1">
      <c r="A62" s="1824"/>
      <c r="B62" s="1825"/>
      <c r="C62" s="1826"/>
      <c r="D62" s="2343"/>
      <c r="E62" s="1828"/>
      <c r="F62" s="1829"/>
      <c r="G62" s="1828"/>
      <c r="H62" s="1829"/>
      <c r="I62" s="2812"/>
      <c r="J62" s="1827"/>
      <c r="K62" s="2812"/>
      <c r="L62" s="4915" t="s">
        <v>1325</v>
      </c>
      <c r="M62" s="4915"/>
      <c r="N62" s="4915"/>
      <c r="O62" s="4915"/>
      <c r="P62" s="4915"/>
      <c r="Q62" s="2344"/>
      <c r="R62" s="2337"/>
      <c r="S62" s="2337"/>
      <c r="T62" s="2337"/>
      <c r="U62" s="2337"/>
      <c r="V62" s="1754"/>
      <c r="W62" s="1754"/>
    </row>
    <row r="63" spans="1:25" ht="20.45" customHeight="1">
      <c r="A63" s="4830"/>
      <c r="B63" s="4830"/>
      <c r="C63" s="4830"/>
      <c r="D63" s="4830"/>
      <c r="E63" s="4830"/>
      <c r="F63" s="1830"/>
      <c r="G63" s="1830"/>
      <c r="H63" s="4831"/>
      <c r="I63" s="4831"/>
      <c r="J63" s="4831"/>
      <c r="K63" s="2811"/>
      <c r="L63" s="4830" t="s">
        <v>827</v>
      </c>
      <c r="M63" s="4830"/>
      <c r="N63" s="4830"/>
      <c r="O63" s="4830"/>
      <c r="P63" s="4830"/>
      <c r="Q63" s="2810"/>
      <c r="R63" s="1754"/>
      <c r="S63" s="1754"/>
      <c r="T63" s="1754"/>
      <c r="U63" s="1754"/>
      <c r="V63" s="1754"/>
      <c r="W63" s="1754"/>
    </row>
    <row r="64" spans="1:25" ht="20.45" customHeight="1">
      <c r="A64" s="1831"/>
      <c r="B64" s="1832"/>
      <c r="C64" s="1833"/>
      <c r="D64" s="2345"/>
      <c r="E64" s="1834"/>
      <c r="F64" s="1833"/>
      <c r="G64" s="1835"/>
      <c r="H64" s="1833"/>
      <c r="I64" s="2346"/>
      <c r="J64" s="2806"/>
      <c r="K64" s="2346"/>
      <c r="L64" s="2345"/>
      <c r="M64" s="1836"/>
      <c r="N64" s="1837"/>
      <c r="O64" s="4353"/>
      <c r="P64" s="4353"/>
      <c r="Q64" s="2806"/>
    </row>
    <row r="65" spans="1:17" ht="20.45" customHeight="1">
      <c r="A65" s="1831"/>
      <c r="B65" s="1832"/>
      <c r="C65" s="1832"/>
      <c r="D65" s="2347"/>
      <c r="E65" s="1838"/>
      <c r="F65" s="1839"/>
      <c r="G65" s="1748"/>
      <c r="H65" s="1839"/>
      <c r="I65" s="2315"/>
      <c r="J65" s="2348"/>
      <c r="K65" s="2349"/>
      <c r="L65" s="2350"/>
      <c r="M65" s="1840"/>
      <c r="N65" s="1839"/>
      <c r="P65" s="1831"/>
      <c r="Q65" s="1831"/>
    </row>
    <row r="66" spans="1:17" ht="20.45" customHeight="1">
      <c r="A66" s="1831"/>
      <c r="B66" s="1832"/>
      <c r="C66" s="1832"/>
      <c r="D66" s="2347"/>
      <c r="E66" s="1838"/>
      <c r="F66" s="1839"/>
      <c r="G66" s="1748"/>
      <c r="H66" s="1839"/>
      <c r="I66" s="2315"/>
      <c r="J66" s="2348"/>
      <c r="K66" s="2349"/>
      <c r="L66" s="2350"/>
      <c r="M66" s="1840"/>
      <c r="N66" s="1839"/>
      <c r="P66" s="1831"/>
      <c r="Q66" s="1831"/>
    </row>
    <row r="67" spans="1:17" ht="17.45" customHeight="1">
      <c r="Q67" s="2808"/>
    </row>
    <row r="68" spans="1:17" ht="27.75" customHeight="1">
      <c r="A68" s="4358" t="s">
        <v>828</v>
      </c>
      <c r="B68" s="4358"/>
      <c r="C68" s="4358"/>
      <c r="D68" s="4358"/>
      <c r="E68" s="4358"/>
      <c r="F68" s="4358"/>
      <c r="G68" s="4358"/>
      <c r="H68" s="4358"/>
      <c r="I68" s="4358"/>
      <c r="J68" s="4358"/>
      <c r="K68" s="4358"/>
      <c r="L68" s="4358"/>
      <c r="M68" s="4358"/>
      <c r="N68" s="4358"/>
      <c r="O68" s="4358"/>
      <c r="P68" s="4358"/>
      <c r="Q68" s="2809"/>
    </row>
    <row r="69" spans="1:17" ht="27.75" customHeight="1">
      <c r="A69" s="4343" t="s">
        <v>1221</v>
      </c>
      <c r="B69" s="4343"/>
      <c r="C69" s="4343"/>
      <c r="D69" s="4343"/>
      <c r="E69" s="4343"/>
      <c r="F69" s="4343"/>
      <c r="G69" s="4343"/>
      <c r="H69" s="4343"/>
      <c r="I69" s="4343"/>
      <c r="J69" s="4343"/>
      <c r="K69" s="4343"/>
      <c r="L69" s="4343"/>
      <c r="M69" s="4343"/>
      <c r="N69" s="4343"/>
      <c r="O69" s="4343"/>
      <c r="P69" s="4343"/>
    </row>
    <row r="70" spans="1:17" ht="27.75" customHeight="1"/>
    <row r="71" spans="1:17" ht="27.75" customHeight="1">
      <c r="N71" s="1845"/>
    </row>
    <row r="72" spans="1:17" ht="27.75" customHeight="1"/>
    <row r="73" spans="1:17" ht="27.75" customHeight="1"/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6" ht="10.5" customHeight="1"/>
    <row r="107" ht="10.5" customHeight="1"/>
    <row r="108" ht="10.5" customHeight="1"/>
    <row r="109" ht="10.5" customHeight="1"/>
    <row r="110" ht="10.5" customHeight="1"/>
    <row r="111" ht="6" customHeight="1"/>
  </sheetData>
  <mergeCells count="55">
    <mergeCell ref="O64:P64"/>
    <mergeCell ref="A68:P68"/>
    <mergeCell ref="A69:P69"/>
    <mergeCell ref="O48:O50"/>
    <mergeCell ref="P48:P50"/>
    <mergeCell ref="E58:K58"/>
    <mergeCell ref="A61:C61"/>
    <mergeCell ref="L62:P62"/>
    <mergeCell ref="A63:E63"/>
    <mergeCell ref="H63:J63"/>
    <mergeCell ref="L63:P63"/>
    <mergeCell ref="A48:A50"/>
    <mergeCell ref="B48:B50"/>
    <mergeCell ref="C48:C50"/>
    <mergeCell ref="D48:D50"/>
    <mergeCell ref="M48:M50"/>
    <mergeCell ref="A31:A33"/>
    <mergeCell ref="B31:B33"/>
    <mergeCell ref="C31:C33"/>
    <mergeCell ref="D31:D33"/>
    <mergeCell ref="M31:M33"/>
    <mergeCell ref="A43:A45"/>
    <mergeCell ref="B43:B45"/>
    <mergeCell ref="C43:C45"/>
    <mergeCell ref="D43:D45"/>
    <mergeCell ref="M43:M45"/>
    <mergeCell ref="E18:L18"/>
    <mergeCell ref="E19:L19"/>
    <mergeCell ref="E20:L20"/>
    <mergeCell ref="N48:N50"/>
    <mergeCell ref="O31:O33"/>
    <mergeCell ref="N43:N45"/>
    <mergeCell ref="O43:O45"/>
    <mergeCell ref="N31:N33"/>
    <mergeCell ref="N9:N10"/>
    <mergeCell ref="O9:O10"/>
    <mergeCell ref="P9:P10"/>
    <mergeCell ref="E16:L16"/>
    <mergeCell ref="E17:L17"/>
    <mergeCell ref="T23:V23"/>
    <mergeCell ref="W23:Y2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</mergeCells>
  <pageMargins left="0.7" right="0.7" top="0.75" bottom="0.75" header="0.3" footer="0.3"/>
  <pageSetup paperSize="9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5"/>
  <sheetViews>
    <sheetView workbookViewId="0">
      <selection activeCell="E18" sqref="E18"/>
    </sheetView>
  </sheetViews>
  <sheetFormatPr defaultColWidth="9" defaultRowHeight="15"/>
  <cols>
    <col min="1" max="1" width="6.875" style="2094" customWidth="1"/>
    <col min="2" max="2" width="20.875" style="2094" customWidth="1"/>
    <col min="3" max="4" width="19.5" style="2094" customWidth="1"/>
    <col min="5" max="5" width="17.75" style="2094" customWidth="1"/>
    <col min="6" max="6" width="29.75" style="2094" customWidth="1"/>
    <col min="7" max="7" width="7.25" style="2094" customWidth="1"/>
    <col min="8" max="8" width="11.25" style="2094" customWidth="1"/>
    <col min="9" max="9" width="11.75" style="2094" customWidth="1"/>
    <col min="10" max="11" width="6.875" style="2094" customWidth="1"/>
    <col min="12" max="13" width="6.375" style="2094" customWidth="1"/>
    <col min="14" max="14" width="5.375" style="2094" customWidth="1"/>
    <col min="15" max="15" width="5" style="2094" customWidth="1"/>
    <col min="16" max="16" width="5.25" style="2094" customWidth="1"/>
    <col min="17" max="17" width="4.25" style="2094" customWidth="1"/>
    <col min="18" max="18" width="5.25" style="2094" customWidth="1"/>
    <col min="19" max="19" width="5.75" style="2094" customWidth="1"/>
    <col min="20" max="20" width="7.125" style="2094" customWidth="1"/>
    <col min="21" max="21" width="5.25" style="2094" customWidth="1"/>
    <col min="22" max="22" width="7.125" style="2094" customWidth="1"/>
    <col min="23" max="23" width="13.125" style="2094" bestFit="1" customWidth="1"/>
    <col min="24" max="24" width="15.625" style="2094" bestFit="1" customWidth="1"/>
    <col min="25" max="25" width="11.25" style="2094" bestFit="1" customWidth="1"/>
    <col min="26" max="16384" width="9" style="2094"/>
  </cols>
  <sheetData>
    <row r="2" spans="1:25" ht="16.5">
      <c r="A2" s="4174" t="s">
        <v>165</v>
      </c>
      <c r="B2" s="4174"/>
      <c r="C2" s="4174"/>
      <c r="D2" s="4174"/>
      <c r="E2" s="4174"/>
      <c r="F2" s="4174"/>
      <c r="G2" s="2092"/>
      <c r="H2" s="2092"/>
      <c r="I2" s="2092"/>
      <c r="J2" s="2093"/>
      <c r="L2" s="2095"/>
      <c r="M2" s="2095"/>
      <c r="N2" s="2095"/>
      <c r="O2" s="2095"/>
      <c r="P2" s="2095"/>
      <c r="Q2" s="2095"/>
      <c r="R2" s="2095"/>
      <c r="S2" s="2095"/>
      <c r="T2" s="2095"/>
      <c r="U2" s="2095"/>
      <c r="V2" s="2095"/>
    </row>
    <row r="3" spans="1:25" ht="16.5">
      <c r="A3" s="4174" t="s">
        <v>55</v>
      </c>
      <c r="B3" s="4174"/>
      <c r="C3" s="4174"/>
      <c r="D3" s="4174"/>
      <c r="E3" s="4174"/>
      <c r="F3" s="4174"/>
      <c r="G3" s="2096"/>
      <c r="H3" s="2096"/>
      <c r="I3" s="2096"/>
      <c r="J3" s="2097"/>
      <c r="K3" s="2098"/>
      <c r="M3" s="2097"/>
      <c r="N3" s="2097"/>
      <c r="O3" s="2097"/>
      <c r="P3" s="2097"/>
      <c r="Q3" s="2097"/>
      <c r="R3" s="2097"/>
      <c r="S3" s="2097"/>
      <c r="T3" s="2097"/>
      <c r="U3" s="2097"/>
      <c r="V3" s="2099"/>
    </row>
    <row r="4" spans="1:25" ht="16.5">
      <c r="A4" s="4175" t="s">
        <v>992</v>
      </c>
      <c r="B4" s="4174"/>
      <c r="C4" s="4174"/>
      <c r="D4" s="4174"/>
      <c r="E4" s="4174"/>
      <c r="F4" s="4174"/>
      <c r="G4" s="2096"/>
      <c r="H4" s="2096"/>
      <c r="I4" s="2096"/>
      <c r="J4" s="2097"/>
      <c r="K4" s="2098"/>
      <c r="M4" s="2097"/>
      <c r="N4" s="2097"/>
      <c r="O4" s="2097"/>
      <c r="P4" s="2097"/>
      <c r="Q4" s="2097"/>
      <c r="R4" s="2097"/>
      <c r="S4" s="2097"/>
      <c r="T4" s="2097"/>
      <c r="U4" s="2097"/>
      <c r="V4" s="2099"/>
    </row>
    <row r="5" spans="1:25" ht="16.5">
      <c r="A5" s="2100"/>
      <c r="B5" s="2100"/>
      <c r="C5" s="2100"/>
      <c r="D5" s="2100"/>
      <c r="E5" s="2100"/>
      <c r="F5" s="2100"/>
      <c r="G5" s="2096"/>
      <c r="H5" s="2096"/>
      <c r="I5" s="2096"/>
      <c r="J5" s="2097"/>
      <c r="K5" s="2098"/>
      <c r="M5" s="2097"/>
      <c r="N5" s="2097"/>
      <c r="O5" s="2097"/>
      <c r="P5" s="2097"/>
      <c r="Q5" s="2097"/>
      <c r="R5" s="2097"/>
      <c r="S5" s="2097"/>
      <c r="T5" s="2097"/>
      <c r="U5" s="2097"/>
      <c r="V5" s="2099"/>
    </row>
    <row r="6" spans="1:25" ht="15.75">
      <c r="A6" s="2101"/>
      <c r="B6" s="2101"/>
      <c r="C6" s="2101"/>
      <c r="D6" s="2101"/>
      <c r="E6" s="2102"/>
      <c r="F6" s="2102"/>
      <c r="G6" s="2103"/>
      <c r="H6" s="2103"/>
      <c r="I6" s="2103"/>
      <c r="J6" s="2104"/>
      <c r="K6" s="2105"/>
      <c r="L6" s="2106"/>
      <c r="M6" s="2107"/>
      <c r="N6" s="2107"/>
      <c r="O6" s="2107"/>
      <c r="P6" s="2107"/>
      <c r="Q6" s="2107"/>
      <c r="R6" s="2107"/>
      <c r="S6" s="2107"/>
      <c r="T6" s="2107"/>
      <c r="U6" s="2107"/>
      <c r="V6" s="2099"/>
      <c r="W6" s="2108">
        <f>1372+388</f>
        <v>1760</v>
      </c>
      <c r="X6" s="2094">
        <f>W6*30000</f>
        <v>52800000</v>
      </c>
      <c r="Y6" s="2094" t="e">
        <f>X6+#REF!+#REF!</f>
        <v>#REF!</v>
      </c>
    </row>
    <row r="7" spans="1:25" ht="15.75">
      <c r="A7" s="2929" t="s">
        <v>574</v>
      </c>
      <c r="B7" s="2929"/>
      <c r="C7" s="2929"/>
      <c r="D7" s="2109"/>
      <c r="E7" s="2102"/>
      <c r="F7" s="2102"/>
      <c r="G7" s="2103"/>
      <c r="H7" s="2103"/>
      <c r="I7" s="2103"/>
      <c r="J7" s="2104"/>
      <c r="K7" s="2105"/>
      <c r="L7" s="2106"/>
      <c r="M7" s="2107"/>
      <c r="N7" s="2107"/>
      <c r="O7" s="2107"/>
      <c r="P7" s="2107"/>
      <c r="Q7" s="2107"/>
      <c r="R7" s="2107"/>
      <c r="S7" s="2107"/>
      <c r="T7" s="2107"/>
      <c r="U7" s="2107"/>
      <c r="V7" s="2099"/>
      <c r="W7" s="2108"/>
    </row>
    <row r="8" spans="1:25" ht="15.75">
      <c r="A8" s="4343" t="s">
        <v>541</v>
      </c>
      <c r="B8" s="4343"/>
      <c r="C8" s="4343"/>
      <c r="D8" s="2102"/>
      <c r="E8" s="2102"/>
      <c r="F8" s="2102"/>
      <c r="G8" s="2103"/>
      <c r="H8" s="2103"/>
      <c r="I8" s="2103"/>
      <c r="J8" s="2104"/>
      <c r="K8" s="2105"/>
      <c r="L8" s="2106"/>
      <c r="M8" s="2107"/>
      <c r="N8" s="2107"/>
      <c r="O8" s="2107"/>
      <c r="P8" s="2107"/>
      <c r="Q8" s="2107"/>
      <c r="R8" s="2107"/>
      <c r="S8" s="2107"/>
      <c r="T8" s="2107"/>
      <c r="U8" s="2107"/>
      <c r="V8" s="2099"/>
      <c r="W8" s="2108"/>
    </row>
    <row r="9" spans="1:25" ht="15.75">
      <c r="A9" s="1844"/>
      <c r="B9" s="1844"/>
      <c r="C9" s="1844"/>
      <c r="D9" s="2102"/>
      <c r="E9" s="2102"/>
      <c r="F9" s="2102"/>
      <c r="G9" s="2103"/>
      <c r="H9" s="2103"/>
      <c r="I9" s="2103"/>
      <c r="J9" s="2104"/>
      <c r="K9" s="2105"/>
      <c r="L9" s="2106"/>
      <c r="M9" s="2107"/>
      <c r="N9" s="2107"/>
      <c r="O9" s="2107"/>
      <c r="P9" s="2107"/>
      <c r="Q9" s="2107"/>
      <c r="R9" s="2107"/>
      <c r="S9" s="2107"/>
      <c r="T9" s="2107"/>
      <c r="U9" s="2107"/>
      <c r="V9" s="2099"/>
      <c r="W9" s="2108"/>
    </row>
    <row r="10" spans="1:25" ht="18.75">
      <c r="A10" s="4172" t="s">
        <v>1876</v>
      </c>
      <c r="B10" s="4173"/>
      <c r="C10" s="4173"/>
      <c r="D10" s="4173"/>
      <c r="E10" s="4173"/>
      <c r="F10" s="4173"/>
      <c r="G10" s="2110"/>
      <c r="H10" s="2110"/>
      <c r="I10" s="2110"/>
      <c r="J10" s="2110"/>
      <c r="K10" s="2111"/>
      <c r="L10" s="2111"/>
      <c r="M10" s="2111"/>
      <c r="N10" s="2111"/>
      <c r="O10" s="2111"/>
      <c r="P10" s="2111"/>
      <c r="Q10" s="2111"/>
      <c r="R10" s="2111"/>
      <c r="S10" s="2111"/>
      <c r="T10" s="2111"/>
      <c r="U10" s="2111"/>
      <c r="V10" s="2111"/>
    </row>
    <row r="11" spans="1:25" ht="15.75">
      <c r="A11" s="2112"/>
      <c r="B11" s="2113"/>
      <c r="C11" s="2112"/>
      <c r="D11" s="2112"/>
      <c r="E11" s="2113"/>
      <c r="F11" s="2113"/>
      <c r="G11" s="2114"/>
      <c r="H11" s="2115"/>
      <c r="I11" s="2116"/>
    </row>
    <row r="12" spans="1:25" ht="15" customHeight="1">
      <c r="A12" s="4417" t="s">
        <v>1</v>
      </c>
      <c r="B12" s="4417" t="s">
        <v>318</v>
      </c>
      <c r="C12" s="4417" t="s">
        <v>5</v>
      </c>
      <c r="D12" s="4417" t="s">
        <v>24</v>
      </c>
      <c r="E12" s="4417" t="s">
        <v>9</v>
      </c>
      <c r="F12" s="4417" t="s">
        <v>634</v>
      </c>
      <c r="G12" s="2117"/>
      <c r="H12" s="2118"/>
      <c r="I12" s="2119"/>
    </row>
    <row r="13" spans="1:25">
      <c r="A13" s="4417"/>
      <c r="B13" s="4417"/>
      <c r="C13" s="4417"/>
      <c r="D13" s="4417"/>
      <c r="E13" s="4417"/>
      <c r="F13" s="4417"/>
      <c r="G13" s="2120"/>
      <c r="H13" s="2118"/>
      <c r="I13" s="2119"/>
    </row>
    <row r="14" spans="1:25" ht="19.5" customHeight="1">
      <c r="A14" s="2121">
        <v>1</v>
      </c>
      <c r="B14" s="2121" t="s">
        <v>638</v>
      </c>
      <c r="C14" s="2122" t="s">
        <v>1164</v>
      </c>
      <c r="D14" s="2930">
        <v>500000</v>
      </c>
      <c r="E14" s="2121"/>
      <c r="F14" s="2121"/>
      <c r="G14" s="2120"/>
      <c r="H14" s="2123"/>
      <c r="I14" s="2124"/>
    </row>
    <row r="15" spans="1:25" ht="19.5" customHeight="1">
      <c r="A15" s="4417" t="s">
        <v>184</v>
      </c>
      <c r="B15" s="4417"/>
      <c r="C15" s="2125"/>
      <c r="D15" s="2931">
        <f>SUM(D14:D14)</f>
        <v>500000</v>
      </c>
      <c r="E15" s="2126"/>
      <c r="F15" s="2121"/>
      <c r="G15" s="2120"/>
      <c r="H15" s="2127"/>
      <c r="I15" s="2124"/>
    </row>
    <row r="16" spans="1:25" ht="19.5" customHeight="1">
      <c r="A16" s="4948" t="s">
        <v>1351</v>
      </c>
      <c r="B16" s="4949"/>
      <c r="C16" s="4949"/>
      <c r="D16" s="4949"/>
      <c r="E16" s="4949"/>
      <c r="F16" s="4949"/>
    </row>
    <row r="17" spans="1:11">
      <c r="E17" s="4951" t="s">
        <v>1916</v>
      </c>
      <c r="F17" s="4951"/>
      <c r="G17" s="2128"/>
      <c r="H17" s="2128"/>
      <c r="I17" s="2128"/>
      <c r="J17" s="2128"/>
      <c r="K17" s="2128"/>
    </row>
    <row r="18" spans="1:11" ht="15.75">
      <c r="A18" s="2129"/>
      <c r="B18" s="2130" t="s">
        <v>1165</v>
      </c>
      <c r="D18" s="2130" t="s">
        <v>1166</v>
      </c>
      <c r="E18" s="2131"/>
      <c r="F18" s="2130" t="s">
        <v>615</v>
      </c>
    </row>
    <row r="24" spans="1:11">
      <c r="D24" s="4950" t="s">
        <v>1167</v>
      </c>
      <c r="E24" s="4950"/>
      <c r="F24" s="2132"/>
    </row>
    <row r="25" spans="1:11">
      <c r="C25" s="2094" t="s">
        <v>725</v>
      </c>
    </row>
  </sheetData>
  <mergeCells count="15">
    <mergeCell ref="A2:F2"/>
    <mergeCell ref="A3:F3"/>
    <mergeCell ref="A4:F4"/>
    <mergeCell ref="A8:C8"/>
    <mergeCell ref="A10:F10"/>
    <mergeCell ref="F12:F13"/>
    <mergeCell ref="A15:B15"/>
    <mergeCell ref="A16:F16"/>
    <mergeCell ref="D24:E24"/>
    <mergeCell ref="A12:A13"/>
    <mergeCell ref="B12:B13"/>
    <mergeCell ref="C12:C13"/>
    <mergeCell ref="D12:D13"/>
    <mergeCell ref="E12:E13"/>
    <mergeCell ref="E17:F17"/>
  </mergeCells>
  <pageMargins left="0.95" right="0.95" top="0.45" bottom="0.75" header="0.3" footer="0.3"/>
  <pageSetup paperSize="9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3"/>
  <sheetViews>
    <sheetView workbookViewId="0">
      <selection activeCell="G14" sqref="G14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6.8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1736" t="s">
        <v>1896</v>
      </c>
      <c r="B3" s="1736"/>
      <c r="C3" s="1736"/>
      <c r="D3" s="1736"/>
      <c r="E3" s="1736"/>
      <c r="F3" s="1736"/>
      <c r="G3" s="1736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3909"/>
      <c r="E4" s="3909"/>
      <c r="F4" s="3909"/>
      <c r="G4" s="3909"/>
    </row>
    <row r="5" spans="1:12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  <c r="K5" s="4953"/>
      <c r="L5" s="4953"/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1898</v>
      </c>
      <c r="C8" s="1713"/>
      <c r="D8" s="3904"/>
      <c r="E8" s="1712"/>
      <c r="G8" s="1712"/>
      <c r="H8" s="2286" t="s">
        <v>1016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42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7.2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1899</v>
      </c>
      <c r="L13" s="1724"/>
    </row>
    <row r="14" spans="1:12" ht="38.25">
      <c r="A14" s="3902">
        <v>1</v>
      </c>
      <c r="B14" s="3910" t="str">
        <f>'[22]Chấm công công nhân'!L49</f>
        <v>Thảo Đa Văn</v>
      </c>
      <c r="C14" s="3911" t="s">
        <v>1900</v>
      </c>
      <c r="D14" s="3912" t="s">
        <v>1901</v>
      </c>
      <c r="E14" s="3913" t="s">
        <v>957</v>
      </c>
      <c r="F14" s="3913">
        <v>4</v>
      </c>
      <c r="G14" s="3914">
        <f t="shared" ref="G14" si="0">1/6</f>
        <v>0.16666666666666666</v>
      </c>
      <c r="H14" s="3915">
        <f t="shared" ref="H14" si="1">F14/G14</f>
        <v>24</v>
      </c>
      <c r="I14" s="3916">
        <v>25000</v>
      </c>
      <c r="J14" s="3913"/>
      <c r="K14" s="3917">
        <f t="shared" ref="K14" si="2">I14*H14</f>
        <v>600000</v>
      </c>
      <c r="L14" s="3918"/>
    </row>
    <row r="15" spans="1:12">
      <c r="A15" s="4955" t="s">
        <v>21</v>
      </c>
      <c r="B15" s="4955"/>
      <c r="C15" s="4955"/>
      <c r="D15" s="4955"/>
      <c r="E15" s="1724"/>
      <c r="F15" s="3903">
        <f>SUM(F14:F14)</f>
        <v>4</v>
      </c>
      <c r="G15" s="3903"/>
      <c r="H15" s="2288">
        <f>SUM(H14:H14)</f>
        <v>24</v>
      </c>
      <c r="I15" s="3903"/>
      <c r="J15" s="3903" t="e">
        <f>SUM(#REF!)</f>
        <v>#REF!</v>
      </c>
      <c r="K15" s="2504">
        <f>K14</f>
        <v>600000</v>
      </c>
      <c r="L15" s="3903"/>
    </row>
    <row r="16" spans="1:12" ht="15.75">
      <c r="A16" s="1731" t="s">
        <v>1028</v>
      </c>
      <c r="B16" s="1732"/>
    </row>
    <row r="17" spans="1:10" ht="15.75">
      <c r="A17" s="1733" t="s">
        <v>1029</v>
      </c>
      <c r="B17" s="1734"/>
    </row>
    <row r="18" spans="1:10" ht="15.75">
      <c r="A18" s="1733" t="s">
        <v>1030</v>
      </c>
      <c r="B18" s="1734"/>
    </row>
    <row r="19" spans="1:10" ht="15.75">
      <c r="B19" s="3950" t="s">
        <v>162</v>
      </c>
      <c r="C19" s="3950"/>
      <c r="D19" s="1735"/>
      <c r="E19" s="1735"/>
      <c r="F19" s="1736" t="s">
        <v>1031</v>
      </c>
      <c r="I19" s="1736"/>
      <c r="J19" s="1736"/>
    </row>
    <row r="23" spans="1:10">
      <c r="B23" s="4952"/>
      <c r="C23" s="4952"/>
    </row>
  </sheetData>
  <mergeCells count="8">
    <mergeCell ref="B19:C19"/>
    <mergeCell ref="B23:C23"/>
    <mergeCell ref="A1:L1"/>
    <mergeCell ref="A2:L2"/>
    <mergeCell ref="A4:C4"/>
    <mergeCell ref="A5:L5"/>
    <mergeCell ref="B6:L6"/>
    <mergeCell ref="A15:D15"/>
  </mergeCells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12" workbookViewId="0">
      <selection activeCell="K52" sqref="K52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1711" t="s">
        <v>1014</v>
      </c>
    </row>
    <row r="6" spans="1:12">
      <c r="A6" s="1712"/>
      <c r="B6" s="4954" t="s">
        <v>1311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2282"/>
      <c r="E7" s="2282"/>
      <c r="G7" s="1712"/>
      <c r="H7" s="2285"/>
      <c r="I7" s="1712"/>
      <c r="J7" s="1712"/>
      <c r="K7" s="2500"/>
      <c r="L7" s="1712"/>
    </row>
    <row r="8" spans="1:12">
      <c r="A8" s="1712"/>
      <c r="B8" s="1713" t="s">
        <v>1268</v>
      </c>
      <c r="C8" s="1713"/>
      <c r="D8" s="2282"/>
      <c r="E8" s="1712"/>
      <c r="G8" s="1712"/>
      <c r="H8" s="2286" t="s">
        <v>1016</v>
      </c>
      <c r="I8" s="2282"/>
      <c r="J8" s="2282"/>
      <c r="K8" s="2500"/>
      <c r="L8" s="1712"/>
    </row>
    <row r="9" spans="1:12">
      <c r="A9" s="1712"/>
      <c r="B9" s="1713" t="s">
        <v>1032</v>
      </c>
      <c r="C9" s="1713"/>
      <c r="D9" s="2282"/>
      <c r="E9" s="1712"/>
      <c r="G9" s="1712"/>
      <c r="H9" s="2286" t="s">
        <v>1017</v>
      </c>
      <c r="I9" s="2282"/>
      <c r="J9" s="2282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2502" t="s">
        <v>1026</v>
      </c>
      <c r="L13" s="1724"/>
    </row>
    <row r="14" spans="1:12" ht="12" customHeight="1">
      <c r="A14" s="1725">
        <v>1</v>
      </c>
      <c r="B14" s="2464" t="str">
        <f>'Chấm công công nhân'!L13</f>
        <v>Vắt Đi</v>
      </c>
      <c r="C14" s="2465" t="s">
        <v>1900</v>
      </c>
      <c r="D14" s="4956" t="s">
        <v>1905</v>
      </c>
      <c r="E14" s="2466" t="s">
        <v>1027</v>
      </c>
      <c r="F14" s="2467">
        <v>1</v>
      </c>
      <c r="G14" s="2468">
        <f>1/6</f>
        <v>0.16666666666666666</v>
      </c>
      <c r="H14" s="2469">
        <f>F14/G14</f>
        <v>6</v>
      </c>
      <c r="I14" s="2470">
        <v>25000</v>
      </c>
      <c r="J14" s="2466"/>
      <c r="K14" s="2503">
        <f>I14*H14</f>
        <v>150000</v>
      </c>
      <c r="L14" s="1724"/>
    </row>
    <row r="15" spans="1:12" ht="12" customHeight="1">
      <c r="A15" s="1725">
        <v>2</v>
      </c>
      <c r="B15" s="2464" t="str">
        <f>'Chấm công công nhân'!L14</f>
        <v>Mẹ Leo</v>
      </c>
      <c r="C15" s="2465" t="s">
        <v>1900</v>
      </c>
      <c r="D15" s="4957"/>
      <c r="E15" s="2466" t="s">
        <v>1027</v>
      </c>
      <c r="F15" s="2466">
        <v>1</v>
      </c>
      <c r="G15" s="2468">
        <f t="shared" ref="G15:G50" si="0">1/6</f>
        <v>0.16666666666666666</v>
      </c>
      <c r="H15" s="2469">
        <f t="shared" ref="H15:H50" si="1">F15/G15</f>
        <v>6</v>
      </c>
      <c r="I15" s="2470">
        <v>25000</v>
      </c>
      <c r="J15" s="2463"/>
      <c r="K15" s="2503">
        <f t="shared" ref="K15:K49" si="2">I15*H15</f>
        <v>150000</v>
      </c>
      <c r="L15" s="1724"/>
    </row>
    <row r="16" spans="1:12" ht="12" customHeight="1">
      <c r="A16" s="1725">
        <v>3</v>
      </c>
      <c r="B16" s="2464" t="str">
        <f>'Chấm công công nhân'!L15</f>
        <v xml:space="preserve">Thảo Ken </v>
      </c>
      <c r="C16" s="2465" t="s">
        <v>1900</v>
      </c>
      <c r="D16" s="4957"/>
      <c r="E16" s="2466" t="s">
        <v>1027</v>
      </c>
      <c r="F16" s="2466">
        <v>1</v>
      </c>
      <c r="G16" s="2468">
        <f t="shared" si="0"/>
        <v>0.16666666666666666</v>
      </c>
      <c r="H16" s="2469">
        <f t="shared" si="1"/>
        <v>6</v>
      </c>
      <c r="I16" s="2470">
        <v>25000</v>
      </c>
      <c r="J16" s="2463"/>
      <c r="K16" s="2503">
        <f t="shared" si="2"/>
        <v>150000</v>
      </c>
      <c r="L16" s="1724"/>
    </row>
    <row r="17" spans="1:12" ht="12" customHeight="1">
      <c r="A17" s="1725">
        <v>4</v>
      </c>
      <c r="B17" s="2464" t="str">
        <f>'Chấm công công nhân'!L16</f>
        <v>Thảo Phút</v>
      </c>
      <c r="C17" s="2465" t="s">
        <v>1900</v>
      </c>
      <c r="D17" s="4957"/>
      <c r="E17" s="2466" t="s">
        <v>1027</v>
      </c>
      <c r="F17" s="2466">
        <v>1</v>
      </c>
      <c r="G17" s="2468">
        <f t="shared" si="0"/>
        <v>0.16666666666666666</v>
      </c>
      <c r="H17" s="2469">
        <f t="shared" si="1"/>
        <v>6</v>
      </c>
      <c r="I17" s="2470">
        <v>25000</v>
      </c>
      <c r="J17" s="2463"/>
      <c r="K17" s="2503">
        <f t="shared" si="2"/>
        <v>150000</v>
      </c>
      <c r="L17" s="1724"/>
    </row>
    <row r="18" spans="1:12" ht="12" customHeight="1">
      <c r="A18" s="1725">
        <v>5</v>
      </c>
      <c r="B18" s="2464" t="str">
        <f>'Chấm công công nhân'!L17</f>
        <v>Thảo Mằn</v>
      </c>
      <c r="C18" s="2465" t="s">
        <v>1900</v>
      </c>
      <c r="D18" s="4957"/>
      <c r="E18" s="2466" t="s">
        <v>1027</v>
      </c>
      <c r="F18" s="2466">
        <v>1</v>
      </c>
      <c r="G18" s="2468">
        <f t="shared" si="0"/>
        <v>0.16666666666666666</v>
      </c>
      <c r="H18" s="2469">
        <f t="shared" si="1"/>
        <v>6</v>
      </c>
      <c r="I18" s="2470">
        <v>25000</v>
      </c>
      <c r="J18" s="2466"/>
      <c r="K18" s="2503">
        <f t="shared" si="2"/>
        <v>150000</v>
      </c>
      <c r="L18" s="1724"/>
    </row>
    <row r="19" spans="1:12" ht="12" customHeight="1">
      <c r="A19" s="1725">
        <v>6</v>
      </c>
      <c r="B19" s="2464" t="str">
        <f>'Chấm công công nhân'!L18</f>
        <v>Nàng Chay</v>
      </c>
      <c r="C19" s="2465" t="s">
        <v>1900</v>
      </c>
      <c r="D19" s="4957"/>
      <c r="E19" s="2466" t="s">
        <v>1027</v>
      </c>
      <c r="F19" s="2466">
        <v>2</v>
      </c>
      <c r="G19" s="2468">
        <f t="shared" si="0"/>
        <v>0.16666666666666666</v>
      </c>
      <c r="H19" s="2469">
        <f t="shared" si="1"/>
        <v>12</v>
      </c>
      <c r="I19" s="2470">
        <v>25000</v>
      </c>
      <c r="J19" s="2466"/>
      <c r="K19" s="2503">
        <f t="shared" si="2"/>
        <v>300000</v>
      </c>
      <c r="L19" s="1724"/>
    </row>
    <row r="20" spans="1:12" ht="12" customHeight="1">
      <c r="A20" s="1725">
        <v>7</v>
      </c>
      <c r="B20" s="2464" t="str">
        <f>'Chấm công công nhân'!L19</f>
        <v>Thảo Sắp</v>
      </c>
      <c r="C20" s="2465" t="s">
        <v>1900</v>
      </c>
      <c r="D20" s="4957"/>
      <c r="E20" s="2466" t="s">
        <v>1027</v>
      </c>
      <c r="F20" s="2466">
        <v>2</v>
      </c>
      <c r="G20" s="2468">
        <f t="shared" si="0"/>
        <v>0.16666666666666666</v>
      </c>
      <c r="H20" s="2469">
        <f t="shared" si="1"/>
        <v>12</v>
      </c>
      <c r="I20" s="2470">
        <v>25000</v>
      </c>
      <c r="J20" s="2463"/>
      <c r="K20" s="2503">
        <f t="shared" si="2"/>
        <v>300000</v>
      </c>
      <c r="L20" s="1724"/>
    </row>
    <row r="21" spans="1:12" ht="12" customHeight="1">
      <c r="A21" s="1725">
        <v>8</v>
      </c>
      <c r="B21" s="2464" t="str">
        <f>'Chấm công công nhân'!L20</f>
        <v>Thảo Say</v>
      </c>
      <c r="C21" s="2465" t="s">
        <v>1900</v>
      </c>
      <c r="D21" s="4957"/>
      <c r="E21" s="2466" t="s">
        <v>1027</v>
      </c>
      <c r="F21" s="2466">
        <v>2</v>
      </c>
      <c r="G21" s="2468">
        <f t="shared" si="0"/>
        <v>0.16666666666666666</v>
      </c>
      <c r="H21" s="2469">
        <f t="shared" si="1"/>
        <v>12</v>
      </c>
      <c r="I21" s="2470">
        <v>25000</v>
      </c>
      <c r="J21" s="2463"/>
      <c r="K21" s="2503">
        <f t="shared" si="2"/>
        <v>300000</v>
      </c>
      <c r="L21" s="1724"/>
    </row>
    <row r="22" spans="1:12" ht="12" customHeight="1">
      <c r="A22" s="1725">
        <v>9</v>
      </c>
      <c r="B22" s="2464" t="str">
        <f>'Chấm công công nhân'!L21</f>
        <v>Thảo Cợt</v>
      </c>
      <c r="C22" s="2465" t="s">
        <v>1900</v>
      </c>
      <c r="D22" s="4957"/>
      <c r="E22" s="2466" t="s">
        <v>1027</v>
      </c>
      <c r="F22" s="2466">
        <v>2</v>
      </c>
      <c r="G22" s="2468">
        <f t="shared" si="0"/>
        <v>0.16666666666666666</v>
      </c>
      <c r="H22" s="2469">
        <f t="shared" si="1"/>
        <v>12</v>
      </c>
      <c r="I22" s="2470">
        <v>25000</v>
      </c>
      <c r="J22" s="2463"/>
      <c r="K22" s="2503">
        <f t="shared" si="2"/>
        <v>300000</v>
      </c>
      <c r="L22" s="1724"/>
    </row>
    <row r="23" spans="1:12" ht="12" customHeight="1">
      <c r="A23" s="1725">
        <v>10</v>
      </c>
      <c r="B23" s="2464" t="str">
        <f>'Chấm công công nhân'!L22</f>
        <v>Thảo Hôm</v>
      </c>
      <c r="C23" s="2465" t="s">
        <v>1900</v>
      </c>
      <c r="D23" s="4957"/>
      <c r="E23" s="2466" t="s">
        <v>1027</v>
      </c>
      <c r="F23" s="2466">
        <v>2</v>
      </c>
      <c r="G23" s="2468">
        <f t="shared" si="0"/>
        <v>0.16666666666666666</v>
      </c>
      <c r="H23" s="2469">
        <f t="shared" si="1"/>
        <v>12</v>
      </c>
      <c r="I23" s="2470">
        <v>25000</v>
      </c>
      <c r="J23" s="2466"/>
      <c r="K23" s="2503">
        <f t="shared" si="2"/>
        <v>300000</v>
      </c>
      <c r="L23" s="1724"/>
    </row>
    <row r="24" spans="1:12" ht="12" customHeight="1">
      <c r="A24" s="1725">
        <v>11</v>
      </c>
      <c r="B24" s="2464" t="str">
        <f>'Chấm công công nhân'!L23</f>
        <v xml:space="preserve">Thảo Khăm  </v>
      </c>
      <c r="C24" s="2465" t="s">
        <v>1900</v>
      </c>
      <c r="D24" s="4957"/>
      <c r="E24" s="2466" t="s">
        <v>1027</v>
      </c>
      <c r="F24" s="2466"/>
      <c r="G24" s="2468">
        <f t="shared" si="0"/>
        <v>0.16666666666666666</v>
      </c>
      <c r="H24" s="2469">
        <f t="shared" si="1"/>
        <v>0</v>
      </c>
      <c r="I24" s="2470">
        <v>25000</v>
      </c>
      <c r="J24" s="2466"/>
      <c r="K24" s="2503">
        <f t="shared" si="2"/>
        <v>0</v>
      </c>
      <c r="L24" s="1724"/>
    </row>
    <row r="25" spans="1:12" ht="12" customHeight="1">
      <c r="A25" s="1725">
        <v>12</v>
      </c>
      <c r="B25" s="2464" t="str">
        <f>'Chấm công công nhân'!L24</f>
        <v>Thảo Hăm</v>
      </c>
      <c r="C25" s="2465" t="s">
        <v>1900</v>
      </c>
      <c r="D25" s="4957"/>
      <c r="E25" s="2466" t="s">
        <v>1027</v>
      </c>
      <c r="F25" s="2466"/>
      <c r="G25" s="2468">
        <f t="shared" si="0"/>
        <v>0.16666666666666666</v>
      </c>
      <c r="H25" s="2469">
        <f t="shared" si="1"/>
        <v>0</v>
      </c>
      <c r="I25" s="2470">
        <v>25000</v>
      </c>
      <c r="J25" s="2463"/>
      <c r="K25" s="2503">
        <f t="shared" si="2"/>
        <v>0</v>
      </c>
      <c r="L25" s="1724"/>
    </row>
    <row r="26" spans="1:12" ht="12" customHeight="1">
      <c r="A26" s="1725">
        <v>13</v>
      </c>
      <c r="B26" s="2464" t="str">
        <f>'Chấm công công nhân'!L25</f>
        <v>Nang Lon</v>
      </c>
      <c r="C26" s="2465" t="s">
        <v>1900</v>
      </c>
      <c r="D26" s="4957"/>
      <c r="E26" s="2466" t="s">
        <v>1027</v>
      </c>
      <c r="F26" s="2466"/>
      <c r="G26" s="2468">
        <f t="shared" si="0"/>
        <v>0.16666666666666666</v>
      </c>
      <c r="H26" s="2469">
        <f t="shared" si="1"/>
        <v>0</v>
      </c>
      <c r="I26" s="2470">
        <v>25000</v>
      </c>
      <c r="J26" s="2463"/>
      <c r="K26" s="2503">
        <f t="shared" si="2"/>
        <v>0</v>
      </c>
      <c r="L26" s="1724"/>
    </row>
    <row r="27" spans="1:12" ht="12" customHeight="1">
      <c r="A27" s="1725">
        <v>14</v>
      </c>
      <c r="B27" s="2464" t="str">
        <f>'Chấm công công nhân'!L26</f>
        <v>Thảo Pheng</v>
      </c>
      <c r="C27" s="2465" t="s">
        <v>1900</v>
      </c>
      <c r="D27" s="4957"/>
      <c r="E27" s="2466" t="s">
        <v>1027</v>
      </c>
      <c r="F27" s="2466"/>
      <c r="G27" s="2468">
        <f t="shared" si="0"/>
        <v>0.16666666666666666</v>
      </c>
      <c r="H27" s="2469">
        <f t="shared" si="1"/>
        <v>0</v>
      </c>
      <c r="I27" s="2470">
        <v>25000</v>
      </c>
      <c r="J27" s="2463"/>
      <c r="K27" s="2503">
        <f t="shared" si="2"/>
        <v>0</v>
      </c>
      <c r="L27" s="1724"/>
    </row>
    <row r="28" spans="1:12" ht="12" customHeight="1">
      <c r="A28" s="1725">
        <v>15</v>
      </c>
      <c r="B28" s="2464" t="str">
        <f>'Chấm công công nhân'!L27</f>
        <v>Thảo kok</v>
      </c>
      <c r="C28" s="2465" t="s">
        <v>1900</v>
      </c>
      <c r="D28" s="4957"/>
      <c r="E28" s="2466" t="s">
        <v>1027</v>
      </c>
      <c r="F28" s="2466"/>
      <c r="G28" s="2468">
        <f t="shared" si="0"/>
        <v>0.16666666666666666</v>
      </c>
      <c r="H28" s="2469">
        <f t="shared" si="1"/>
        <v>0</v>
      </c>
      <c r="I28" s="2470">
        <v>25000</v>
      </c>
      <c r="J28" s="2466"/>
      <c r="K28" s="2503">
        <f t="shared" si="2"/>
        <v>0</v>
      </c>
      <c r="L28" s="1724"/>
    </row>
    <row r="29" spans="1:12" ht="12" customHeight="1">
      <c r="A29" s="1725">
        <v>16</v>
      </c>
      <c r="B29" s="2464" t="str">
        <f>'Chấm công công nhân'!L28</f>
        <v>Nàng Sút Chay</v>
      </c>
      <c r="C29" s="2465" t="s">
        <v>1900</v>
      </c>
      <c r="D29" s="4957"/>
      <c r="E29" s="2466" t="s">
        <v>1027</v>
      </c>
      <c r="F29" s="2467"/>
      <c r="G29" s="2468">
        <f t="shared" si="0"/>
        <v>0.16666666666666666</v>
      </c>
      <c r="H29" s="2469">
        <f t="shared" si="1"/>
        <v>0</v>
      </c>
      <c r="I29" s="2470">
        <v>25000</v>
      </c>
      <c r="J29" s="2466"/>
      <c r="K29" s="2503">
        <f t="shared" si="2"/>
        <v>0</v>
      </c>
      <c r="L29" s="1724"/>
    </row>
    <row r="30" spans="1:12" ht="12" customHeight="1">
      <c r="A30" s="1725">
        <v>17</v>
      </c>
      <c r="B30" s="2464" t="str">
        <f>'Chấm công công nhân'!L29</f>
        <v>Thảo Khăm Phay</v>
      </c>
      <c r="C30" s="2465" t="s">
        <v>1900</v>
      </c>
      <c r="D30" s="4957"/>
      <c r="E30" s="2466" t="s">
        <v>1027</v>
      </c>
      <c r="F30" s="2466"/>
      <c r="G30" s="2468">
        <f t="shared" si="0"/>
        <v>0.16666666666666666</v>
      </c>
      <c r="H30" s="2469">
        <f t="shared" si="1"/>
        <v>0</v>
      </c>
      <c r="I30" s="2470">
        <v>25000</v>
      </c>
      <c r="J30" s="2463"/>
      <c r="K30" s="2503">
        <f t="shared" si="2"/>
        <v>0</v>
      </c>
      <c r="L30" s="1724"/>
    </row>
    <row r="31" spans="1:12" ht="12" customHeight="1">
      <c r="A31" s="1725">
        <v>18</v>
      </c>
      <c r="B31" s="2464" t="str">
        <f>'Chấm công công nhân'!L30</f>
        <v>Thảo Sớm</v>
      </c>
      <c r="C31" s="2465" t="s">
        <v>1900</v>
      </c>
      <c r="D31" s="4957"/>
      <c r="E31" s="2466" t="s">
        <v>1027</v>
      </c>
      <c r="F31" s="2466"/>
      <c r="G31" s="2468">
        <f t="shared" si="0"/>
        <v>0.16666666666666666</v>
      </c>
      <c r="H31" s="2469">
        <f t="shared" si="1"/>
        <v>0</v>
      </c>
      <c r="I31" s="2470">
        <v>25000</v>
      </c>
      <c r="J31" s="2463"/>
      <c r="K31" s="2503">
        <f t="shared" si="2"/>
        <v>0</v>
      </c>
      <c r="L31" s="1724"/>
    </row>
    <row r="32" spans="1:12" ht="12" customHeight="1">
      <c r="A32" s="1725">
        <v>19</v>
      </c>
      <c r="B32" s="2464" t="str">
        <f>'Chấm công công nhân'!L31</f>
        <v>Pha Xúc</v>
      </c>
      <c r="C32" s="2465" t="s">
        <v>1900</v>
      </c>
      <c r="D32" s="4957"/>
      <c r="E32" s="2466" t="s">
        <v>1027</v>
      </c>
      <c r="F32" s="2466"/>
      <c r="G32" s="2468">
        <f t="shared" si="0"/>
        <v>0.16666666666666666</v>
      </c>
      <c r="H32" s="2469">
        <f t="shared" si="1"/>
        <v>0</v>
      </c>
      <c r="I32" s="2470">
        <v>25000</v>
      </c>
      <c r="J32" s="2463"/>
      <c r="K32" s="2503">
        <f t="shared" si="2"/>
        <v>0</v>
      </c>
      <c r="L32" s="1724"/>
    </row>
    <row r="33" spans="1:12" ht="12" customHeight="1">
      <c r="A33" s="1725">
        <v>20</v>
      </c>
      <c r="B33" s="2464" t="str">
        <f>'Chấm công công nhân'!L32</f>
        <v>Nàng Phon</v>
      </c>
      <c r="C33" s="2465" t="s">
        <v>1900</v>
      </c>
      <c r="D33" s="4957"/>
      <c r="E33" s="2466" t="s">
        <v>1027</v>
      </c>
      <c r="F33" s="2466">
        <v>1</v>
      </c>
      <c r="G33" s="2468">
        <f t="shared" si="0"/>
        <v>0.16666666666666666</v>
      </c>
      <c r="H33" s="2469">
        <f t="shared" si="1"/>
        <v>6</v>
      </c>
      <c r="I33" s="2470">
        <v>25000</v>
      </c>
      <c r="J33" s="2466"/>
      <c r="K33" s="2503">
        <f t="shared" si="2"/>
        <v>150000</v>
      </c>
      <c r="L33" s="1724"/>
    </row>
    <row r="34" spans="1:12" ht="12" customHeight="1">
      <c r="A34" s="1725">
        <v>21</v>
      </c>
      <c r="B34" s="2464" t="str">
        <f>'Chấm công công nhân'!L33</f>
        <v>Thảo Chăn</v>
      </c>
      <c r="C34" s="2465" t="s">
        <v>1900</v>
      </c>
      <c r="D34" s="4957"/>
      <c r="E34" s="2466" t="s">
        <v>1027</v>
      </c>
      <c r="F34" s="2466">
        <v>1</v>
      </c>
      <c r="G34" s="2468">
        <f t="shared" si="0"/>
        <v>0.16666666666666666</v>
      </c>
      <c r="H34" s="2469">
        <f t="shared" si="1"/>
        <v>6</v>
      </c>
      <c r="I34" s="2470">
        <v>25000</v>
      </c>
      <c r="J34" s="2466"/>
      <c r="K34" s="2503">
        <f t="shared" si="2"/>
        <v>150000</v>
      </c>
      <c r="L34" s="1724"/>
    </row>
    <row r="35" spans="1:12" ht="12" customHeight="1">
      <c r="A35" s="1725">
        <v>22</v>
      </c>
      <c r="B35" s="2464" t="str">
        <f>'Chấm công công nhân'!L34</f>
        <v>Thong La</v>
      </c>
      <c r="C35" s="2465" t="s">
        <v>1900</v>
      </c>
      <c r="D35" s="4957"/>
      <c r="E35" s="2466" t="s">
        <v>1027</v>
      </c>
      <c r="F35" s="2466">
        <v>1</v>
      </c>
      <c r="G35" s="2468">
        <f t="shared" si="0"/>
        <v>0.16666666666666666</v>
      </c>
      <c r="H35" s="2469">
        <f t="shared" si="1"/>
        <v>6</v>
      </c>
      <c r="I35" s="2470">
        <v>25000</v>
      </c>
      <c r="J35" s="2463"/>
      <c r="K35" s="2503">
        <f t="shared" si="2"/>
        <v>150000</v>
      </c>
      <c r="L35" s="1724"/>
    </row>
    <row r="36" spans="1:12" ht="12" customHeight="1">
      <c r="A36" s="1725">
        <v>23</v>
      </c>
      <c r="B36" s="2464" t="str">
        <f>'Chấm công công nhân'!L35</f>
        <v>Thảo Cum Pha</v>
      </c>
      <c r="C36" s="2465" t="s">
        <v>1900</v>
      </c>
      <c r="D36" s="4957"/>
      <c r="E36" s="2466" t="s">
        <v>1027</v>
      </c>
      <c r="F36" s="2466">
        <v>1</v>
      </c>
      <c r="G36" s="2468">
        <f t="shared" si="0"/>
        <v>0.16666666666666666</v>
      </c>
      <c r="H36" s="2469">
        <f t="shared" si="1"/>
        <v>6</v>
      </c>
      <c r="I36" s="2470">
        <v>25000</v>
      </c>
      <c r="J36" s="2463"/>
      <c r="K36" s="2503">
        <f t="shared" si="2"/>
        <v>150000</v>
      </c>
      <c r="L36" s="1724"/>
    </row>
    <row r="37" spans="1:12" ht="12" customHeight="1">
      <c r="A37" s="1725">
        <v>24</v>
      </c>
      <c r="B37" s="2464" t="str">
        <f>'Chấm công công nhân'!L36</f>
        <v>T Ô Vên</v>
      </c>
      <c r="C37" s="2465" t="s">
        <v>1900</v>
      </c>
      <c r="D37" s="4957"/>
      <c r="E37" s="2466" t="s">
        <v>1027</v>
      </c>
      <c r="F37" s="2466">
        <v>1</v>
      </c>
      <c r="G37" s="2468">
        <f t="shared" si="0"/>
        <v>0.16666666666666666</v>
      </c>
      <c r="H37" s="2469">
        <f t="shared" si="1"/>
        <v>6</v>
      </c>
      <c r="I37" s="2470">
        <v>25000</v>
      </c>
      <c r="J37" s="2463"/>
      <c r="K37" s="2503">
        <f t="shared" si="2"/>
        <v>150000</v>
      </c>
      <c r="L37" s="1724"/>
    </row>
    <row r="38" spans="1:12" ht="12" customHeight="1">
      <c r="A38" s="1725">
        <v>25</v>
      </c>
      <c r="B38" s="2464" t="str">
        <f>'Chấm công công nhân'!L37</f>
        <v>Nàng Lam</v>
      </c>
      <c r="C38" s="2465" t="s">
        <v>1900</v>
      </c>
      <c r="D38" s="4957"/>
      <c r="E38" s="2466" t="s">
        <v>1027</v>
      </c>
      <c r="F38" s="2466">
        <v>1</v>
      </c>
      <c r="G38" s="2468">
        <f t="shared" si="0"/>
        <v>0.16666666666666666</v>
      </c>
      <c r="H38" s="2469">
        <f t="shared" si="1"/>
        <v>6</v>
      </c>
      <c r="I38" s="2470">
        <v>25000</v>
      </c>
      <c r="J38" s="2466"/>
      <c r="K38" s="2503">
        <f t="shared" si="2"/>
        <v>150000</v>
      </c>
      <c r="L38" s="1724"/>
    </row>
    <row r="39" spans="1:12" ht="12" customHeight="1">
      <c r="A39" s="1725">
        <v>26</v>
      </c>
      <c r="B39" s="2464" t="str">
        <f>'Chấm công công nhân'!L38</f>
        <v>Nàng Hđao</v>
      </c>
      <c r="C39" s="2465" t="s">
        <v>1900</v>
      </c>
      <c r="D39" s="4957"/>
      <c r="E39" s="2466" t="s">
        <v>1027</v>
      </c>
      <c r="F39" s="2466">
        <v>1</v>
      </c>
      <c r="G39" s="2468">
        <f t="shared" si="0"/>
        <v>0.16666666666666666</v>
      </c>
      <c r="H39" s="2469">
        <f t="shared" si="1"/>
        <v>6</v>
      </c>
      <c r="I39" s="2470">
        <v>25000</v>
      </c>
      <c r="J39" s="2466"/>
      <c r="K39" s="2503">
        <f t="shared" si="2"/>
        <v>150000</v>
      </c>
      <c r="L39" s="1724"/>
    </row>
    <row r="40" spans="1:12" ht="12" customHeight="1">
      <c r="A40" s="1725">
        <v>27</v>
      </c>
      <c r="B40" s="2464" t="str">
        <f>'Chấm công công nhân'!L39</f>
        <v>Thảo Tong</v>
      </c>
      <c r="C40" s="2465" t="s">
        <v>1900</v>
      </c>
      <c r="D40" s="4957"/>
      <c r="E40" s="2466" t="s">
        <v>1027</v>
      </c>
      <c r="F40" s="2466"/>
      <c r="G40" s="2468">
        <f t="shared" si="0"/>
        <v>0.16666666666666666</v>
      </c>
      <c r="H40" s="2469">
        <f t="shared" si="1"/>
        <v>0</v>
      </c>
      <c r="I40" s="2470">
        <v>25000</v>
      </c>
      <c r="J40" s="2463"/>
      <c r="K40" s="2503">
        <f t="shared" si="2"/>
        <v>0</v>
      </c>
      <c r="L40" s="1724"/>
    </row>
    <row r="41" spans="1:12" ht="12" customHeight="1">
      <c r="A41" s="1725">
        <v>28</v>
      </c>
      <c r="B41" s="2464" t="str">
        <f>'Chấm công công nhân'!L40</f>
        <v>Thảo Khốc</v>
      </c>
      <c r="C41" s="2465" t="s">
        <v>1900</v>
      </c>
      <c r="D41" s="4957"/>
      <c r="E41" s="2466" t="s">
        <v>1027</v>
      </c>
      <c r="F41" s="2466"/>
      <c r="G41" s="2468">
        <f t="shared" si="0"/>
        <v>0.16666666666666666</v>
      </c>
      <c r="H41" s="2469">
        <f t="shared" si="1"/>
        <v>0</v>
      </c>
      <c r="I41" s="2470">
        <v>25000</v>
      </c>
      <c r="J41" s="2463"/>
      <c r="K41" s="2503">
        <f t="shared" si="2"/>
        <v>0</v>
      </c>
      <c r="L41" s="1724"/>
    </row>
    <row r="42" spans="1:12" ht="12" customHeight="1">
      <c r="A42" s="1725">
        <v>29</v>
      </c>
      <c r="B42" s="2464" t="str">
        <f>'Chấm công công nhân'!L41</f>
        <v>Thảo Sợt</v>
      </c>
      <c r="C42" s="2465" t="s">
        <v>1900</v>
      </c>
      <c r="D42" s="4957"/>
      <c r="E42" s="2466" t="s">
        <v>1027</v>
      </c>
      <c r="F42" s="2466"/>
      <c r="G42" s="2468">
        <f t="shared" si="0"/>
        <v>0.16666666666666666</v>
      </c>
      <c r="H42" s="2469">
        <f t="shared" si="1"/>
        <v>0</v>
      </c>
      <c r="I42" s="2470">
        <v>25000</v>
      </c>
      <c r="J42" s="2463"/>
      <c r="K42" s="2503">
        <f t="shared" si="2"/>
        <v>0</v>
      </c>
      <c r="L42" s="1724"/>
    </row>
    <row r="43" spans="1:12" ht="12" customHeight="1">
      <c r="A43" s="1725">
        <v>30</v>
      </c>
      <c r="B43" s="2464" t="str">
        <f>'Chấm công công nhân'!L42</f>
        <v>Thảo Văn</v>
      </c>
      <c r="C43" s="2465" t="s">
        <v>1900</v>
      </c>
      <c r="D43" s="4957"/>
      <c r="E43" s="2466" t="s">
        <v>1027</v>
      </c>
      <c r="F43" s="2466"/>
      <c r="G43" s="2468">
        <f t="shared" si="0"/>
        <v>0.16666666666666666</v>
      </c>
      <c r="H43" s="2469">
        <f t="shared" si="1"/>
        <v>0</v>
      </c>
      <c r="I43" s="2470">
        <v>25000</v>
      </c>
      <c r="J43" s="2466"/>
      <c r="K43" s="2503">
        <f t="shared" si="2"/>
        <v>0</v>
      </c>
      <c r="L43" s="1724"/>
    </row>
    <row r="44" spans="1:12" ht="12" customHeight="1">
      <c r="A44" s="1725">
        <v>31</v>
      </c>
      <c r="B44" s="2464" t="str">
        <f>'Chấm công công nhân'!L43</f>
        <v>Nàng Túc</v>
      </c>
      <c r="C44" s="2465" t="s">
        <v>1900</v>
      </c>
      <c r="D44" s="4957"/>
      <c r="E44" s="2466" t="s">
        <v>1027</v>
      </c>
      <c r="F44" s="2466"/>
      <c r="G44" s="2468">
        <f t="shared" si="0"/>
        <v>0.16666666666666666</v>
      </c>
      <c r="H44" s="2469">
        <f t="shared" si="1"/>
        <v>0</v>
      </c>
      <c r="I44" s="2470">
        <v>25000</v>
      </c>
      <c r="J44" s="2466"/>
      <c r="K44" s="2503">
        <f t="shared" si="2"/>
        <v>0</v>
      </c>
      <c r="L44" s="1724"/>
    </row>
    <row r="45" spans="1:12" ht="12" customHeight="1">
      <c r="A45" s="1725">
        <v>32</v>
      </c>
      <c r="B45" s="2464" t="str">
        <f>'Chấm công công nhân'!L44</f>
        <v>Nàng Chon</v>
      </c>
      <c r="C45" s="2465" t="s">
        <v>1900</v>
      </c>
      <c r="D45" s="4957"/>
      <c r="E45" s="2466" t="s">
        <v>1027</v>
      </c>
      <c r="F45" s="2466"/>
      <c r="G45" s="2468">
        <f t="shared" si="0"/>
        <v>0.16666666666666666</v>
      </c>
      <c r="H45" s="2469">
        <f t="shared" si="1"/>
        <v>0</v>
      </c>
      <c r="I45" s="2470">
        <v>25000</v>
      </c>
      <c r="J45" s="2466"/>
      <c r="K45" s="2503">
        <f t="shared" si="2"/>
        <v>0</v>
      </c>
      <c r="L45" s="1724"/>
    </row>
    <row r="46" spans="1:12" ht="12" customHeight="1">
      <c r="A46" s="1725">
        <v>33</v>
      </c>
      <c r="B46" s="2464" t="str">
        <f>'Chấm công công nhân'!L45</f>
        <v>Thảo Hơ Phơ</v>
      </c>
      <c r="C46" s="2465" t="s">
        <v>1900</v>
      </c>
      <c r="D46" s="4957"/>
      <c r="E46" s="2466" t="s">
        <v>1027</v>
      </c>
      <c r="F46" s="2466"/>
      <c r="G46" s="2468">
        <f t="shared" si="0"/>
        <v>0.16666666666666666</v>
      </c>
      <c r="H46" s="2469">
        <f t="shared" si="1"/>
        <v>0</v>
      </c>
      <c r="I46" s="2470">
        <v>25000</v>
      </c>
      <c r="J46" s="2466"/>
      <c r="K46" s="2503">
        <f t="shared" si="2"/>
        <v>0</v>
      </c>
      <c r="L46" s="1724"/>
    </row>
    <row r="47" spans="1:12" ht="12" customHeight="1">
      <c r="A47" s="1725">
        <v>34</v>
      </c>
      <c r="B47" s="2464" t="str">
        <f>'Chấm công công nhân'!L46</f>
        <v>Thảo Phét</v>
      </c>
      <c r="C47" s="2465" t="s">
        <v>1900</v>
      </c>
      <c r="D47" s="4957"/>
      <c r="E47" s="2466" t="s">
        <v>1027</v>
      </c>
      <c r="F47" s="2466"/>
      <c r="G47" s="2468">
        <f t="shared" si="0"/>
        <v>0.16666666666666666</v>
      </c>
      <c r="H47" s="2469">
        <f t="shared" si="1"/>
        <v>0</v>
      </c>
      <c r="I47" s="2470">
        <v>25000</v>
      </c>
      <c r="J47" s="2466"/>
      <c r="K47" s="2503">
        <f t="shared" si="2"/>
        <v>0</v>
      </c>
      <c r="L47" s="1724"/>
    </row>
    <row r="48" spans="1:12" ht="12" customHeight="1">
      <c r="A48" s="1725">
        <v>35</v>
      </c>
      <c r="B48" s="2464" t="str">
        <f>'Chấm công công nhân'!L47</f>
        <v>Hăn</v>
      </c>
      <c r="C48" s="2465" t="s">
        <v>1900</v>
      </c>
      <c r="D48" s="4957"/>
      <c r="E48" s="2466" t="s">
        <v>1027</v>
      </c>
      <c r="F48" s="2466"/>
      <c r="G48" s="2468">
        <f t="shared" si="0"/>
        <v>0.16666666666666666</v>
      </c>
      <c r="H48" s="2469">
        <f t="shared" si="1"/>
        <v>0</v>
      </c>
      <c r="I48" s="2470">
        <v>25000</v>
      </c>
      <c r="J48" s="2466"/>
      <c r="K48" s="2503">
        <f t="shared" si="2"/>
        <v>0</v>
      </c>
      <c r="L48" s="1724"/>
    </row>
    <row r="49" spans="1:12" ht="12" customHeight="1">
      <c r="A49" s="1725">
        <v>36</v>
      </c>
      <c r="B49" s="2464" t="str">
        <f>'Chấm công công nhân'!L48</f>
        <v>Thảo Tuỳ</v>
      </c>
      <c r="C49" s="2465" t="s">
        <v>1900</v>
      </c>
      <c r="D49" s="4957"/>
      <c r="E49" s="2466" t="s">
        <v>1027</v>
      </c>
      <c r="F49" s="2466"/>
      <c r="G49" s="2468">
        <f t="shared" si="0"/>
        <v>0.16666666666666666</v>
      </c>
      <c r="H49" s="2469">
        <f t="shared" si="1"/>
        <v>0</v>
      </c>
      <c r="I49" s="2470">
        <v>25000</v>
      </c>
      <c r="J49" s="2466"/>
      <c r="K49" s="2503">
        <f t="shared" si="2"/>
        <v>0</v>
      </c>
      <c r="L49" s="1724"/>
    </row>
    <row r="50" spans="1:12" ht="12" customHeight="1">
      <c r="A50" s="1725">
        <v>37</v>
      </c>
      <c r="B50" s="2464" t="str">
        <f>'Chấm công công nhân'!L49</f>
        <v>Thảo Đa Văn</v>
      </c>
      <c r="C50" s="2465" t="s">
        <v>1900</v>
      </c>
      <c r="D50" s="4958"/>
      <c r="E50" s="2466" t="s">
        <v>1027</v>
      </c>
      <c r="F50" s="2466"/>
      <c r="G50" s="2468">
        <f t="shared" si="0"/>
        <v>0.16666666666666666</v>
      </c>
      <c r="H50" s="2469">
        <f t="shared" si="1"/>
        <v>0</v>
      </c>
      <c r="I50" s="2470">
        <v>25000</v>
      </c>
      <c r="J50" s="2466"/>
      <c r="K50" s="2503"/>
      <c r="L50" s="1724"/>
    </row>
    <row r="51" spans="1:12">
      <c r="A51" s="4955" t="s">
        <v>21</v>
      </c>
      <c r="B51" s="4955"/>
      <c r="C51" s="4955"/>
      <c r="D51" s="4955"/>
      <c r="E51" s="1724"/>
      <c r="F51" s="2281">
        <f>SUM(F14:F50)</f>
        <v>22</v>
      </c>
      <c r="G51" s="2281"/>
      <c r="H51" s="2288">
        <f>SUM(H14:H50)</f>
        <v>132</v>
      </c>
      <c r="I51" s="2281"/>
      <c r="J51" s="2281">
        <f>SUM(J14:J49)</f>
        <v>0</v>
      </c>
      <c r="K51" s="2504">
        <f>SUM(K14:K50)</f>
        <v>3300000</v>
      </c>
      <c r="L51" s="2281"/>
    </row>
    <row r="52" spans="1:12" ht="15.75">
      <c r="A52" s="1731" t="s">
        <v>1028</v>
      </c>
      <c r="B52" s="1732"/>
    </row>
    <row r="53" spans="1:12" ht="15.75">
      <c r="A53" s="1733" t="s">
        <v>1029</v>
      </c>
      <c r="B53" s="1734"/>
    </row>
    <row r="54" spans="1:12" ht="15.75">
      <c r="A54" s="1733" t="s">
        <v>1030</v>
      </c>
      <c r="B54" s="1734"/>
    </row>
    <row r="55" spans="1:12" ht="15.75">
      <c r="B55" s="3950" t="s">
        <v>162</v>
      </c>
      <c r="C55" s="3950"/>
      <c r="D55" s="1735"/>
      <c r="E55" s="1735"/>
      <c r="F55" s="1736" t="s">
        <v>1031</v>
      </c>
      <c r="I55" s="1736"/>
      <c r="J55" s="1736"/>
    </row>
    <row r="59" spans="1:12">
      <c r="B59" s="4952"/>
      <c r="C59" s="4952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50"/>
  </mergeCells>
  <pageMargins left="0.7" right="0.7" top="0.38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22" workbookViewId="0">
      <selection activeCell="A26" sqref="A1:XFD1048576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3906" t="s">
        <v>1014</v>
      </c>
    </row>
    <row r="6" spans="1:12">
      <c r="A6" s="1712"/>
      <c r="B6" s="4954" t="s">
        <v>1311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1268</v>
      </c>
      <c r="C8" s="1713"/>
      <c r="D8" s="3904"/>
      <c r="E8" s="1712"/>
      <c r="G8" s="1712"/>
      <c r="H8" s="2286" t="s">
        <v>1016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2502" t="s">
        <v>1026</v>
      </c>
      <c r="L13" s="1724"/>
    </row>
    <row r="14" spans="1:12" ht="12" customHeight="1">
      <c r="A14" s="1725">
        <v>1</v>
      </c>
      <c r="B14" s="2464" t="str">
        <f>'Chấm công công nhân'!L13</f>
        <v>Vắt Đi</v>
      </c>
      <c r="C14" s="2465" t="s">
        <v>1900</v>
      </c>
      <c r="D14" s="4956" t="s">
        <v>1905</v>
      </c>
      <c r="E14" s="2466" t="s">
        <v>1027</v>
      </c>
      <c r="F14" s="2467">
        <v>3</v>
      </c>
      <c r="G14" s="2468">
        <f>25000/200000</f>
        <v>0.125</v>
      </c>
      <c r="H14" s="2469">
        <f>F14/G14</f>
        <v>24</v>
      </c>
      <c r="I14" s="2470">
        <v>25000</v>
      </c>
      <c r="J14" s="2466"/>
      <c r="K14" s="2503">
        <f>I14*H14</f>
        <v>600000</v>
      </c>
      <c r="L14" s="1724"/>
    </row>
    <row r="15" spans="1:12" ht="12" customHeight="1">
      <c r="A15" s="1725">
        <v>2</v>
      </c>
      <c r="B15" s="2464" t="str">
        <f>'Chấm công công nhân'!L14</f>
        <v>Mẹ Leo</v>
      </c>
      <c r="C15" s="2465" t="s">
        <v>1900</v>
      </c>
      <c r="D15" s="4957"/>
      <c r="E15" s="2466" t="s">
        <v>1027</v>
      </c>
      <c r="F15" s="2466">
        <v>3</v>
      </c>
      <c r="G15" s="2468">
        <f t="shared" ref="G15:G50" si="0">25000/200000</f>
        <v>0.125</v>
      </c>
      <c r="H15" s="2469">
        <f t="shared" ref="H15:H50" si="1">F15/G15</f>
        <v>24</v>
      </c>
      <c r="I15" s="2470">
        <v>25000</v>
      </c>
      <c r="J15" s="2463"/>
      <c r="K15" s="2503">
        <f t="shared" ref="K15:K50" si="2">I15*H15</f>
        <v>600000</v>
      </c>
      <c r="L15" s="1724"/>
    </row>
    <row r="16" spans="1:12" ht="12" customHeight="1">
      <c r="A16" s="1725">
        <v>3</v>
      </c>
      <c r="B16" s="2464" t="str">
        <f>'Chấm công công nhân'!L15</f>
        <v xml:space="preserve">Thảo Ken </v>
      </c>
      <c r="C16" s="2465" t="s">
        <v>1900</v>
      </c>
      <c r="D16" s="4957"/>
      <c r="E16" s="2466" t="s">
        <v>1027</v>
      </c>
      <c r="F16" s="2466">
        <v>3</v>
      </c>
      <c r="G16" s="2468">
        <f t="shared" si="0"/>
        <v>0.125</v>
      </c>
      <c r="H16" s="2469">
        <f t="shared" si="1"/>
        <v>24</v>
      </c>
      <c r="I16" s="2470">
        <v>25000</v>
      </c>
      <c r="J16" s="2463"/>
      <c r="K16" s="2503">
        <f t="shared" si="2"/>
        <v>600000</v>
      </c>
      <c r="L16" s="1724"/>
    </row>
    <row r="17" spans="1:12" ht="12" customHeight="1">
      <c r="A17" s="1725">
        <v>4</v>
      </c>
      <c r="B17" s="2464" t="str">
        <f>'Chấm công công nhân'!L16</f>
        <v>Thảo Phút</v>
      </c>
      <c r="C17" s="2465" t="s">
        <v>1900</v>
      </c>
      <c r="D17" s="4957"/>
      <c r="E17" s="2466" t="s">
        <v>1027</v>
      </c>
      <c r="F17" s="2466">
        <v>3</v>
      </c>
      <c r="G17" s="2468">
        <f t="shared" si="0"/>
        <v>0.125</v>
      </c>
      <c r="H17" s="2469">
        <f t="shared" si="1"/>
        <v>24</v>
      </c>
      <c r="I17" s="2470">
        <v>25000</v>
      </c>
      <c r="J17" s="2463"/>
      <c r="K17" s="2503">
        <f t="shared" si="2"/>
        <v>600000</v>
      </c>
      <c r="L17" s="1724"/>
    </row>
    <row r="18" spans="1:12" ht="12" customHeight="1">
      <c r="A18" s="1725">
        <v>5</v>
      </c>
      <c r="B18" s="2464" t="str">
        <f>'Chấm công công nhân'!L17</f>
        <v>Thảo Mằn</v>
      </c>
      <c r="C18" s="2465" t="s">
        <v>1900</v>
      </c>
      <c r="D18" s="4957"/>
      <c r="E18" s="2466" t="s">
        <v>1027</v>
      </c>
      <c r="F18" s="2466">
        <v>3</v>
      </c>
      <c r="G18" s="2468">
        <f t="shared" si="0"/>
        <v>0.125</v>
      </c>
      <c r="H18" s="2469">
        <f t="shared" si="1"/>
        <v>24</v>
      </c>
      <c r="I18" s="2470">
        <v>25000</v>
      </c>
      <c r="J18" s="2466"/>
      <c r="K18" s="2503">
        <f t="shared" si="2"/>
        <v>600000</v>
      </c>
      <c r="L18" s="1724"/>
    </row>
    <row r="19" spans="1:12" ht="12" customHeight="1">
      <c r="A19" s="1725">
        <v>6</v>
      </c>
      <c r="B19" s="2464" t="str">
        <f>'Chấm công công nhân'!L18</f>
        <v>Nàng Chay</v>
      </c>
      <c r="C19" s="2465" t="s">
        <v>1900</v>
      </c>
      <c r="D19" s="4957"/>
      <c r="E19" s="2466" t="s">
        <v>1027</v>
      </c>
      <c r="F19" s="2466">
        <v>2</v>
      </c>
      <c r="G19" s="2468">
        <f t="shared" si="0"/>
        <v>0.125</v>
      </c>
      <c r="H19" s="2469">
        <f t="shared" si="1"/>
        <v>16</v>
      </c>
      <c r="I19" s="2470">
        <v>25000</v>
      </c>
      <c r="J19" s="2466"/>
      <c r="K19" s="2503">
        <f t="shared" si="2"/>
        <v>400000</v>
      </c>
      <c r="L19" s="1724"/>
    </row>
    <row r="20" spans="1:12" ht="12" customHeight="1">
      <c r="A20" s="1725">
        <v>7</v>
      </c>
      <c r="B20" s="2464" t="str">
        <f>'Chấm công công nhân'!L19</f>
        <v>Thảo Sắp</v>
      </c>
      <c r="C20" s="2465" t="s">
        <v>1900</v>
      </c>
      <c r="D20" s="4957"/>
      <c r="E20" s="2466" t="s">
        <v>1027</v>
      </c>
      <c r="F20" s="2466">
        <v>2</v>
      </c>
      <c r="G20" s="2468">
        <f t="shared" si="0"/>
        <v>0.125</v>
      </c>
      <c r="H20" s="2469">
        <f t="shared" si="1"/>
        <v>16</v>
      </c>
      <c r="I20" s="2470">
        <v>25000</v>
      </c>
      <c r="J20" s="2463"/>
      <c r="K20" s="2503">
        <f t="shared" si="2"/>
        <v>400000</v>
      </c>
      <c r="L20" s="1724"/>
    </row>
    <row r="21" spans="1:12" ht="12" customHeight="1">
      <c r="A21" s="1725">
        <v>8</v>
      </c>
      <c r="B21" s="2464" t="str">
        <f>'Chấm công công nhân'!L20</f>
        <v>Thảo Say</v>
      </c>
      <c r="C21" s="2465" t="s">
        <v>1900</v>
      </c>
      <c r="D21" s="4957"/>
      <c r="E21" s="2466" t="s">
        <v>1027</v>
      </c>
      <c r="F21" s="2466">
        <v>2</v>
      </c>
      <c r="G21" s="2468">
        <f t="shared" si="0"/>
        <v>0.125</v>
      </c>
      <c r="H21" s="2469">
        <f t="shared" si="1"/>
        <v>16</v>
      </c>
      <c r="I21" s="2470">
        <v>25000</v>
      </c>
      <c r="J21" s="2463"/>
      <c r="K21" s="2503">
        <f t="shared" si="2"/>
        <v>400000</v>
      </c>
      <c r="L21" s="1724"/>
    </row>
    <row r="22" spans="1:12" ht="12" customHeight="1">
      <c r="A22" s="1725">
        <v>9</v>
      </c>
      <c r="B22" s="2464" t="str">
        <f>'Chấm công công nhân'!L21</f>
        <v>Thảo Cợt</v>
      </c>
      <c r="C22" s="2465" t="s">
        <v>1900</v>
      </c>
      <c r="D22" s="4957"/>
      <c r="E22" s="2466" t="s">
        <v>1027</v>
      </c>
      <c r="F22" s="2466">
        <v>2</v>
      </c>
      <c r="G22" s="2468">
        <f t="shared" si="0"/>
        <v>0.125</v>
      </c>
      <c r="H22" s="2469">
        <f t="shared" si="1"/>
        <v>16</v>
      </c>
      <c r="I22" s="2470">
        <v>25000</v>
      </c>
      <c r="J22" s="2463"/>
      <c r="K22" s="2503">
        <f t="shared" si="2"/>
        <v>400000</v>
      </c>
      <c r="L22" s="1724"/>
    </row>
    <row r="23" spans="1:12" ht="12" customHeight="1">
      <c r="A23" s="1725">
        <v>10</v>
      </c>
      <c r="B23" s="2464" t="str">
        <f>'Chấm công công nhân'!L22</f>
        <v>Thảo Hôm</v>
      </c>
      <c r="C23" s="2465" t="s">
        <v>1900</v>
      </c>
      <c r="D23" s="4957"/>
      <c r="E23" s="2466" t="s">
        <v>1027</v>
      </c>
      <c r="F23" s="2466">
        <v>2</v>
      </c>
      <c r="G23" s="2468">
        <f t="shared" si="0"/>
        <v>0.125</v>
      </c>
      <c r="H23" s="2469">
        <f t="shared" si="1"/>
        <v>16</v>
      </c>
      <c r="I23" s="2470">
        <v>25000</v>
      </c>
      <c r="J23" s="2466"/>
      <c r="K23" s="2503">
        <f t="shared" si="2"/>
        <v>400000</v>
      </c>
      <c r="L23" s="1724"/>
    </row>
    <row r="24" spans="1:12" ht="12" customHeight="1">
      <c r="A24" s="1725">
        <v>11</v>
      </c>
      <c r="B24" s="2464" t="str">
        <f>'Chấm công công nhân'!L23</f>
        <v xml:space="preserve">Thảo Khăm  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0.125</v>
      </c>
      <c r="H24" s="2469">
        <f t="shared" si="1"/>
        <v>32</v>
      </c>
      <c r="I24" s="2470">
        <v>25000</v>
      </c>
      <c r="J24" s="2466"/>
      <c r="K24" s="2503">
        <f t="shared" si="2"/>
        <v>800000</v>
      </c>
      <c r="L24" s="1724"/>
    </row>
    <row r="25" spans="1:12" ht="12" customHeight="1">
      <c r="A25" s="1725">
        <v>12</v>
      </c>
      <c r="B25" s="2464" t="str">
        <f>'Chấm công công nhân'!L24</f>
        <v>Thảo Hăm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0.125</v>
      </c>
      <c r="H25" s="2469">
        <f t="shared" si="1"/>
        <v>32</v>
      </c>
      <c r="I25" s="2470">
        <v>25000</v>
      </c>
      <c r="J25" s="2463"/>
      <c r="K25" s="2503">
        <f t="shared" si="2"/>
        <v>800000</v>
      </c>
      <c r="L25" s="1724"/>
    </row>
    <row r="26" spans="1:12" ht="12" customHeight="1">
      <c r="A26" s="1725">
        <v>13</v>
      </c>
      <c r="B26" s="2464" t="str">
        <f>'Chấm công công nhân'!L25</f>
        <v>Nang Lon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0.125</v>
      </c>
      <c r="H26" s="2469">
        <f t="shared" si="1"/>
        <v>32</v>
      </c>
      <c r="I26" s="2470">
        <v>25000</v>
      </c>
      <c r="J26" s="2463"/>
      <c r="K26" s="2503">
        <f t="shared" si="2"/>
        <v>800000</v>
      </c>
      <c r="L26" s="1724"/>
    </row>
    <row r="27" spans="1:12" ht="12" customHeight="1">
      <c r="A27" s="1725">
        <v>14</v>
      </c>
      <c r="B27" s="2464" t="str">
        <f>'Chấm công công nhân'!L26</f>
        <v>Thảo Pheng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0.125</v>
      </c>
      <c r="H27" s="2469">
        <f t="shared" si="1"/>
        <v>32</v>
      </c>
      <c r="I27" s="2470">
        <v>25000</v>
      </c>
      <c r="J27" s="2463"/>
      <c r="K27" s="2503">
        <f t="shared" si="2"/>
        <v>800000</v>
      </c>
      <c r="L27" s="1724"/>
    </row>
    <row r="28" spans="1:12" ht="12" customHeight="1">
      <c r="A28" s="1725">
        <v>15</v>
      </c>
      <c r="B28" s="2464" t="str">
        <f>'Chấm công công nhân'!L27</f>
        <v>Thảo kok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0.125</v>
      </c>
      <c r="H28" s="2469">
        <f t="shared" si="1"/>
        <v>32</v>
      </c>
      <c r="I28" s="2470">
        <v>25000</v>
      </c>
      <c r="J28" s="2466"/>
      <c r="K28" s="2503">
        <f t="shared" si="2"/>
        <v>800000</v>
      </c>
      <c r="L28" s="1724"/>
    </row>
    <row r="29" spans="1:12" ht="12" customHeight="1">
      <c r="A29" s="1725">
        <v>16</v>
      </c>
      <c r="B29" s="2464" t="str">
        <f>'Chấm công công nhân'!L28</f>
        <v>Nàng Sút Chay</v>
      </c>
      <c r="C29" s="2465" t="s">
        <v>1900</v>
      </c>
      <c r="D29" s="4957"/>
      <c r="E29" s="2466" t="s">
        <v>1027</v>
      </c>
      <c r="F29" s="2467">
        <v>4</v>
      </c>
      <c r="G29" s="2468">
        <f t="shared" si="0"/>
        <v>0.125</v>
      </c>
      <c r="H29" s="2469">
        <f t="shared" si="1"/>
        <v>32</v>
      </c>
      <c r="I29" s="2470">
        <v>25000</v>
      </c>
      <c r="J29" s="2466"/>
      <c r="K29" s="2503">
        <f t="shared" si="2"/>
        <v>800000</v>
      </c>
      <c r="L29" s="1724"/>
    </row>
    <row r="30" spans="1:12" ht="12" customHeight="1">
      <c r="A30" s="1725">
        <v>17</v>
      </c>
      <c r="B30" s="2464" t="str">
        <f>'Chấm công công nhân'!L29</f>
        <v>Thảo Khăm Phay</v>
      </c>
      <c r="C30" s="2465" t="s">
        <v>1900</v>
      </c>
      <c r="D30" s="4957"/>
      <c r="E30" s="2466" t="s">
        <v>1027</v>
      </c>
      <c r="F30" s="2466">
        <v>4</v>
      </c>
      <c r="G30" s="2468">
        <f t="shared" si="0"/>
        <v>0.125</v>
      </c>
      <c r="H30" s="2469">
        <f t="shared" si="1"/>
        <v>32</v>
      </c>
      <c r="I30" s="2470">
        <v>25000</v>
      </c>
      <c r="J30" s="2463"/>
      <c r="K30" s="2503">
        <f t="shared" si="2"/>
        <v>800000</v>
      </c>
      <c r="L30" s="1724"/>
    </row>
    <row r="31" spans="1:12" ht="12" customHeight="1">
      <c r="A31" s="1725">
        <v>18</v>
      </c>
      <c r="B31" s="2464" t="str">
        <f>'Chấm công công nhân'!L30</f>
        <v>Thảo Sớm</v>
      </c>
      <c r="C31" s="2465" t="s">
        <v>1900</v>
      </c>
      <c r="D31" s="4957"/>
      <c r="E31" s="2466" t="s">
        <v>1027</v>
      </c>
      <c r="F31" s="2466">
        <v>4</v>
      </c>
      <c r="G31" s="2468">
        <f t="shared" si="0"/>
        <v>0.125</v>
      </c>
      <c r="H31" s="2469">
        <f t="shared" si="1"/>
        <v>32</v>
      </c>
      <c r="I31" s="2470">
        <v>25000</v>
      </c>
      <c r="J31" s="2463"/>
      <c r="K31" s="2503">
        <f t="shared" si="2"/>
        <v>800000</v>
      </c>
      <c r="L31" s="1724"/>
    </row>
    <row r="32" spans="1:12" ht="12" customHeight="1">
      <c r="A32" s="1725">
        <v>19</v>
      </c>
      <c r="B32" s="2464" t="str">
        <f>'Chấm công công nhân'!L31</f>
        <v>Pha Xúc</v>
      </c>
      <c r="C32" s="2465" t="s">
        <v>1900</v>
      </c>
      <c r="D32" s="4957"/>
      <c r="E32" s="2466" t="s">
        <v>1027</v>
      </c>
      <c r="F32" s="2466">
        <v>4</v>
      </c>
      <c r="G32" s="2468">
        <f t="shared" si="0"/>
        <v>0.125</v>
      </c>
      <c r="H32" s="2469">
        <f t="shared" si="1"/>
        <v>32</v>
      </c>
      <c r="I32" s="2470">
        <v>25000</v>
      </c>
      <c r="J32" s="2463"/>
      <c r="K32" s="2503">
        <f t="shared" si="2"/>
        <v>800000</v>
      </c>
      <c r="L32" s="1724"/>
    </row>
    <row r="33" spans="1:12" ht="12" customHeight="1">
      <c r="A33" s="1725">
        <v>20</v>
      </c>
      <c r="B33" s="2464" t="str">
        <f>'Chấm công công nhân'!L32</f>
        <v>Nàng Phon</v>
      </c>
      <c r="C33" s="2465" t="s">
        <v>1900</v>
      </c>
      <c r="D33" s="4957"/>
      <c r="E33" s="2466" t="s">
        <v>1027</v>
      </c>
      <c r="F33" s="2466">
        <v>3</v>
      </c>
      <c r="G33" s="2468">
        <f t="shared" si="0"/>
        <v>0.125</v>
      </c>
      <c r="H33" s="2469">
        <f t="shared" si="1"/>
        <v>24</v>
      </c>
      <c r="I33" s="2470">
        <v>25000</v>
      </c>
      <c r="J33" s="2466"/>
      <c r="K33" s="2503">
        <f t="shared" si="2"/>
        <v>600000</v>
      </c>
      <c r="L33" s="1724"/>
    </row>
    <row r="34" spans="1:12" ht="12" customHeight="1">
      <c r="A34" s="1725">
        <v>21</v>
      </c>
      <c r="B34" s="2464" t="str">
        <f>'Chấm công công nhân'!L33</f>
        <v>Thảo Chăn</v>
      </c>
      <c r="C34" s="2465" t="s">
        <v>1900</v>
      </c>
      <c r="D34" s="4957"/>
      <c r="E34" s="2466" t="s">
        <v>1027</v>
      </c>
      <c r="F34" s="2466">
        <v>3</v>
      </c>
      <c r="G34" s="2468">
        <f t="shared" si="0"/>
        <v>0.125</v>
      </c>
      <c r="H34" s="2469">
        <f t="shared" si="1"/>
        <v>24</v>
      </c>
      <c r="I34" s="2470">
        <v>25000</v>
      </c>
      <c r="J34" s="2466"/>
      <c r="K34" s="2503">
        <f t="shared" si="2"/>
        <v>600000</v>
      </c>
      <c r="L34" s="1724"/>
    </row>
    <row r="35" spans="1:12" ht="12" customHeight="1">
      <c r="A35" s="1725">
        <v>22</v>
      </c>
      <c r="B35" s="2464" t="str">
        <f>'Chấm công công nhân'!L34</f>
        <v>Thong La</v>
      </c>
      <c r="C35" s="2465" t="s">
        <v>1900</v>
      </c>
      <c r="D35" s="4957"/>
      <c r="E35" s="2466" t="s">
        <v>1027</v>
      </c>
      <c r="F35" s="2466">
        <v>3</v>
      </c>
      <c r="G35" s="2468">
        <f t="shared" si="0"/>
        <v>0.125</v>
      </c>
      <c r="H35" s="2469">
        <f t="shared" si="1"/>
        <v>24</v>
      </c>
      <c r="I35" s="2470">
        <v>25000</v>
      </c>
      <c r="J35" s="2463"/>
      <c r="K35" s="2503">
        <f t="shared" si="2"/>
        <v>600000</v>
      </c>
      <c r="L35" s="1724"/>
    </row>
    <row r="36" spans="1:12" ht="12" customHeight="1">
      <c r="A36" s="1725">
        <v>23</v>
      </c>
      <c r="B36" s="2464" t="str">
        <f>'Chấm công công nhân'!L35</f>
        <v>Thảo Cum Pha</v>
      </c>
      <c r="C36" s="2465" t="s">
        <v>1900</v>
      </c>
      <c r="D36" s="4957"/>
      <c r="E36" s="2466" t="s">
        <v>1027</v>
      </c>
      <c r="F36" s="2466">
        <v>3</v>
      </c>
      <c r="G36" s="2468">
        <f t="shared" si="0"/>
        <v>0.125</v>
      </c>
      <c r="H36" s="2469">
        <f t="shared" si="1"/>
        <v>24</v>
      </c>
      <c r="I36" s="2470">
        <v>25000</v>
      </c>
      <c r="J36" s="2463"/>
      <c r="K36" s="2503">
        <f t="shared" si="2"/>
        <v>600000</v>
      </c>
      <c r="L36" s="1724"/>
    </row>
    <row r="37" spans="1:12" ht="12" customHeight="1">
      <c r="A37" s="1725">
        <v>24</v>
      </c>
      <c r="B37" s="2464" t="str">
        <f>'Chấm công công nhân'!L36</f>
        <v>T Ô Vên</v>
      </c>
      <c r="C37" s="2465" t="s">
        <v>1900</v>
      </c>
      <c r="D37" s="4957"/>
      <c r="E37" s="2466" t="s">
        <v>1027</v>
      </c>
      <c r="F37" s="2466">
        <v>3</v>
      </c>
      <c r="G37" s="2468">
        <f t="shared" si="0"/>
        <v>0.125</v>
      </c>
      <c r="H37" s="2469">
        <f t="shared" si="1"/>
        <v>24</v>
      </c>
      <c r="I37" s="2470">
        <v>25000</v>
      </c>
      <c r="J37" s="2463"/>
      <c r="K37" s="2503">
        <f t="shared" si="2"/>
        <v>600000</v>
      </c>
      <c r="L37" s="1724"/>
    </row>
    <row r="38" spans="1:12" ht="12" customHeight="1">
      <c r="A38" s="1725">
        <v>25</v>
      </c>
      <c r="B38" s="2464" t="str">
        <f>'Chấm công công nhân'!L37</f>
        <v>Nàng Lam</v>
      </c>
      <c r="C38" s="2465" t="s">
        <v>1900</v>
      </c>
      <c r="D38" s="4957"/>
      <c r="E38" s="2466" t="s">
        <v>1027</v>
      </c>
      <c r="F38" s="2466">
        <v>3</v>
      </c>
      <c r="G38" s="2468">
        <f t="shared" si="0"/>
        <v>0.125</v>
      </c>
      <c r="H38" s="2469">
        <f t="shared" si="1"/>
        <v>24</v>
      </c>
      <c r="I38" s="2470">
        <v>25000</v>
      </c>
      <c r="J38" s="2466"/>
      <c r="K38" s="2503">
        <f t="shared" si="2"/>
        <v>600000</v>
      </c>
      <c r="L38" s="1724"/>
    </row>
    <row r="39" spans="1:12" ht="12" customHeight="1">
      <c r="A39" s="1725">
        <v>26</v>
      </c>
      <c r="B39" s="2464" t="str">
        <f>'Chấm công công nhân'!L38</f>
        <v>Nàng Hđao</v>
      </c>
      <c r="C39" s="2465" t="s">
        <v>1900</v>
      </c>
      <c r="D39" s="4957"/>
      <c r="E39" s="2466" t="s">
        <v>1027</v>
      </c>
      <c r="F39" s="2466">
        <v>3</v>
      </c>
      <c r="G39" s="2468">
        <f t="shared" si="0"/>
        <v>0.125</v>
      </c>
      <c r="H39" s="2469">
        <f t="shared" si="1"/>
        <v>24</v>
      </c>
      <c r="I39" s="2470">
        <v>25000</v>
      </c>
      <c r="J39" s="2466"/>
      <c r="K39" s="2503">
        <f t="shared" si="2"/>
        <v>600000</v>
      </c>
      <c r="L39" s="1724"/>
    </row>
    <row r="40" spans="1:12" ht="12" customHeight="1">
      <c r="A40" s="1725">
        <v>27</v>
      </c>
      <c r="B40" s="2464" t="str">
        <f>'Chấm công công nhân'!L39</f>
        <v>Thảo Tong</v>
      </c>
      <c r="C40" s="2465" t="s">
        <v>1900</v>
      </c>
      <c r="D40" s="4957"/>
      <c r="E40" s="2466" t="s">
        <v>1027</v>
      </c>
      <c r="F40" s="2466">
        <v>4</v>
      </c>
      <c r="G40" s="2468">
        <f t="shared" si="0"/>
        <v>0.125</v>
      </c>
      <c r="H40" s="2469">
        <f t="shared" si="1"/>
        <v>32</v>
      </c>
      <c r="I40" s="2470">
        <v>25000</v>
      </c>
      <c r="J40" s="2463"/>
      <c r="K40" s="2503">
        <f t="shared" si="2"/>
        <v>800000</v>
      </c>
      <c r="L40" s="1724"/>
    </row>
    <row r="41" spans="1:12" ht="12" customHeight="1">
      <c r="A41" s="1725">
        <v>28</v>
      </c>
      <c r="B41" s="2464" t="str">
        <f>'Chấm công công nhân'!L40</f>
        <v>Thảo Khốc</v>
      </c>
      <c r="C41" s="2465" t="s">
        <v>1900</v>
      </c>
      <c r="D41" s="4957"/>
      <c r="E41" s="2466" t="s">
        <v>1027</v>
      </c>
      <c r="F41" s="2466">
        <v>4</v>
      </c>
      <c r="G41" s="2468">
        <f t="shared" si="0"/>
        <v>0.125</v>
      </c>
      <c r="H41" s="2469">
        <f t="shared" si="1"/>
        <v>32</v>
      </c>
      <c r="I41" s="2470">
        <v>25000</v>
      </c>
      <c r="J41" s="2463"/>
      <c r="K41" s="2503">
        <f t="shared" si="2"/>
        <v>800000</v>
      </c>
      <c r="L41" s="1724"/>
    </row>
    <row r="42" spans="1:12" ht="12" customHeight="1">
      <c r="A42" s="1725">
        <v>29</v>
      </c>
      <c r="B42" s="2464" t="str">
        <f>'Chấm công công nhân'!L41</f>
        <v>Thảo Sợt</v>
      </c>
      <c r="C42" s="2465" t="s">
        <v>1900</v>
      </c>
      <c r="D42" s="4957"/>
      <c r="E42" s="2466" t="s">
        <v>1027</v>
      </c>
      <c r="F42" s="2466">
        <v>4</v>
      </c>
      <c r="G42" s="2468">
        <f t="shared" si="0"/>
        <v>0.125</v>
      </c>
      <c r="H42" s="2469">
        <f t="shared" si="1"/>
        <v>32</v>
      </c>
      <c r="I42" s="2470">
        <v>25000</v>
      </c>
      <c r="J42" s="2463"/>
      <c r="K42" s="2503">
        <f t="shared" si="2"/>
        <v>800000</v>
      </c>
      <c r="L42" s="1724"/>
    </row>
    <row r="43" spans="1:12" ht="12" customHeight="1">
      <c r="A43" s="1725">
        <v>30</v>
      </c>
      <c r="B43" s="2464" t="str">
        <f>'Chấm công công nhân'!L42</f>
        <v>Thảo Văn</v>
      </c>
      <c r="C43" s="2465" t="s">
        <v>1900</v>
      </c>
      <c r="D43" s="4957"/>
      <c r="E43" s="2466" t="s">
        <v>1027</v>
      </c>
      <c r="F43" s="2466">
        <v>4</v>
      </c>
      <c r="G43" s="2468">
        <f t="shared" si="0"/>
        <v>0.125</v>
      </c>
      <c r="H43" s="2469">
        <f t="shared" si="1"/>
        <v>32</v>
      </c>
      <c r="I43" s="2470">
        <v>25000</v>
      </c>
      <c r="J43" s="2466"/>
      <c r="K43" s="2503">
        <f t="shared" si="2"/>
        <v>800000</v>
      </c>
      <c r="L43" s="1724"/>
    </row>
    <row r="44" spans="1:12" ht="12" customHeight="1">
      <c r="A44" s="1725">
        <v>31</v>
      </c>
      <c r="B44" s="2464" t="str">
        <f>'Chấm công công nhân'!L43</f>
        <v>Nàng Túc</v>
      </c>
      <c r="C44" s="2465" t="s">
        <v>1900</v>
      </c>
      <c r="D44" s="4957"/>
      <c r="E44" s="2466" t="s">
        <v>1027</v>
      </c>
      <c r="F44" s="2466">
        <v>4</v>
      </c>
      <c r="G44" s="2468">
        <f t="shared" si="0"/>
        <v>0.125</v>
      </c>
      <c r="H44" s="2469">
        <f t="shared" si="1"/>
        <v>32</v>
      </c>
      <c r="I44" s="2470">
        <v>25000</v>
      </c>
      <c r="J44" s="2466"/>
      <c r="K44" s="2503">
        <f t="shared" si="2"/>
        <v>800000</v>
      </c>
      <c r="L44" s="1724"/>
    </row>
    <row r="45" spans="1:12" ht="12" customHeight="1">
      <c r="A45" s="1725">
        <v>32</v>
      </c>
      <c r="B45" s="2464" t="str">
        <f>'Chấm công công nhân'!L44</f>
        <v>Nàng Chon</v>
      </c>
      <c r="C45" s="2465" t="s">
        <v>1900</v>
      </c>
      <c r="D45" s="4957"/>
      <c r="E45" s="2466" t="s">
        <v>1027</v>
      </c>
      <c r="F45" s="2466">
        <v>4</v>
      </c>
      <c r="G45" s="2468">
        <f t="shared" si="0"/>
        <v>0.125</v>
      </c>
      <c r="H45" s="2469">
        <f t="shared" si="1"/>
        <v>32</v>
      </c>
      <c r="I45" s="2470">
        <v>25000</v>
      </c>
      <c r="J45" s="2466"/>
      <c r="K45" s="2503">
        <f t="shared" si="2"/>
        <v>800000</v>
      </c>
      <c r="L45" s="1724"/>
    </row>
    <row r="46" spans="1:12" ht="12" customHeight="1">
      <c r="A46" s="1725">
        <v>33</v>
      </c>
      <c r="B46" s="2464" t="str">
        <f>'Chấm công công nhân'!L45</f>
        <v>Thảo Hơ Phơ</v>
      </c>
      <c r="C46" s="2465" t="s">
        <v>1900</v>
      </c>
      <c r="D46" s="4957"/>
      <c r="E46" s="2466" t="s">
        <v>1027</v>
      </c>
      <c r="F46" s="2466">
        <v>4</v>
      </c>
      <c r="G46" s="2468">
        <f t="shared" si="0"/>
        <v>0.125</v>
      </c>
      <c r="H46" s="2469">
        <f t="shared" si="1"/>
        <v>32</v>
      </c>
      <c r="I46" s="2470">
        <v>25000</v>
      </c>
      <c r="J46" s="2466"/>
      <c r="K46" s="2503">
        <f t="shared" si="2"/>
        <v>800000</v>
      </c>
      <c r="L46" s="1724"/>
    </row>
    <row r="47" spans="1:12" ht="12" customHeight="1">
      <c r="A47" s="1725">
        <v>34</v>
      </c>
      <c r="B47" s="2464" t="str">
        <f>'Chấm công công nhân'!L46</f>
        <v>Thảo Phét</v>
      </c>
      <c r="C47" s="2465" t="s">
        <v>1900</v>
      </c>
      <c r="D47" s="4957"/>
      <c r="E47" s="2466" t="s">
        <v>1027</v>
      </c>
      <c r="F47" s="2466">
        <v>4</v>
      </c>
      <c r="G47" s="2468">
        <f t="shared" si="0"/>
        <v>0.125</v>
      </c>
      <c r="H47" s="2469">
        <f t="shared" si="1"/>
        <v>32</v>
      </c>
      <c r="I47" s="2470">
        <v>25000</v>
      </c>
      <c r="J47" s="2466"/>
      <c r="K47" s="2503">
        <f t="shared" si="2"/>
        <v>800000</v>
      </c>
      <c r="L47" s="1724"/>
    </row>
    <row r="48" spans="1:12" ht="12" customHeight="1">
      <c r="A48" s="1725">
        <v>35</v>
      </c>
      <c r="B48" s="2464" t="str">
        <f>'Chấm công công nhân'!L47</f>
        <v>Hăn</v>
      </c>
      <c r="C48" s="2465" t="s">
        <v>1900</v>
      </c>
      <c r="D48" s="4957"/>
      <c r="E48" s="2466" t="s">
        <v>1027</v>
      </c>
      <c r="F48" s="2466">
        <v>4</v>
      </c>
      <c r="G48" s="2468">
        <f t="shared" si="0"/>
        <v>0.125</v>
      </c>
      <c r="H48" s="2469">
        <f t="shared" si="1"/>
        <v>32</v>
      </c>
      <c r="I48" s="2470">
        <v>25000</v>
      </c>
      <c r="J48" s="2466"/>
      <c r="K48" s="2503">
        <f t="shared" si="2"/>
        <v>800000</v>
      </c>
      <c r="L48" s="1724"/>
    </row>
    <row r="49" spans="1:12" ht="12" customHeight="1">
      <c r="A49" s="1725">
        <v>36</v>
      </c>
      <c r="B49" s="2464" t="str">
        <f>'Chấm công công nhân'!L48</f>
        <v>Thảo Tuỳ</v>
      </c>
      <c r="C49" s="2465" t="s">
        <v>1900</v>
      </c>
      <c r="D49" s="4957"/>
      <c r="E49" s="2466" t="s">
        <v>1027</v>
      </c>
      <c r="F49" s="2466">
        <v>4</v>
      </c>
      <c r="G49" s="2468">
        <f t="shared" si="0"/>
        <v>0.125</v>
      </c>
      <c r="H49" s="2469">
        <f t="shared" si="1"/>
        <v>32</v>
      </c>
      <c r="I49" s="2470">
        <v>25000</v>
      </c>
      <c r="J49" s="2466"/>
      <c r="K49" s="2503">
        <f t="shared" si="2"/>
        <v>800000</v>
      </c>
      <c r="L49" s="1724"/>
    </row>
    <row r="50" spans="1:12" ht="12" customHeight="1">
      <c r="A50" s="1725">
        <v>37</v>
      </c>
      <c r="B50" s="2464" t="str">
        <f>'Chấm công công nhân'!L49</f>
        <v>Thảo Đa Văn</v>
      </c>
      <c r="C50" s="2465" t="s">
        <v>1900</v>
      </c>
      <c r="D50" s="4958"/>
      <c r="E50" s="2466" t="s">
        <v>1027</v>
      </c>
      <c r="F50" s="2466">
        <v>4</v>
      </c>
      <c r="G50" s="2468">
        <f t="shared" si="0"/>
        <v>0.125</v>
      </c>
      <c r="H50" s="2469">
        <f t="shared" si="1"/>
        <v>32</v>
      </c>
      <c r="I50" s="2470">
        <v>25000</v>
      </c>
      <c r="J50" s="2466"/>
      <c r="K50" s="2503">
        <f t="shared" si="2"/>
        <v>800000</v>
      </c>
      <c r="L50" s="1724"/>
    </row>
    <row r="51" spans="1:12">
      <c r="A51" s="4955" t="s">
        <v>21</v>
      </c>
      <c r="B51" s="4955"/>
      <c r="C51" s="4955"/>
      <c r="D51" s="4955"/>
      <c r="E51" s="1724"/>
      <c r="F51" s="3903">
        <f>SUM(F14:F50)</f>
        <v>126</v>
      </c>
      <c r="G51" s="3903"/>
      <c r="H51" s="2288">
        <f>SUM(H14:H50)</f>
        <v>1008</v>
      </c>
      <c r="I51" s="3903"/>
      <c r="J51" s="3903">
        <f>SUM(J14:J49)</f>
        <v>0</v>
      </c>
      <c r="K51" s="2504">
        <f>SUM(K14:K50)</f>
        <v>25200000</v>
      </c>
      <c r="L51" s="3903"/>
    </row>
    <row r="52" spans="1:12" ht="15.75">
      <c r="A52" s="1731" t="s">
        <v>1028</v>
      </c>
      <c r="B52" s="1732"/>
    </row>
    <row r="53" spans="1:12" ht="15.75">
      <c r="A53" s="1733" t="s">
        <v>1029</v>
      </c>
      <c r="B53" s="1734"/>
    </row>
    <row r="54" spans="1:12" ht="15.75">
      <c r="A54" s="1733" t="s">
        <v>1030</v>
      </c>
      <c r="B54" s="1734"/>
    </row>
    <row r="55" spans="1:12" ht="15.75">
      <c r="B55" s="3950" t="s">
        <v>162</v>
      </c>
      <c r="C55" s="3950"/>
      <c r="D55" s="1735"/>
      <c r="E55" s="1735"/>
      <c r="F55" s="1736" t="s">
        <v>1031</v>
      </c>
      <c r="I55" s="1736"/>
      <c r="J55" s="1736"/>
    </row>
    <row r="59" spans="1:12">
      <c r="B59" s="4952"/>
      <c r="C59" s="4952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50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25" workbookViewId="0">
      <selection activeCell="F14" sqref="F14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3906" t="s">
        <v>1014</v>
      </c>
    </row>
    <row r="6" spans="1:12">
      <c r="A6" s="1712"/>
      <c r="B6" s="4954" t="s">
        <v>1311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1268</v>
      </c>
      <c r="C8" s="1713"/>
      <c r="D8" s="3904"/>
      <c r="E8" s="1712"/>
      <c r="G8" s="1712"/>
      <c r="H8" s="2286" t="s">
        <v>1016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2502" t="s">
        <v>1026</v>
      </c>
      <c r="L13" s="1724"/>
    </row>
    <row r="14" spans="1:12" ht="12" customHeight="1">
      <c r="A14" s="1725">
        <v>1</v>
      </c>
      <c r="B14" s="2464" t="str">
        <f>'Chấm công công nhân'!L13</f>
        <v>Vắt Đi</v>
      </c>
      <c r="C14" s="2465" t="s">
        <v>1900</v>
      </c>
      <c r="D14" s="4956" t="s">
        <v>1906</v>
      </c>
      <c r="E14" s="2466" t="s">
        <v>1027</v>
      </c>
      <c r="F14" s="2466">
        <v>4</v>
      </c>
      <c r="G14" s="2468">
        <f>1/4</f>
        <v>0.25</v>
      </c>
      <c r="H14" s="2469">
        <f>F14/G14</f>
        <v>16</v>
      </c>
      <c r="I14" s="2470">
        <v>25000</v>
      </c>
      <c r="J14" s="2466"/>
      <c r="K14" s="2503">
        <f>I14*H14</f>
        <v>400000</v>
      </c>
      <c r="L14" s="1724"/>
    </row>
    <row r="15" spans="1:12" ht="12" customHeight="1">
      <c r="A15" s="1725">
        <v>2</v>
      </c>
      <c r="B15" s="2464" t="str">
        <f>'Chấm công công nhân'!L14</f>
        <v>Mẹ Leo</v>
      </c>
      <c r="C15" s="2465" t="s">
        <v>1900</v>
      </c>
      <c r="D15" s="4957"/>
      <c r="E15" s="2466" t="s">
        <v>1027</v>
      </c>
      <c r="F15" s="2466">
        <v>4</v>
      </c>
      <c r="G15" s="2468">
        <f t="shared" ref="G15:G50" si="0">1/4</f>
        <v>0.25</v>
      </c>
      <c r="H15" s="2469">
        <f t="shared" ref="H15:H50" si="1">F15/G15</f>
        <v>16</v>
      </c>
      <c r="I15" s="2470">
        <v>25000</v>
      </c>
      <c r="J15" s="2463"/>
      <c r="K15" s="2503">
        <f t="shared" ref="K15:K50" si="2">I15*H15</f>
        <v>400000</v>
      </c>
      <c r="L15" s="1724"/>
    </row>
    <row r="16" spans="1:12" ht="12" customHeight="1">
      <c r="A16" s="1725">
        <v>3</v>
      </c>
      <c r="B16" s="2464" t="str">
        <f>'Chấm công công nhân'!L15</f>
        <v xml:space="preserve">Thảo Ken </v>
      </c>
      <c r="C16" s="2465" t="s">
        <v>1900</v>
      </c>
      <c r="D16" s="4957"/>
      <c r="E16" s="2466" t="s">
        <v>1027</v>
      </c>
      <c r="F16" s="2466">
        <v>4</v>
      </c>
      <c r="G16" s="2468">
        <f t="shared" si="0"/>
        <v>0.25</v>
      </c>
      <c r="H16" s="2469">
        <f t="shared" si="1"/>
        <v>16</v>
      </c>
      <c r="I16" s="2470">
        <v>25000</v>
      </c>
      <c r="J16" s="2463"/>
      <c r="K16" s="2503">
        <f t="shared" si="2"/>
        <v>400000</v>
      </c>
      <c r="L16" s="1724"/>
    </row>
    <row r="17" spans="1:12" ht="12" customHeight="1">
      <c r="A17" s="1725">
        <v>4</v>
      </c>
      <c r="B17" s="2464" t="str">
        <f>'Chấm công công nhân'!L16</f>
        <v>Thảo Phút</v>
      </c>
      <c r="C17" s="2465" t="s">
        <v>1900</v>
      </c>
      <c r="D17" s="4957"/>
      <c r="E17" s="2466" t="s">
        <v>1027</v>
      </c>
      <c r="F17" s="2466">
        <v>4</v>
      </c>
      <c r="G17" s="2468">
        <f t="shared" si="0"/>
        <v>0.25</v>
      </c>
      <c r="H17" s="2469">
        <f t="shared" si="1"/>
        <v>16</v>
      </c>
      <c r="I17" s="2470">
        <v>25000</v>
      </c>
      <c r="J17" s="2463"/>
      <c r="K17" s="2503">
        <f t="shared" si="2"/>
        <v>400000</v>
      </c>
      <c r="L17" s="1724"/>
    </row>
    <row r="18" spans="1:12" ht="12" customHeight="1">
      <c r="A18" s="1725">
        <v>5</v>
      </c>
      <c r="B18" s="2464" t="str">
        <f>'Chấm công công nhân'!L17</f>
        <v>Thảo Mằn</v>
      </c>
      <c r="C18" s="2465" t="s">
        <v>1900</v>
      </c>
      <c r="D18" s="4957"/>
      <c r="E18" s="2466" t="s">
        <v>1027</v>
      </c>
      <c r="F18" s="2466">
        <v>4</v>
      </c>
      <c r="G18" s="2468">
        <f t="shared" si="0"/>
        <v>0.25</v>
      </c>
      <c r="H18" s="2469">
        <f t="shared" si="1"/>
        <v>16</v>
      </c>
      <c r="I18" s="2470">
        <v>25000</v>
      </c>
      <c r="J18" s="2466"/>
      <c r="K18" s="2503">
        <f t="shared" si="2"/>
        <v>400000</v>
      </c>
      <c r="L18" s="1724"/>
    </row>
    <row r="19" spans="1:12" ht="12" customHeight="1">
      <c r="A19" s="1725">
        <v>6</v>
      </c>
      <c r="B19" s="2464" t="str">
        <f>'Chấm công công nhân'!L18</f>
        <v>Nàng Chay</v>
      </c>
      <c r="C19" s="2465" t="s">
        <v>1900</v>
      </c>
      <c r="D19" s="4957"/>
      <c r="E19" s="2466" t="s">
        <v>1027</v>
      </c>
      <c r="F19" s="2466">
        <v>4</v>
      </c>
      <c r="G19" s="2468">
        <f t="shared" si="0"/>
        <v>0.25</v>
      </c>
      <c r="H19" s="2469">
        <f t="shared" si="1"/>
        <v>16</v>
      </c>
      <c r="I19" s="2470">
        <v>25000</v>
      </c>
      <c r="J19" s="2466"/>
      <c r="K19" s="2503">
        <f t="shared" si="2"/>
        <v>400000</v>
      </c>
      <c r="L19" s="1724"/>
    </row>
    <row r="20" spans="1:12" ht="12" customHeight="1">
      <c r="A20" s="1725">
        <v>7</v>
      </c>
      <c r="B20" s="2464" t="str">
        <f>'Chấm công công nhân'!L19</f>
        <v>Thảo Sắp</v>
      </c>
      <c r="C20" s="2465" t="s">
        <v>1900</v>
      </c>
      <c r="D20" s="4957"/>
      <c r="E20" s="2466" t="s">
        <v>1027</v>
      </c>
      <c r="F20" s="2466">
        <v>4</v>
      </c>
      <c r="G20" s="2468">
        <f t="shared" si="0"/>
        <v>0.25</v>
      </c>
      <c r="H20" s="2469">
        <f t="shared" si="1"/>
        <v>16</v>
      </c>
      <c r="I20" s="2470">
        <v>25000</v>
      </c>
      <c r="J20" s="2463"/>
      <c r="K20" s="2503">
        <f t="shared" si="2"/>
        <v>400000</v>
      </c>
      <c r="L20" s="1724"/>
    </row>
    <row r="21" spans="1:12" ht="12" customHeight="1">
      <c r="A21" s="1725">
        <v>8</v>
      </c>
      <c r="B21" s="2464" t="str">
        <f>'Chấm công công nhân'!L20</f>
        <v>Thảo Say</v>
      </c>
      <c r="C21" s="2465" t="s">
        <v>1900</v>
      </c>
      <c r="D21" s="4957"/>
      <c r="E21" s="2466" t="s">
        <v>1027</v>
      </c>
      <c r="F21" s="2466">
        <v>4</v>
      </c>
      <c r="G21" s="2468">
        <f t="shared" si="0"/>
        <v>0.25</v>
      </c>
      <c r="H21" s="2469">
        <f t="shared" si="1"/>
        <v>16</v>
      </c>
      <c r="I21" s="2470">
        <v>25000</v>
      </c>
      <c r="J21" s="2463"/>
      <c r="K21" s="2503">
        <f t="shared" si="2"/>
        <v>400000</v>
      </c>
      <c r="L21" s="1724"/>
    </row>
    <row r="22" spans="1:12" ht="12" customHeight="1">
      <c r="A22" s="1725">
        <v>9</v>
      </c>
      <c r="B22" s="2464" t="str">
        <f>'Chấm công công nhân'!L21</f>
        <v>Thảo Cợt</v>
      </c>
      <c r="C22" s="2465" t="s">
        <v>1900</v>
      </c>
      <c r="D22" s="4957"/>
      <c r="E22" s="2466" t="s">
        <v>1027</v>
      </c>
      <c r="F22" s="2466">
        <v>4</v>
      </c>
      <c r="G22" s="2468">
        <f t="shared" si="0"/>
        <v>0.25</v>
      </c>
      <c r="H22" s="2469">
        <f t="shared" si="1"/>
        <v>16</v>
      </c>
      <c r="I22" s="2470">
        <v>25000</v>
      </c>
      <c r="J22" s="2463"/>
      <c r="K22" s="2503">
        <f t="shared" si="2"/>
        <v>400000</v>
      </c>
      <c r="L22" s="1724"/>
    </row>
    <row r="23" spans="1:12" ht="12" customHeight="1">
      <c r="A23" s="1725">
        <v>10</v>
      </c>
      <c r="B23" s="2464" t="str">
        <f>'Chấm công công nhân'!L22</f>
        <v>Thảo Hôm</v>
      </c>
      <c r="C23" s="2465" t="s">
        <v>1900</v>
      </c>
      <c r="D23" s="4957"/>
      <c r="E23" s="2466" t="s">
        <v>1027</v>
      </c>
      <c r="F23" s="2466">
        <v>4</v>
      </c>
      <c r="G23" s="2468">
        <f t="shared" si="0"/>
        <v>0.25</v>
      </c>
      <c r="H23" s="2469">
        <f t="shared" si="1"/>
        <v>16</v>
      </c>
      <c r="I23" s="2470">
        <v>25000</v>
      </c>
      <c r="J23" s="2466"/>
      <c r="K23" s="2503">
        <f t="shared" si="2"/>
        <v>400000</v>
      </c>
      <c r="L23" s="1724"/>
    </row>
    <row r="24" spans="1:12" ht="12" customHeight="1">
      <c r="A24" s="1725">
        <v>11</v>
      </c>
      <c r="B24" s="2464" t="str">
        <f>'Chấm công công nhân'!L23</f>
        <v xml:space="preserve">Thảo Khăm  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0.25</v>
      </c>
      <c r="H24" s="2469">
        <f t="shared" si="1"/>
        <v>16</v>
      </c>
      <c r="I24" s="2470">
        <v>25000</v>
      </c>
      <c r="J24" s="2466"/>
      <c r="K24" s="2503">
        <f t="shared" si="2"/>
        <v>400000</v>
      </c>
      <c r="L24" s="1724"/>
    </row>
    <row r="25" spans="1:12" ht="12" customHeight="1">
      <c r="A25" s="1725">
        <v>12</v>
      </c>
      <c r="B25" s="2464" t="str">
        <f>'Chấm công công nhân'!L24</f>
        <v>Thảo Hăm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0.25</v>
      </c>
      <c r="H25" s="2469">
        <f t="shared" si="1"/>
        <v>16</v>
      </c>
      <c r="I25" s="2470">
        <v>25000</v>
      </c>
      <c r="J25" s="2463"/>
      <c r="K25" s="2503">
        <f t="shared" si="2"/>
        <v>400000</v>
      </c>
      <c r="L25" s="1724"/>
    </row>
    <row r="26" spans="1:12" ht="12" customHeight="1">
      <c r="A26" s="1725">
        <v>13</v>
      </c>
      <c r="B26" s="2464" t="str">
        <f>'Chấm công công nhân'!L25</f>
        <v>Nang Lon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0.25</v>
      </c>
      <c r="H26" s="2469">
        <f t="shared" si="1"/>
        <v>16</v>
      </c>
      <c r="I26" s="2470">
        <v>25000</v>
      </c>
      <c r="J26" s="2463"/>
      <c r="K26" s="2503">
        <f t="shared" si="2"/>
        <v>400000</v>
      </c>
      <c r="L26" s="1724"/>
    </row>
    <row r="27" spans="1:12" ht="12" customHeight="1">
      <c r="A27" s="1725">
        <v>14</v>
      </c>
      <c r="B27" s="2464" t="str">
        <f>'Chấm công công nhân'!L26</f>
        <v>Thảo Pheng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0.25</v>
      </c>
      <c r="H27" s="2469">
        <f t="shared" si="1"/>
        <v>16</v>
      </c>
      <c r="I27" s="2470">
        <v>25000</v>
      </c>
      <c r="J27" s="2463"/>
      <c r="K27" s="2503">
        <f t="shared" si="2"/>
        <v>400000</v>
      </c>
      <c r="L27" s="1724"/>
    </row>
    <row r="28" spans="1:12" ht="12" customHeight="1">
      <c r="A28" s="1725">
        <v>15</v>
      </c>
      <c r="B28" s="2464" t="str">
        <f>'Chấm công công nhân'!L27</f>
        <v>Thảo kok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0.25</v>
      </c>
      <c r="H28" s="2469">
        <f t="shared" si="1"/>
        <v>16</v>
      </c>
      <c r="I28" s="2470">
        <v>25000</v>
      </c>
      <c r="J28" s="2466"/>
      <c r="K28" s="2503">
        <f t="shared" si="2"/>
        <v>400000</v>
      </c>
      <c r="L28" s="1724"/>
    </row>
    <row r="29" spans="1:12" ht="12" customHeight="1">
      <c r="A29" s="1725">
        <v>16</v>
      </c>
      <c r="B29" s="2464" t="str">
        <f>'Chấm công công nhân'!L28</f>
        <v>Nàng Sút Chay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0.25</v>
      </c>
      <c r="H29" s="2469">
        <f t="shared" si="1"/>
        <v>16</v>
      </c>
      <c r="I29" s="2470">
        <v>25000</v>
      </c>
      <c r="J29" s="2466"/>
      <c r="K29" s="2503">
        <f t="shared" si="2"/>
        <v>400000</v>
      </c>
      <c r="L29" s="1724"/>
    </row>
    <row r="30" spans="1:12" ht="12" customHeight="1">
      <c r="A30" s="1725">
        <v>17</v>
      </c>
      <c r="B30" s="2464" t="str">
        <f>'Chấm công công nhân'!L29</f>
        <v>Thảo Khăm Phay</v>
      </c>
      <c r="C30" s="2465" t="s">
        <v>1900</v>
      </c>
      <c r="D30" s="4957"/>
      <c r="E30" s="2466" t="s">
        <v>1027</v>
      </c>
      <c r="F30" s="2466">
        <v>4</v>
      </c>
      <c r="G30" s="2468">
        <f t="shared" si="0"/>
        <v>0.25</v>
      </c>
      <c r="H30" s="2469">
        <f t="shared" si="1"/>
        <v>16</v>
      </c>
      <c r="I30" s="2470">
        <v>25000</v>
      </c>
      <c r="J30" s="2463"/>
      <c r="K30" s="2503">
        <f t="shared" si="2"/>
        <v>400000</v>
      </c>
      <c r="L30" s="1724"/>
    </row>
    <row r="31" spans="1:12" ht="12" customHeight="1">
      <c r="A31" s="1725">
        <v>18</v>
      </c>
      <c r="B31" s="2464" t="str">
        <f>'Chấm công công nhân'!L30</f>
        <v>Thảo Sớm</v>
      </c>
      <c r="C31" s="2465" t="s">
        <v>1900</v>
      </c>
      <c r="D31" s="4957"/>
      <c r="E31" s="2466" t="s">
        <v>1027</v>
      </c>
      <c r="F31" s="2466">
        <v>4</v>
      </c>
      <c r="G31" s="2468">
        <f t="shared" si="0"/>
        <v>0.25</v>
      </c>
      <c r="H31" s="2469">
        <f t="shared" si="1"/>
        <v>16</v>
      </c>
      <c r="I31" s="2470">
        <v>25000</v>
      </c>
      <c r="J31" s="2463"/>
      <c r="K31" s="2503">
        <f t="shared" si="2"/>
        <v>400000</v>
      </c>
      <c r="L31" s="1724"/>
    </row>
    <row r="32" spans="1:12" ht="12" customHeight="1">
      <c r="A32" s="1725">
        <v>19</v>
      </c>
      <c r="B32" s="2464" t="str">
        <f>'Chấm công công nhân'!L31</f>
        <v>Pha Xúc</v>
      </c>
      <c r="C32" s="2465" t="s">
        <v>1900</v>
      </c>
      <c r="D32" s="4957"/>
      <c r="E32" s="2466" t="s">
        <v>1027</v>
      </c>
      <c r="F32" s="2466">
        <v>4</v>
      </c>
      <c r="G32" s="2468">
        <f t="shared" si="0"/>
        <v>0.25</v>
      </c>
      <c r="H32" s="2469">
        <f t="shared" si="1"/>
        <v>16</v>
      </c>
      <c r="I32" s="2470">
        <v>25000</v>
      </c>
      <c r="J32" s="2463"/>
      <c r="K32" s="2503">
        <f t="shared" si="2"/>
        <v>400000</v>
      </c>
      <c r="L32" s="1724"/>
    </row>
    <row r="33" spans="1:12" ht="12" customHeight="1">
      <c r="A33" s="1725">
        <v>20</v>
      </c>
      <c r="B33" s="2464" t="str">
        <f>'Chấm công công nhân'!L32</f>
        <v>Nàng Phon</v>
      </c>
      <c r="C33" s="2465" t="s">
        <v>1900</v>
      </c>
      <c r="D33" s="4957"/>
      <c r="E33" s="2466" t="s">
        <v>1027</v>
      </c>
      <c r="F33" s="2466">
        <v>4</v>
      </c>
      <c r="G33" s="2468">
        <f t="shared" si="0"/>
        <v>0.25</v>
      </c>
      <c r="H33" s="2469">
        <f t="shared" si="1"/>
        <v>16</v>
      </c>
      <c r="I33" s="2470">
        <v>25000</v>
      </c>
      <c r="J33" s="2466"/>
      <c r="K33" s="2503">
        <f t="shared" si="2"/>
        <v>400000</v>
      </c>
      <c r="L33" s="1724"/>
    </row>
    <row r="34" spans="1:12" ht="12" customHeight="1">
      <c r="A34" s="1725">
        <v>21</v>
      </c>
      <c r="B34" s="2464" t="str">
        <f>'Chấm công công nhân'!L33</f>
        <v>Thảo Chăn</v>
      </c>
      <c r="C34" s="2465" t="s">
        <v>1900</v>
      </c>
      <c r="D34" s="4957"/>
      <c r="E34" s="2466" t="s">
        <v>1027</v>
      </c>
      <c r="F34" s="2466">
        <v>4</v>
      </c>
      <c r="G34" s="2468">
        <f t="shared" si="0"/>
        <v>0.25</v>
      </c>
      <c r="H34" s="2469">
        <f t="shared" si="1"/>
        <v>16</v>
      </c>
      <c r="I34" s="2470">
        <v>25000</v>
      </c>
      <c r="J34" s="2466"/>
      <c r="K34" s="2503">
        <f t="shared" si="2"/>
        <v>400000</v>
      </c>
      <c r="L34" s="1724"/>
    </row>
    <row r="35" spans="1:12" ht="12" customHeight="1">
      <c r="A35" s="1725">
        <v>22</v>
      </c>
      <c r="B35" s="2464" t="str">
        <f>'Chấm công công nhân'!L34</f>
        <v>Thong La</v>
      </c>
      <c r="C35" s="2465" t="s">
        <v>1900</v>
      </c>
      <c r="D35" s="4957"/>
      <c r="E35" s="2466" t="s">
        <v>1027</v>
      </c>
      <c r="F35" s="2466">
        <v>4</v>
      </c>
      <c r="G35" s="2468">
        <f t="shared" si="0"/>
        <v>0.25</v>
      </c>
      <c r="H35" s="2469">
        <f t="shared" si="1"/>
        <v>16</v>
      </c>
      <c r="I35" s="2470">
        <v>25000</v>
      </c>
      <c r="J35" s="2463"/>
      <c r="K35" s="2503">
        <f t="shared" si="2"/>
        <v>400000</v>
      </c>
      <c r="L35" s="1724"/>
    </row>
    <row r="36" spans="1:12" ht="12" customHeight="1">
      <c r="A36" s="1725">
        <v>23</v>
      </c>
      <c r="B36" s="2464" t="str">
        <f>'Chấm công công nhân'!L35</f>
        <v>Thảo Cum Pha</v>
      </c>
      <c r="C36" s="2465" t="s">
        <v>1900</v>
      </c>
      <c r="D36" s="4957"/>
      <c r="E36" s="2466" t="s">
        <v>1027</v>
      </c>
      <c r="F36" s="2466">
        <v>4</v>
      </c>
      <c r="G36" s="2468">
        <f t="shared" si="0"/>
        <v>0.25</v>
      </c>
      <c r="H36" s="2469">
        <f t="shared" si="1"/>
        <v>16</v>
      </c>
      <c r="I36" s="2470">
        <v>25000</v>
      </c>
      <c r="J36" s="2463"/>
      <c r="K36" s="2503">
        <f t="shared" si="2"/>
        <v>400000</v>
      </c>
      <c r="L36" s="1724"/>
    </row>
    <row r="37" spans="1:12" ht="12" customHeight="1">
      <c r="A37" s="1725">
        <v>24</v>
      </c>
      <c r="B37" s="2464" t="str">
        <f>'Chấm công công nhân'!L36</f>
        <v>T Ô Vên</v>
      </c>
      <c r="C37" s="2465" t="s">
        <v>1900</v>
      </c>
      <c r="D37" s="4957"/>
      <c r="E37" s="2466" t="s">
        <v>1027</v>
      </c>
      <c r="F37" s="2466">
        <v>4</v>
      </c>
      <c r="G37" s="2468">
        <f t="shared" si="0"/>
        <v>0.25</v>
      </c>
      <c r="H37" s="2469">
        <f t="shared" si="1"/>
        <v>16</v>
      </c>
      <c r="I37" s="2470">
        <v>25000</v>
      </c>
      <c r="J37" s="2463"/>
      <c r="K37" s="2503">
        <f t="shared" si="2"/>
        <v>400000</v>
      </c>
      <c r="L37" s="1724"/>
    </row>
    <row r="38" spans="1:12" ht="12" customHeight="1">
      <c r="A38" s="1725">
        <v>25</v>
      </c>
      <c r="B38" s="2464" t="str">
        <f>'Chấm công công nhân'!L37</f>
        <v>Nàng Lam</v>
      </c>
      <c r="C38" s="2465" t="s">
        <v>1900</v>
      </c>
      <c r="D38" s="4957"/>
      <c r="E38" s="2466" t="s">
        <v>1027</v>
      </c>
      <c r="F38" s="2466">
        <v>4</v>
      </c>
      <c r="G38" s="2468">
        <f t="shared" si="0"/>
        <v>0.25</v>
      </c>
      <c r="H38" s="2469">
        <f t="shared" si="1"/>
        <v>16</v>
      </c>
      <c r="I38" s="2470">
        <v>25000</v>
      </c>
      <c r="J38" s="2466"/>
      <c r="K38" s="2503">
        <f t="shared" si="2"/>
        <v>400000</v>
      </c>
      <c r="L38" s="1724"/>
    </row>
    <row r="39" spans="1:12" ht="12" customHeight="1">
      <c r="A39" s="1725">
        <v>26</v>
      </c>
      <c r="B39" s="2464" t="str">
        <f>'Chấm công công nhân'!L38</f>
        <v>Nàng Hđao</v>
      </c>
      <c r="C39" s="2465" t="s">
        <v>1900</v>
      </c>
      <c r="D39" s="4957"/>
      <c r="E39" s="2466" t="s">
        <v>1027</v>
      </c>
      <c r="F39" s="2466">
        <v>4</v>
      </c>
      <c r="G39" s="2468">
        <f t="shared" si="0"/>
        <v>0.25</v>
      </c>
      <c r="H39" s="2469">
        <f t="shared" si="1"/>
        <v>16</v>
      </c>
      <c r="I39" s="2470">
        <v>25000</v>
      </c>
      <c r="J39" s="2466"/>
      <c r="K39" s="2503">
        <f t="shared" si="2"/>
        <v>400000</v>
      </c>
      <c r="L39" s="1724"/>
    </row>
    <row r="40" spans="1:12" ht="12" customHeight="1">
      <c r="A40" s="1725">
        <v>27</v>
      </c>
      <c r="B40" s="2464" t="str">
        <f>'Chấm công công nhân'!L39</f>
        <v>Thảo Tong</v>
      </c>
      <c r="C40" s="2465" t="s">
        <v>1900</v>
      </c>
      <c r="D40" s="4957"/>
      <c r="E40" s="2466" t="s">
        <v>1027</v>
      </c>
      <c r="F40" s="2466">
        <v>4</v>
      </c>
      <c r="G40" s="2468">
        <f t="shared" si="0"/>
        <v>0.25</v>
      </c>
      <c r="H40" s="2469">
        <f t="shared" si="1"/>
        <v>16</v>
      </c>
      <c r="I40" s="2470">
        <v>25000</v>
      </c>
      <c r="J40" s="2463"/>
      <c r="K40" s="2503">
        <f t="shared" si="2"/>
        <v>400000</v>
      </c>
      <c r="L40" s="1724"/>
    </row>
    <row r="41" spans="1:12" ht="12" customHeight="1">
      <c r="A41" s="1725">
        <v>28</v>
      </c>
      <c r="B41" s="2464" t="str">
        <f>'Chấm công công nhân'!L40</f>
        <v>Thảo Khốc</v>
      </c>
      <c r="C41" s="2465" t="s">
        <v>1900</v>
      </c>
      <c r="D41" s="4957"/>
      <c r="E41" s="2466" t="s">
        <v>1027</v>
      </c>
      <c r="F41" s="2466">
        <v>4</v>
      </c>
      <c r="G41" s="2468">
        <f t="shared" si="0"/>
        <v>0.25</v>
      </c>
      <c r="H41" s="2469">
        <f t="shared" si="1"/>
        <v>16</v>
      </c>
      <c r="I41" s="2470">
        <v>25000</v>
      </c>
      <c r="J41" s="2463"/>
      <c r="K41" s="2503">
        <f t="shared" si="2"/>
        <v>400000</v>
      </c>
      <c r="L41" s="1724"/>
    </row>
    <row r="42" spans="1:12" ht="12" customHeight="1">
      <c r="A42" s="1725">
        <v>29</v>
      </c>
      <c r="B42" s="2464" t="str">
        <f>'Chấm công công nhân'!L41</f>
        <v>Thảo Sợt</v>
      </c>
      <c r="C42" s="2465" t="s">
        <v>1900</v>
      </c>
      <c r="D42" s="4957"/>
      <c r="E42" s="2466" t="s">
        <v>1027</v>
      </c>
      <c r="F42" s="2466">
        <v>4</v>
      </c>
      <c r="G42" s="2468">
        <f t="shared" si="0"/>
        <v>0.25</v>
      </c>
      <c r="H42" s="2469">
        <f t="shared" si="1"/>
        <v>16</v>
      </c>
      <c r="I42" s="2470">
        <v>25000</v>
      </c>
      <c r="J42" s="2463"/>
      <c r="K42" s="2503">
        <f t="shared" si="2"/>
        <v>400000</v>
      </c>
      <c r="L42" s="1724"/>
    </row>
    <row r="43" spans="1:12" ht="12" customHeight="1">
      <c r="A43" s="1725">
        <v>30</v>
      </c>
      <c r="B43" s="2464" t="str">
        <f>'Chấm công công nhân'!L42</f>
        <v>Thảo Văn</v>
      </c>
      <c r="C43" s="2465" t="s">
        <v>1900</v>
      </c>
      <c r="D43" s="4957"/>
      <c r="E43" s="2466" t="s">
        <v>1027</v>
      </c>
      <c r="F43" s="2466">
        <v>4</v>
      </c>
      <c r="G43" s="2468">
        <f t="shared" si="0"/>
        <v>0.25</v>
      </c>
      <c r="H43" s="2469">
        <f t="shared" si="1"/>
        <v>16</v>
      </c>
      <c r="I43" s="2470">
        <v>25000</v>
      </c>
      <c r="J43" s="2466"/>
      <c r="K43" s="2503">
        <f t="shared" si="2"/>
        <v>400000</v>
      </c>
      <c r="L43" s="1724"/>
    </row>
    <row r="44" spans="1:12" ht="12" customHeight="1">
      <c r="A44" s="1725">
        <v>31</v>
      </c>
      <c r="B44" s="2464" t="str">
        <f>'Chấm công công nhân'!L43</f>
        <v>Nàng Túc</v>
      </c>
      <c r="C44" s="2465" t="s">
        <v>1900</v>
      </c>
      <c r="D44" s="4957"/>
      <c r="E44" s="2466" t="s">
        <v>1027</v>
      </c>
      <c r="F44" s="2466">
        <v>4</v>
      </c>
      <c r="G44" s="2468">
        <f t="shared" si="0"/>
        <v>0.25</v>
      </c>
      <c r="H44" s="2469">
        <f t="shared" si="1"/>
        <v>16</v>
      </c>
      <c r="I44" s="2470">
        <v>25000</v>
      </c>
      <c r="J44" s="2466"/>
      <c r="K44" s="2503">
        <f t="shared" si="2"/>
        <v>400000</v>
      </c>
      <c r="L44" s="1724"/>
    </row>
    <row r="45" spans="1:12" ht="12" customHeight="1">
      <c r="A45" s="1725">
        <v>32</v>
      </c>
      <c r="B45" s="2464" t="str">
        <f>'Chấm công công nhân'!L44</f>
        <v>Nàng Chon</v>
      </c>
      <c r="C45" s="2465" t="s">
        <v>1900</v>
      </c>
      <c r="D45" s="4957"/>
      <c r="E45" s="2466" t="s">
        <v>1027</v>
      </c>
      <c r="F45" s="2466">
        <v>4</v>
      </c>
      <c r="G45" s="2468">
        <f t="shared" si="0"/>
        <v>0.25</v>
      </c>
      <c r="H45" s="2469">
        <f t="shared" si="1"/>
        <v>16</v>
      </c>
      <c r="I45" s="2470">
        <v>25000</v>
      </c>
      <c r="J45" s="2466"/>
      <c r="K45" s="2503">
        <f t="shared" si="2"/>
        <v>400000</v>
      </c>
      <c r="L45" s="1724"/>
    </row>
    <row r="46" spans="1:12" ht="12" customHeight="1">
      <c r="A46" s="1725">
        <v>33</v>
      </c>
      <c r="B46" s="2464" t="str">
        <f>'Chấm công công nhân'!L45</f>
        <v>Thảo Hơ Phơ</v>
      </c>
      <c r="C46" s="2465" t="s">
        <v>1900</v>
      </c>
      <c r="D46" s="4957"/>
      <c r="E46" s="2466" t="s">
        <v>1027</v>
      </c>
      <c r="F46" s="2466">
        <v>4</v>
      </c>
      <c r="G46" s="2468">
        <f t="shared" si="0"/>
        <v>0.25</v>
      </c>
      <c r="H46" s="2469">
        <f t="shared" si="1"/>
        <v>16</v>
      </c>
      <c r="I46" s="2470">
        <v>25000</v>
      </c>
      <c r="J46" s="2466"/>
      <c r="K46" s="2503">
        <f t="shared" si="2"/>
        <v>400000</v>
      </c>
      <c r="L46" s="1724"/>
    </row>
    <row r="47" spans="1:12" ht="12" customHeight="1">
      <c r="A47" s="1725">
        <v>34</v>
      </c>
      <c r="B47" s="2464" t="str">
        <f>'Chấm công công nhân'!L46</f>
        <v>Thảo Phét</v>
      </c>
      <c r="C47" s="2465" t="s">
        <v>1900</v>
      </c>
      <c r="D47" s="4957"/>
      <c r="E47" s="2466" t="s">
        <v>1027</v>
      </c>
      <c r="F47" s="2466">
        <v>4</v>
      </c>
      <c r="G47" s="2468">
        <f t="shared" si="0"/>
        <v>0.25</v>
      </c>
      <c r="H47" s="2469">
        <f t="shared" si="1"/>
        <v>16</v>
      </c>
      <c r="I47" s="2470">
        <v>25000</v>
      </c>
      <c r="J47" s="2466"/>
      <c r="K47" s="2503">
        <f t="shared" si="2"/>
        <v>400000</v>
      </c>
      <c r="L47" s="1724"/>
    </row>
    <row r="48" spans="1:12" ht="12" customHeight="1">
      <c r="A48" s="1725">
        <v>35</v>
      </c>
      <c r="B48" s="2464" t="str">
        <f>'Chấm công công nhân'!L47</f>
        <v>Hăn</v>
      </c>
      <c r="C48" s="2465" t="s">
        <v>1900</v>
      </c>
      <c r="D48" s="4957"/>
      <c r="E48" s="2466" t="s">
        <v>1027</v>
      </c>
      <c r="F48" s="2466">
        <v>4</v>
      </c>
      <c r="G48" s="2468">
        <f t="shared" si="0"/>
        <v>0.25</v>
      </c>
      <c r="H48" s="2469">
        <f t="shared" si="1"/>
        <v>16</v>
      </c>
      <c r="I48" s="2470">
        <v>25000</v>
      </c>
      <c r="J48" s="2466"/>
      <c r="K48" s="2503">
        <f t="shared" si="2"/>
        <v>400000</v>
      </c>
      <c r="L48" s="1724"/>
    </row>
    <row r="49" spans="1:12" ht="12" customHeight="1">
      <c r="A49" s="1725">
        <v>36</v>
      </c>
      <c r="B49" s="2464" t="str">
        <f>'Chấm công công nhân'!L48</f>
        <v>Thảo Tuỳ</v>
      </c>
      <c r="C49" s="2465" t="s">
        <v>1900</v>
      </c>
      <c r="D49" s="4957"/>
      <c r="E49" s="2466" t="s">
        <v>1027</v>
      </c>
      <c r="F49" s="2466">
        <v>4</v>
      </c>
      <c r="G49" s="2468">
        <f t="shared" si="0"/>
        <v>0.25</v>
      </c>
      <c r="H49" s="2469">
        <f t="shared" si="1"/>
        <v>16</v>
      </c>
      <c r="I49" s="2470">
        <v>25000</v>
      </c>
      <c r="J49" s="2466"/>
      <c r="K49" s="2503">
        <f t="shared" si="2"/>
        <v>400000</v>
      </c>
      <c r="L49" s="1724"/>
    </row>
    <row r="50" spans="1:12" ht="12" customHeight="1">
      <c r="A50" s="1725">
        <v>37</v>
      </c>
      <c r="B50" s="2464" t="str">
        <f>'Chấm công công nhân'!L49</f>
        <v>Thảo Đa Văn</v>
      </c>
      <c r="C50" s="2465" t="s">
        <v>1900</v>
      </c>
      <c r="D50" s="4958"/>
      <c r="E50" s="2466" t="s">
        <v>1027</v>
      </c>
      <c r="F50" s="2466">
        <v>4</v>
      </c>
      <c r="G50" s="2468">
        <f t="shared" si="0"/>
        <v>0.25</v>
      </c>
      <c r="H50" s="2469">
        <f t="shared" si="1"/>
        <v>16</v>
      </c>
      <c r="I50" s="2470">
        <v>25000</v>
      </c>
      <c r="J50" s="2466"/>
      <c r="K50" s="2503">
        <f t="shared" si="2"/>
        <v>400000</v>
      </c>
      <c r="L50" s="1724"/>
    </row>
    <row r="51" spans="1:12">
      <c r="A51" s="4955" t="s">
        <v>21</v>
      </c>
      <c r="B51" s="4955"/>
      <c r="C51" s="4955"/>
      <c r="D51" s="4955"/>
      <c r="E51" s="1724"/>
      <c r="F51" s="3903">
        <f>SUM(F14:F50)</f>
        <v>148</v>
      </c>
      <c r="G51" s="3903"/>
      <c r="H51" s="2288">
        <f>SUM(H14:H50)</f>
        <v>592</v>
      </c>
      <c r="I51" s="3903"/>
      <c r="J51" s="3903">
        <f>SUM(J14:J49)</f>
        <v>0</v>
      </c>
      <c r="K51" s="2504">
        <f>SUM(K14:K50)</f>
        <v>14800000</v>
      </c>
      <c r="L51" s="3903"/>
    </row>
    <row r="52" spans="1:12" ht="15.75">
      <c r="A52" s="1731" t="s">
        <v>1028</v>
      </c>
      <c r="B52" s="1732"/>
    </row>
    <row r="53" spans="1:12" ht="15.75">
      <c r="A53" s="1733" t="s">
        <v>1029</v>
      </c>
      <c r="B53" s="1734"/>
    </row>
    <row r="54" spans="1:12" ht="15.75">
      <c r="A54" s="1733" t="s">
        <v>1030</v>
      </c>
      <c r="B54" s="1734"/>
    </row>
    <row r="55" spans="1:12" ht="15.75">
      <c r="B55" s="3950" t="s">
        <v>162</v>
      </c>
      <c r="C55" s="3950"/>
      <c r="D55" s="1735"/>
      <c r="E55" s="1735"/>
      <c r="F55" s="1736" t="s">
        <v>1031</v>
      </c>
      <c r="I55" s="1736"/>
      <c r="J55" s="1736"/>
    </row>
    <row r="59" spans="1:12">
      <c r="B59" s="4952"/>
      <c r="C59" s="4952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50"/>
  </mergeCells>
  <pageMargins left="0.7" right="0.7" top="0.75" bottom="0.75" header="0.3" footer="0.3"/>
  <pageSetup paperSize="9" orientation="portrait" verticalDpi="0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topLeftCell="A10" workbookViewId="0">
      <selection sqref="A1:XFD1048576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  <c r="K5" s="4953"/>
      <c r="L5" s="4953"/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1902</v>
      </c>
      <c r="C8" s="1713"/>
      <c r="D8" s="3904"/>
      <c r="E8" s="1712"/>
      <c r="G8" s="1712"/>
      <c r="H8" s="2286" t="s">
        <v>1903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1899</v>
      </c>
      <c r="L13" s="1724"/>
    </row>
    <row r="14" spans="1:12" ht="12" customHeight="1">
      <c r="A14" s="1725">
        <v>1</v>
      </c>
      <c r="B14" s="2464" t="str">
        <f>'[22]Chấm công công nhân'!L51</f>
        <v>Thảo Xa Đết</v>
      </c>
      <c r="C14" s="2465" t="s">
        <v>1900</v>
      </c>
      <c r="D14" s="4956" t="s">
        <v>1904</v>
      </c>
      <c r="E14" s="2466" t="s">
        <v>1027</v>
      </c>
      <c r="F14" s="2466">
        <v>4</v>
      </c>
      <c r="G14" s="2468">
        <f>1/4</f>
        <v>0.25</v>
      </c>
      <c r="H14" s="2469">
        <f>F14/G14</f>
        <v>16</v>
      </c>
      <c r="I14" s="2470">
        <v>25000</v>
      </c>
      <c r="J14" s="2466"/>
      <c r="K14" s="2503">
        <f>I14*H14</f>
        <v>400000</v>
      </c>
      <c r="L14" s="1724"/>
    </row>
    <row r="15" spans="1:12" ht="12" customHeight="1">
      <c r="A15" s="1725">
        <v>2</v>
      </c>
      <c r="B15" s="2464" t="str">
        <f>'[22]Chấm công công nhân'!L52</f>
        <v>Thảo Sột</v>
      </c>
      <c r="C15" s="2465" t="s">
        <v>1900</v>
      </c>
      <c r="D15" s="4957"/>
      <c r="E15" s="2466" t="s">
        <v>1027</v>
      </c>
      <c r="F15" s="2466">
        <v>4</v>
      </c>
      <c r="G15" s="2468">
        <f t="shared" ref="G15:G32" si="0">1/4</f>
        <v>0.25</v>
      </c>
      <c r="H15" s="2469">
        <f t="shared" ref="H15:H32" si="1">F15/G15</f>
        <v>16</v>
      </c>
      <c r="I15" s="2470">
        <v>25000</v>
      </c>
      <c r="J15" s="2463"/>
      <c r="K15" s="2503">
        <f t="shared" ref="K15:K32" si="2">I15*H15</f>
        <v>400000</v>
      </c>
      <c r="L15" s="1724"/>
    </row>
    <row r="16" spans="1:12" ht="12" customHeight="1">
      <c r="A16" s="1725">
        <v>3</v>
      </c>
      <c r="B16" s="2464" t="str">
        <f>'[22]Chấm công công nhân'!L53</f>
        <v>Stoong</v>
      </c>
      <c r="C16" s="2465" t="s">
        <v>1900</v>
      </c>
      <c r="D16" s="4957"/>
      <c r="E16" s="2466" t="s">
        <v>1027</v>
      </c>
      <c r="F16" s="2466">
        <v>4</v>
      </c>
      <c r="G16" s="2468">
        <f t="shared" si="0"/>
        <v>0.25</v>
      </c>
      <c r="H16" s="2469">
        <f t="shared" si="1"/>
        <v>16</v>
      </c>
      <c r="I16" s="2470">
        <v>25000</v>
      </c>
      <c r="J16" s="2463"/>
      <c r="K16" s="2503">
        <f t="shared" si="2"/>
        <v>400000</v>
      </c>
      <c r="L16" s="1724"/>
    </row>
    <row r="17" spans="1:12" ht="12" customHeight="1">
      <c r="A17" s="1725">
        <v>4</v>
      </c>
      <c r="B17" s="2464" t="str">
        <f>'[22]Chấm công công nhân'!L54</f>
        <v>Nàng Phắt</v>
      </c>
      <c r="C17" s="2465" t="s">
        <v>1900</v>
      </c>
      <c r="D17" s="4957"/>
      <c r="E17" s="2466" t="s">
        <v>1027</v>
      </c>
      <c r="F17" s="2466">
        <v>4</v>
      </c>
      <c r="G17" s="2468">
        <f t="shared" si="0"/>
        <v>0.25</v>
      </c>
      <c r="H17" s="2469">
        <f t="shared" si="1"/>
        <v>16</v>
      </c>
      <c r="I17" s="2470">
        <v>25000</v>
      </c>
      <c r="J17" s="2463"/>
      <c r="K17" s="2503">
        <f t="shared" si="2"/>
        <v>400000</v>
      </c>
      <c r="L17" s="1724"/>
    </row>
    <row r="18" spans="1:12" ht="12" customHeight="1">
      <c r="A18" s="1725">
        <v>5</v>
      </c>
      <c r="B18" s="2464" t="str">
        <f>'[22]Chấm công công nhân'!L55</f>
        <v>Nàng May</v>
      </c>
      <c r="C18" s="2465" t="s">
        <v>1900</v>
      </c>
      <c r="D18" s="4957"/>
      <c r="E18" s="2466" t="s">
        <v>1027</v>
      </c>
      <c r="F18" s="2466">
        <v>4</v>
      </c>
      <c r="G18" s="2468">
        <f t="shared" si="0"/>
        <v>0.25</v>
      </c>
      <c r="H18" s="2469">
        <f t="shared" si="1"/>
        <v>16</v>
      </c>
      <c r="I18" s="2470">
        <v>25000</v>
      </c>
      <c r="J18" s="2466"/>
      <c r="K18" s="2503">
        <f t="shared" si="2"/>
        <v>400000</v>
      </c>
      <c r="L18" s="1724"/>
    </row>
    <row r="19" spans="1:12" ht="12" customHeight="1">
      <c r="A19" s="1725">
        <v>6</v>
      </c>
      <c r="B19" s="2464" t="str">
        <f>'[22]Chấm công công nhân'!L56</f>
        <v>Thảo Bênh</v>
      </c>
      <c r="C19" s="2465" t="s">
        <v>1900</v>
      </c>
      <c r="D19" s="4957"/>
      <c r="E19" s="2466" t="s">
        <v>1027</v>
      </c>
      <c r="F19" s="2466">
        <v>4</v>
      </c>
      <c r="G19" s="2468">
        <f t="shared" si="0"/>
        <v>0.25</v>
      </c>
      <c r="H19" s="2469">
        <f t="shared" si="1"/>
        <v>16</v>
      </c>
      <c r="I19" s="2470">
        <v>25000</v>
      </c>
      <c r="J19" s="2466"/>
      <c r="K19" s="2503">
        <f t="shared" si="2"/>
        <v>400000</v>
      </c>
      <c r="L19" s="1724"/>
    </row>
    <row r="20" spans="1:12" ht="12" customHeight="1">
      <c r="A20" s="1725">
        <v>7</v>
      </c>
      <c r="B20" s="2464" t="str">
        <f>'[22]Chấm công công nhân'!L57</f>
        <v>Thảo Đinh</v>
      </c>
      <c r="C20" s="2465" t="s">
        <v>1900</v>
      </c>
      <c r="D20" s="4957"/>
      <c r="E20" s="2466" t="s">
        <v>1027</v>
      </c>
      <c r="F20" s="2466">
        <v>4</v>
      </c>
      <c r="G20" s="2468">
        <f t="shared" si="0"/>
        <v>0.25</v>
      </c>
      <c r="H20" s="2469">
        <f t="shared" si="1"/>
        <v>16</v>
      </c>
      <c r="I20" s="2470">
        <v>25000</v>
      </c>
      <c r="J20" s="2463"/>
      <c r="K20" s="2503">
        <f t="shared" si="2"/>
        <v>400000</v>
      </c>
      <c r="L20" s="1724"/>
    </row>
    <row r="21" spans="1:12" ht="12" customHeight="1">
      <c r="A21" s="1725">
        <v>8</v>
      </c>
      <c r="B21" s="2464" t="str">
        <f>'[22]Chấm công công nhân'!L58</f>
        <v>Thảo Vi</v>
      </c>
      <c r="C21" s="2465" t="s">
        <v>1900</v>
      </c>
      <c r="D21" s="4957"/>
      <c r="E21" s="2466" t="s">
        <v>1027</v>
      </c>
      <c r="F21" s="2466">
        <v>4</v>
      </c>
      <c r="G21" s="2468">
        <f t="shared" si="0"/>
        <v>0.25</v>
      </c>
      <c r="H21" s="2469">
        <f t="shared" si="1"/>
        <v>16</v>
      </c>
      <c r="I21" s="2470">
        <v>25000</v>
      </c>
      <c r="J21" s="2463"/>
      <c r="K21" s="2503">
        <f t="shared" si="2"/>
        <v>400000</v>
      </c>
      <c r="L21" s="1724"/>
    </row>
    <row r="22" spans="1:12" ht="12" customHeight="1">
      <c r="A22" s="1725">
        <v>9</v>
      </c>
      <c r="B22" s="2464" t="str">
        <f>'[22]Chấm công công nhân'!L59</f>
        <v>Thảo Văn</v>
      </c>
      <c r="C22" s="2465" t="s">
        <v>1900</v>
      </c>
      <c r="D22" s="4957"/>
      <c r="E22" s="2466" t="s">
        <v>1027</v>
      </c>
      <c r="F22" s="2466">
        <v>4</v>
      </c>
      <c r="G22" s="2468">
        <f t="shared" si="0"/>
        <v>0.25</v>
      </c>
      <c r="H22" s="2469">
        <f t="shared" si="1"/>
        <v>16</v>
      </c>
      <c r="I22" s="2470">
        <v>25000</v>
      </c>
      <c r="J22" s="2463"/>
      <c r="K22" s="2503">
        <f t="shared" si="2"/>
        <v>400000</v>
      </c>
      <c r="L22" s="1724"/>
    </row>
    <row r="23" spans="1:12" ht="12" customHeight="1">
      <c r="A23" s="1725">
        <v>10</v>
      </c>
      <c r="B23" s="2464" t="str">
        <f>'[22]Chấm công công nhân'!L60</f>
        <v>Nàng Phìn</v>
      </c>
      <c r="C23" s="2465" t="s">
        <v>1900</v>
      </c>
      <c r="D23" s="4957"/>
      <c r="E23" s="2466" t="s">
        <v>1027</v>
      </c>
      <c r="F23" s="2466">
        <v>4</v>
      </c>
      <c r="G23" s="2468">
        <f t="shared" si="0"/>
        <v>0.25</v>
      </c>
      <c r="H23" s="2469">
        <f t="shared" si="1"/>
        <v>16</v>
      </c>
      <c r="I23" s="2470">
        <v>25000</v>
      </c>
      <c r="J23" s="2466"/>
      <c r="K23" s="2503">
        <f t="shared" si="2"/>
        <v>400000</v>
      </c>
      <c r="L23" s="1724"/>
    </row>
    <row r="24" spans="1:12" ht="12" customHeight="1">
      <c r="A24" s="1725">
        <v>11</v>
      </c>
      <c r="B24" s="2464" t="str">
        <f>'[22]Chấm công công nhân'!L61</f>
        <v>Mẹ Sột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0.25</v>
      </c>
      <c r="H24" s="2469">
        <f t="shared" si="1"/>
        <v>16</v>
      </c>
      <c r="I24" s="2470">
        <v>25000</v>
      </c>
      <c r="J24" s="2466"/>
      <c r="K24" s="2503">
        <f t="shared" si="2"/>
        <v>400000</v>
      </c>
      <c r="L24" s="1724"/>
    </row>
    <row r="25" spans="1:12" ht="12" customHeight="1">
      <c r="A25" s="1725">
        <v>12</v>
      </c>
      <c r="B25" s="2464" t="str">
        <f>'[22]Chấm công công nhân'!L62</f>
        <v>Nàng Heo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0.25</v>
      </c>
      <c r="H25" s="2469">
        <f t="shared" si="1"/>
        <v>16</v>
      </c>
      <c r="I25" s="2470">
        <v>25000</v>
      </c>
      <c r="J25" s="2463"/>
      <c r="K25" s="2503">
        <f t="shared" si="2"/>
        <v>400000</v>
      </c>
      <c r="L25" s="1724"/>
    </row>
    <row r="26" spans="1:12" ht="12" customHeight="1">
      <c r="A26" s="1725">
        <v>13</v>
      </c>
      <c r="B26" s="2464" t="str">
        <f>'[22]Chấm công công nhân'!L63</f>
        <v>Thảo Chăn Ti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0.25</v>
      </c>
      <c r="H26" s="2469">
        <f t="shared" si="1"/>
        <v>16</v>
      </c>
      <c r="I26" s="2470">
        <v>25000</v>
      </c>
      <c r="J26" s="2463"/>
      <c r="K26" s="2503">
        <f t="shared" si="2"/>
        <v>400000</v>
      </c>
      <c r="L26" s="1724"/>
    </row>
    <row r="27" spans="1:12" ht="12" customHeight="1">
      <c r="A27" s="1725">
        <v>14</v>
      </c>
      <c r="B27" s="2464" t="str">
        <f>'[22]Chấm công công nhân'!L64</f>
        <v>Nàng Ve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0.25</v>
      </c>
      <c r="H27" s="2469">
        <f t="shared" si="1"/>
        <v>16</v>
      </c>
      <c r="I27" s="2470">
        <v>25000</v>
      </c>
      <c r="J27" s="2463"/>
      <c r="K27" s="2503">
        <f t="shared" si="2"/>
        <v>400000</v>
      </c>
      <c r="L27" s="1724"/>
    </row>
    <row r="28" spans="1:12" ht="12" customHeight="1">
      <c r="A28" s="1725">
        <v>15</v>
      </c>
      <c r="B28" s="2464" t="str">
        <f>'[22]Chấm công công nhân'!L65</f>
        <v>Nàng Phết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0.25</v>
      </c>
      <c r="H28" s="2469">
        <f t="shared" si="1"/>
        <v>16</v>
      </c>
      <c r="I28" s="2470">
        <v>25000</v>
      </c>
      <c r="J28" s="2466"/>
      <c r="K28" s="2503">
        <f t="shared" si="2"/>
        <v>400000</v>
      </c>
      <c r="L28" s="1724"/>
    </row>
    <row r="29" spans="1:12" ht="12" customHeight="1">
      <c r="A29" s="1725">
        <v>16</v>
      </c>
      <c r="B29" s="2464" t="str">
        <f>'[22]Chấm công công nhân'!L66</f>
        <v>Thảo On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0.25</v>
      </c>
      <c r="H29" s="2469">
        <f t="shared" si="1"/>
        <v>16</v>
      </c>
      <c r="I29" s="2470">
        <v>25000</v>
      </c>
      <c r="J29" s="2466"/>
      <c r="K29" s="2503">
        <f t="shared" si="2"/>
        <v>400000</v>
      </c>
      <c r="L29" s="1724"/>
    </row>
    <row r="30" spans="1:12" ht="12" customHeight="1">
      <c r="A30" s="1725">
        <v>17</v>
      </c>
      <c r="B30" s="2464" t="str">
        <f>'[22]Chấm công công nhân'!L67</f>
        <v>Thảo Sum</v>
      </c>
      <c r="C30" s="2465" t="s">
        <v>1900</v>
      </c>
      <c r="D30" s="4957"/>
      <c r="E30" s="2466" t="s">
        <v>1027</v>
      </c>
      <c r="F30" s="2466">
        <v>4</v>
      </c>
      <c r="G30" s="2468">
        <f t="shared" si="0"/>
        <v>0.25</v>
      </c>
      <c r="H30" s="2469">
        <f t="shared" si="1"/>
        <v>16</v>
      </c>
      <c r="I30" s="2470">
        <v>25000</v>
      </c>
      <c r="J30" s="2463"/>
      <c r="K30" s="2503">
        <f t="shared" si="2"/>
        <v>400000</v>
      </c>
      <c r="L30" s="1724"/>
    </row>
    <row r="31" spans="1:12" ht="12" customHeight="1">
      <c r="A31" s="1725">
        <v>18</v>
      </c>
      <c r="B31" s="2464" t="str">
        <f>'[22]Chấm công công nhân'!L68</f>
        <v>Cha La</v>
      </c>
      <c r="C31" s="2465" t="s">
        <v>1900</v>
      </c>
      <c r="D31" s="4957"/>
      <c r="E31" s="2466" t="s">
        <v>1027</v>
      </c>
      <c r="F31" s="2466">
        <v>4</v>
      </c>
      <c r="G31" s="2468">
        <f t="shared" si="0"/>
        <v>0.25</v>
      </c>
      <c r="H31" s="2469">
        <f t="shared" si="1"/>
        <v>16</v>
      </c>
      <c r="I31" s="2470">
        <v>25000</v>
      </c>
      <c r="J31" s="2463"/>
      <c r="K31" s="2503">
        <f t="shared" si="2"/>
        <v>400000</v>
      </c>
      <c r="L31" s="1724"/>
    </row>
    <row r="32" spans="1:12" ht="12" customHeight="1">
      <c r="A32" s="1725">
        <v>19</v>
      </c>
      <c r="B32" s="2464" t="str">
        <f>'[22]Chấm công công nhân'!L69</f>
        <v>Nàng Binh</v>
      </c>
      <c r="C32" s="2465" t="s">
        <v>1900</v>
      </c>
      <c r="D32" s="4957"/>
      <c r="E32" s="2466" t="s">
        <v>1027</v>
      </c>
      <c r="F32" s="2466">
        <v>4</v>
      </c>
      <c r="G32" s="2468">
        <f t="shared" si="0"/>
        <v>0.25</v>
      </c>
      <c r="H32" s="2469">
        <f t="shared" si="1"/>
        <v>16</v>
      </c>
      <c r="I32" s="2470">
        <v>25000</v>
      </c>
      <c r="J32" s="2463"/>
      <c r="K32" s="2503">
        <f t="shared" si="2"/>
        <v>400000</v>
      </c>
      <c r="L32" s="1724"/>
    </row>
    <row r="33" spans="1:12">
      <c r="A33" s="4955" t="s">
        <v>21</v>
      </c>
      <c r="B33" s="4955"/>
      <c r="C33" s="4955"/>
      <c r="D33" s="4955"/>
      <c r="E33" s="1724"/>
      <c r="F33" s="3903">
        <f>SUM(F14:F32)</f>
        <v>76</v>
      </c>
      <c r="G33" s="3903"/>
      <c r="H33" s="2288">
        <f>SUM(H14:H32)</f>
        <v>304</v>
      </c>
      <c r="I33" s="3903"/>
      <c r="J33" s="3903">
        <f>SUM(J14:J32)</f>
        <v>0</v>
      </c>
      <c r="K33" s="2504">
        <f>SUM(K14:K32)</f>
        <v>7600000</v>
      </c>
      <c r="L33" s="3903"/>
    </row>
    <row r="34" spans="1:12" ht="15.75">
      <c r="A34" s="1731" t="s">
        <v>1028</v>
      </c>
      <c r="B34" s="1732"/>
    </row>
    <row r="35" spans="1:12" ht="15.75">
      <c r="A35" s="1733" t="s">
        <v>1029</v>
      </c>
      <c r="B35" s="1734"/>
    </row>
    <row r="36" spans="1:12" ht="15.75">
      <c r="A36" s="1733" t="s">
        <v>1030</v>
      </c>
      <c r="B36" s="1734"/>
    </row>
    <row r="37" spans="1:12" ht="15.75">
      <c r="B37" s="3950" t="s">
        <v>162</v>
      </c>
      <c r="C37" s="3950"/>
      <c r="D37" s="1735"/>
      <c r="E37" s="1735"/>
      <c r="F37" s="1736" t="s">
        <v>1031</v>
      </c>
      <c r="I37" s="1736"/>
      <c r="J37" s="1736"/>
    </row>
    <row r="41" spans="1:12">
      <c r="B41" s="4952"/>
      <c r="C41" s="4952"/>
    </row>
  </sheetData>
  <mergeCells count="10">
    <mergeCell ref="D14:D32"/>
    <mergeCell ref="A33:D33"/>
    <mergeCell ref="B37:C37"/>
    <mergeCell ref="B41:C41"/>
    <mergeCell ref="A1:L1"/>
    <mergeCell ref="A2:L2"/>
    <mergeCell ref="A3:G3"/>
    <mergeCell ref="A4:G4"/>
    <mergeCell ref="A5:L5"/>
    <mergeCell ref="B6:L6"/>
  </mergeCells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topLeftCell="A10" workbookViewId="0">
      <selection activeCell="A10" sqref="A1:XFD1048576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  <c r="K5" s="4953"/>
      <c r="L5" s="4953"/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1902</v>
      </c>
      <c r="C8" s="1713"/>
      <c r="D8" s="3904"/>
      <c r="E8" s="1712"/>
      <c r="G8" s="1712"/>
      <c r="H8" s="2286" t="s">
        <v>1903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1899</v>
      </c>
      <c r="L13" s="1724"/>
    </row>
    <row r="14" spans="1:12" ht="12" customHeight="1">
      <c r="A14" s="1725">
        <v>1</v>
      </c>
      <c r="B14" s="2464" t="str">
        <f>'[22]Chấm công công nhân'!L51</f>
        <v>Thảo Xa Đết</v>
      </c>
      <c r="C14" s="2465" t="s">
        <v>1900</v>
      </c>
      <c r="D14" s="4956" t="s">
        <v>169</v>
      </c>
      <c r="E14" s="2466" t="s">
        <v>1027</v>
      </c>
      <c r="F14" s="2466"/>
      <c r="G14" s="2468">
        <f>1/6</f>
        <v>0.16666666666666666</v>
      </c>
      <c r="H14" s="2469">
        <f>F14/G14</f>
        <v>0</v>
      </c>
      <c r="I14" s="2470">
        <v>25000</v>
      </c>
      <c r="J14" s="2466"/>
      <c r="K14" s="2503">
        <f>I14*H14</f>
        <v>0</v>
      </c>
      <c r="L14" s="1724"/>
    </row>
    <row r="15" spans="1:12" ht="12" customHeight="1">
      <c r="A15" s="1725">
        <v>2</v>
      </c>
      <c r="B15" s="2464" t="str">
        <f>'[22]Chấm công công nhân'!L52</f>
        <v>Thảo Sột</v>
      </c>
      <c r="C15" s="2465" t="s">
        <v>1900</v>
      </c>
      <c r="D15" s="4957"/>
      <c r="E15" s="2466" t="s">
        <v>1027</v>
      </c>
      <c r="F15" s="2466"/>
      <c r="G15" s="2468">
        <f t="shared" ref="G15:G32" si="0">1/6</f>
        <v>0.16666666666666666</v>
      </c>
      <c r="H15" s="2469">
        <f t="shared" ref="H15:H32" si="1">F15/G15</f>
        <v>0</v>
      </c>
      <c r="I15" s="2470">
        <v>25000</v>
      </c>
      <c r="J15" s="2463"/>
      <c r="K15" s="2503">
        <f t="shared" ref="K15:K32" si="2">I15*H15</f>
        <v>0</v>
      </c>
      <c r="L15" s="1724"/>
    </row>
    <row r="16" spans="1:12" ht="12" customHeight="1">
      <c r="A16" s="1725">
        <v>3</v>
      </c>
      <c r="B16" s="2464" t="str">
        <f>'[22]Chấm công công nhân'!L53</f>
        <v>Stoong</v>
      </c>
      <c r="C16" s="2465" t="s">
        <v>1900</v>
      </c>
      <c r="D16" s="4957"/>
      <c r="E16" s="2466" t="s">
        <v>1027</v>
      </c>
      <c r="F16" s="2466"/>
      <c r="G16" s="2468">
        <f t="shared" si="0"/>
        <v>0.16666666666666666</v>
      </c>
      <c r="H16" s="2469">
        <f t="shared" si="1"/>
        <v>0</v>
      </c>
      <c r="I16" s="2470">
        <v>25000</v>
      </c>
      <c r="J16" s="2463"/>
      <c r="K16" s="2503">
        <f t="shared" si="2"/>
        <v>0</v>
      </c>
      <c r="L16" s="1724"/>
    </row>
    <row r="17" spans="1:12" ht="12" customHeight="1">
      <c r="A17" s="1725">
        <v>4</v>
      </c>
      <c r="B17" s="2464" t="str">
        <f>'[22]Chấm công công nhân'!L54</f>
        <v>Nàng Phắt</v>
      </c>
      <c r="C17" s="2465" t="s">
        <v>1900</v>
      </c>
      <c r="D17" s="4957"/>
      <c r="E17" s="2466" t="s">
        <v>1027</v>
      </c>
      <c r="F17" s="2466"/>
      <c r="G17" s="2468">
        <f t="shared" si="0"/>
        <v>0.16666666666666666</v>
      </c>
      <c r="H17" s="2469">
        <f t="shared" si="1"/>
        <v>0</v>
      </c>
      <c r="I17" s="2470">
        <v>25000</v>
      </c>
      <c r="J17" s="2463"/>
      <c r="K17" s="2503">
        <f t="shared" si="2"/>
        <v>0</v>
      </c>
      <c r="L17" s="1724"/>
    </row>
    <row r="18" spans="1:12" ht="12" customHeight="1">
      <c r="A18" s="1725">
        <v>5</v>
      </c>
      <c r="B18" s="2464" t="str">
        <f>'[22]Chấm công công nhân'!L55</f>
        <v>Nàng May</v>
      </c>
      <c r="C18" s="2465" t="s">
        <v>1900</v>
      </c>
      <c r="D18" s="4957"/>
      <c r="E18" s="2466" t="s">
        <v>1027</v>
      </c>
      <c r="F18" s="2466"/>
      <c r="G18" s="2468">
        <f t="shared" si="0"/>
        <v>0.16666666666666666</v>
      </c>
      <c r="H18" s="2469">
        <f t="shared" si="1"/>
        <v>0</v>
      </c>
      <c r="I18" s="2470">
        <v>25000</v>
      </c>
      <c r="J18" s="2466"/>
      <c r="K18" s="2503">
        <f t="shared" si="2"/>
        <v>0</v>
      </c>
      <c r="L18" s="1724"/>
    </row>
    <row r="19" spans="1:12" ht="12" customHeight="1">
      <c r="A19" s="1725">
        <v>6</v>
      </c>
      <c r="B19" s="2464" t="str">
        <f>'[22]Chấm công công nhân'!L56</f>
        <v>Thảo Bênh</v>
      </c>
      <c r="C19" s="2465" t="s">
        <v>1900</v>
      </c>
      <c r="D19" s="4957"/>
      <c r="E19" s="2466" t="s">
        <v>1027</v>
      </c>
      <c r="F19" s="2466"/>
      <c r="G19" s="2468">
        <f t="shared" si="0"/>
        <v>0.16666666666666666</v>
      </c>
      <c r="H19" s="2469">
        <f t="shared" si="1"/>
        <v>0</v>
      </c>
      <c r="I19" s="2470">
        <v>25000</v>
      </c>
      <c r="J19" s="2466"/>
      <c r="K19" s="2503">
        <f t="shared" si="2"/>
        <v>0</v>
      </c>
      <c r="L19" s="1724"/>
    </row>
    <row r="20" spans="1:12" ht="12" customHeight="1">
      <c r="A20" s="1725">
        <v>7</v>
      </c>
      <c r="B20" s="2464" t="str">
        <f>'[22]Chấm công công nhân'!L57</f>
        <v>Thảo Đinh</v>
      </c>
      <c r="C20" s="2465" t="s">
        <v>1900</v>
      </c>
      <c r="D20" s="4957"/>
      <c r="E20" s="2466" t="s">
        <v>1027</v>
      </c>
      <c r="F20" s="2466"/>
      <c r="G20" s="2468">
        <f t="shared" si="0"/>
        <v>0.16666666666666666</v>
      </c>
      <c r="H20" s="2469">
        <f t="shared" si="1"/>
        <v>0</v>
      </c>
      <c r="I20" s="2470">
        <v>25000</v>
      </c>
      <c r="J20" s="2463"/>
      <c r="K20" s="2503">
        <f t="shared" si="2"/>
        <v>0</v>
      </c>
      <c r="L20" s="1724"/>
    </row>
    <row r="21" spans="1:12" ht="12" customHeight="1">
      <c r="A21" s="1725">
        <v>8</v>
      </c>
      <c r="B21" s="2464" t="str">
        <f>'[22]Chấm công công nhân'!L58</f>
        <v>Thảo Vi</v>
      </c>
      <c r="C21" s="2465" t="s">
        <v>1900</v>
      </c>
      <c r="D21" s="4957"/>
      <c r="E21" s="2466" t="s">
        <v>1027</v>
      </c>
      <c r="F21" s="2466"/>
      <c r="G21" s="2468">
        <f t="shared" si="0"/>
        <v>0.16666666666666666</v>
      </c>
      <c r="H21" s="2469">
        <f t="shared" si="1"/>
        <v>0</v>
      </c>
      <c r="I21" s="2470">
        <v>25000</v>
      </c>
      <c r="J21" s="2463"/>
      <c r="K21" s="2503">
        <f t="shared" si="2"/>
        <v>0</v>
      </c>
      <c r="L21" s="1724"/>
    </row>
    <row r="22" spans="1:12" ht="12" customHeight="1">
      <c r="A22" s="1725">
        <v>9</v>
      </c>
      <c r="B22" s="2464" t="str">
        <f>'[22]Chấm công công nhân'!L59</f>
        <v>Thảo Văn</v>
      </c>
      <c r="C22" s="2465" t="s">
        <v>1900</v>
      </c>
      <c r="D22" s="4957"/>
      <c r="E22" s="2466" t="s">
        <v>1027</v>
      </c>
      <c r="F22" s="2466"/>
      <c r="G22" s="2468">
        <f t="shared" si="0"/>
        <v>0.16666666666666666</v>
      </c>
      <c r="H22" s="2469">
        <f t="shared" si="1"/>
        <v>0</v>
      </c>
      <c r="I22" s="2470">
        <v>25000</v>
      </c>
      <c r="J22" s="2463"/>
      <c r="K22" s="2503">
        <f t="shared" si="2"/>
        <v>0</v>
      </c>
      <c r="L22" s="1724"/>
    </row>
    <row r="23" spans="1:12" ht="12" customHeight="1">
      <c r="A23" s="1725">
        <v>10</v>
      </c>
      <c r="B23" s="2464" t="str">
        <f>'[22]Chấm công công nhân'!L60</f>
        <v>Nàng Phìn</v>
      </c>
      <c r="C23" s="2465" t="s">
        <v>1900</v>
      </c>
      <c r="D23" s="4957"/>
      <c r="E23" s="2466" t="s">
        <v>1027</v>
      </c>
      <c r="F23" s="2466"/>
      <c r="G23" s="2468">
        <f t="shared" si="0"/>
        <v>0.16666666666666666</v>
      </c>
      <c r="H23" s="2469">
        <f t="shared" si="1"/>
        <v>0</v>
      </c>
      <c r="I23" s="2470">
        <v>25000</v>
      </c>
      <c r="J23" s="2466"/>
      <c r="K23" s="2503">
        <f t="shared" si="2"/>
        <v>0</v>
      </c>
      <c r="L23" s="1724"/>
    </row>
    <row r="24" spans="1:12" ht="12" customHeight="1">
      <c r="A24" s="1725">
        <v>11</v>
      </c>
      <c r="B24" s="2464" t="str">
        <f>'[22]Chấm công công nhân'!L61</f>
        <v>Mẹ Sột</v>
      </c>
      <c r="C24" s="2465" t="s">
        <v>1900</v>
      </c>
      <c r="D24" s="4957"/>
      <c r="E24" s="2466" t="s">
        <v>1027</v>
      </c>
      <c r="F24" s="2466"/>
      <c r="G24" s="2468">
        <f t="shared" si="0"/>
        <v>0.16666666666666666</v>
      </c>
      <c r="H24" s="2469">
        <f t="shared" si="1"/>
        <v>0</v>
      </c>
      <c r="I24" s="2470">
        <v>25000</v>
      </c>
      <c r="J24" s="2466"/>
      <c r="K24" s="2503">
        <f t="shared" si="2"/>
        <v>0</v>
      </c>
      <c r="L24" s="1724"/>
    </row>
    <row r="25" spans="1:12" ht="12" customHeight="1">
      <c r="A25" s="1725">
        <v>12</v>
      </c>
      <c r="B25" s="2464" t="str">
        <f>'[22]Chấm công công nhân'!L62</f>
        <v>Nàng Heo</v>
      </c>
      <c r="C25" s="2465" t="s">
        <v>1900</v>
      </c>
      <c r="D25" s="4957"/>
      <c r="E25" s="2466" t="s">
        <v>1027</v>
      </c>
      <c r="F25" s="2466"/>
      <c r="G25" s="2468">
        <f t="shared" si="0"/>
        <v>0.16666666666666666</v>
      </c>
      <c r="H25" s="2469">
        <f t="shared" si="1"/>
        <v>0</v>
      </c>
      <c r="I25" s="2470">
        <v>25000</v>
      </c>
      <c r="J25" s="2463"/>
      <c r="K25" s="2503">
        <f t="shared" si="2"/>
        <v>0</v>
      </c>
      <c r="L25" s="1724"/>
    </row>
    <row r="26" spans="1:12" ht="12" customHeight="1">
      <c r="A26" s="1725">
        <v>13</v>
      </c>
      <c r="B26" s="2464" t="str">
        <f>'[22]Chấm công công nhân'!L63</f>
        <v>Thảo Chăn Ti</v>
      </c>
      <c r="C26" s="2465" t="s">
        <v>1900</v>
      </c>
      <c r="D26" s="4957"/>
      <c r="E26" s="2466" t="s">
        <v>1027</v>
      </c>
      <c r="F26" s="2466"/>
      <c r="G26" s="2468">
        <f t="shared" si="0"/>
        <v>0.16666666666666666</v>
      </c>
      <c r="H26" s="2469">
        <f t="shared" si="1"/>
        <v>0</v>
      </c>
      <c r="I26" s="2470">
        <v>25000</v>
      </c>
      <c r="J26" s="2463"/>
      <c r="K26" s="2503">
        <f t="shared" si="2"/>
        <v>0</v>
      </c>
      <c r="L26" s="1724"/>
    </row>
    <row r="27" spans="1:12" ht="12" customHeight="1">
      <c r="A27" s="1725">
        <v>14</v>
      </c>
      <c r="B27" s="2464" t="str">
        <f>'[22]Chấm công công nhân'!L64</f>
        <v>Nàng Ve</v>
      </c>
      <c r="C27" s="2465" t="s">
        <v>1900</v>
      </c>
      <c r="D27" s="4957"/>
      <c r="E27" s="2466" t="s">
        <v>1027</v>
      </c>
      <c r="F27" s="2466"/>
      <c r="G27" s="2468">
        <f t="shared" si="0"/>
        <v>0.16666666666666666</v>
      </c>
      <c r="H27" s="2469">
        <f t="shared" si="1"/>
        <v>0</v>
      </c>
      <c r="I27" s="2470">
        <v>25000</v>
      </c>
      <c r="J27" s="2463"/>
      <c r="K27" s="2503">
        <f t="shared" si="2"/>
        <v>0</v>
      </c>
      <c r="L27" s="1724"/>
    </row>
    <row r="28" spans="1:12" ht="12" customHeight="1">
      <c r="A28" s="1725">
        <v>15</v>
      </c>
      <c r="B28" s="2464" t="str">
        <f>'[22]Chấm công công nhân'!L65</f>
        <v>Nàng Phết</v>
      </c>
      <c r="C28" s="2465" t="s">
        <v>1900</v>
      </c>
      <c r="D28" s="4957"/>
      <c r="E28" s="2466" t="s">
        <v>1027</v>
      </c>
      <c r="F28" s="2466"/>
      <c r="G28" s="2468">
        <f t="shared" si="0"/>
        <v>0.16666666666666666</v>
      </c>
      <c r="H28" s="2469">
        <f t="shared" si="1"/>
        <v>0</v>
      </c>
      <c r="I28" s="2470">
        <v>25000</v>
      </c>
      <c r="J28" s="2466"/>
      <c r="K28" s="2503">
        <f t="shared" si="2"/>
        <v>0</v>
      </c>
      <c r="L28" s="1724"/>
    </row>
    <row r="29" spans="1:12" ht="12" customHeight="1">
      <c r="A29" s="1725">
        <v>16</v>
      </c>
      <c r="B29" s="2464" t="str">
        <f>'[22]Chấm công công nhân'!L66</f>
        <v>Thảo On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0.16666666666666666</v>
      </c>
      <c r="H29" s="2469">
        <f t="shared" si="1"/>
        <v>24</v>
      </c>
      <c r="I29" s="2470">
        <v>25000</v>
      </c>
      <c r="J29" s="2466"/>
      <c r="K29" s="2503">
        <f t="shared" si="2"/>
        <v>600000</v>
      </c>
      <c r="L29" s="1724"/>
    </row>
    <row r="30" spans="1:12" ht="12" customHeight="1">
      <c r="A30" s="1725">
        <v>17</v>
      </c>
      <c r="B30" s="2464" t="str">
        <f>'[22]Chấm công công nhân'!L67</f>
        <v>Thảo Sum</v>
      </c>
      <c r="C30" s="2465" t="s">
        <v>1900</v>
      </c>
      <c r="D30" s="4957"/>
      <c r="E30" s="2466" t="s">
        <v>1027</v>
      </c>
      <c r="F30" s="2466">
        <v>4</v>
      </c>
      <c r="G30" s="2468">
        <f t="shared" si="0"/>
        <v>0.16666666666666666</v>
      </c>
      <c r="H30" s="2469">
        <f t="shared" si="1"/>
        <v>24</v>
      </c>
      <c r="I30" s="2470">
        <v>25000</v>
      </c>
      <c r="J30" s="2463"/>
      <c r="K30" s="2503">
        <f t="shared" si="2"/>
        <v>600000</v>
      </c>
      <c r="L30" s="1724"/>
    </row>
    <row r="31" spans="1:12" ht="12" customHeight="1">
      <c r="A31" s="1725">
        <v>18</v>
      </c>
      <c r="B31" s="2464" t="str">
        <f>'[22]Chấm công công nhân'!L68</f>
        <v>Cha La</v>
      </c>
      <c r="C31" s="2465" t="s">
        <v>1900</v>
      </c>
      <c r="D31" s="4957"/>
      <c r="E31" s="2466" t="s">
        <v>1027</v>
      </c>
      <c r="F31" s="2466">
        <v>4</v>
      </c>
      <c r="G31" s="2468">
        <f t="shared" si="0"/>
        <v>0.16666666666666666</v>
      </c>
      <c r="H31" s="2469">
        <f t="shared" si="1"/>
        <v>24</v>
      </c>
      <c r="I31" s="2470">
        <v>25000</v>
      </c>
      <c r="J31" s="2463"/>
      <c r="K31" s="2503">
        <f t="shared" si="2"/>
        <v>600000</v>
      </c>
      <c r="L31" s="1724"/>
    </row>
    <row r="32" spans="1:12" ht="12" customHeight="1">
      <c r="A32" s="1725">
        <v>19</v>
      </c>
      <c r="B32" s="2464" t="str">
        <f>'[22]Chấm công công nhân'!L69</f>
        <v>Nàng Binh</v>
      </c>
      <c r="C32" s="2465" t="s">
        <v>1900</v>
      </c>
      <c r="D32" s="4957"/>
      <c r="E32" s="2466" t="s">
        <v>1027</v>
      </c>
      <c r="F32" s="2466">
        <v>4</v>
      </c>
      <c r="G32" s="2468">
        <f t="shared" si="0"/>
        <v>0.16666666666666666</v>
      </c>
      <c r="H32" s="2469">
        <f t="shared" si="1"/>
        <v>24</v>
      </c>
      <c r="I32" s="2470">
        <v>25000</v>
      </c>
      <c r="J32" s="2463"/>
      <c r="K32" s="2503">
        <f t="shared" si="2"/>
        <v>600000</v>
      </c>
      <c r="L32" s="1724"/>
    </row>
    <row r="33" spans="1:12">
      <c r="A33" s="4955" t="s">
        <v>21</v>
      </c>
      <c r="B33" s="4955"/>
      <c r="C33" s="4955"/>
      <c r="D33" s="4955"/>
      <c r="E33" s="1724"/>
      <c r="F33" s="3903">
        <f>SUM(F14:F32)</f>
        <v>16</v>
      </c>
      <c r="G33" s="3903"/>
      <c r="H33" s="2288">
        <f>SUM(H14:H32)</f>
        <v>96</v>
      </c>
      <c r="I33" s="3903"/>
      <c r="J33" s="3903">
        <f>SUM(J14:J32)</f>
        <v>0</v>
      </c>
      <c r="K33" s="2504">
        <f>SUM(K14:K32)</f>
        <v>2400000</v>
      </c>
      <c r="L33" s="3903"/>
    </row>
    <row r="34" spans="1:12" ht="15.75">
      <c r="A34" s="1731" t="s">
        <v>1028</v>
      </c>
      <c r="B34" s="1732"/>
    </row>
    <row r="35" spans="1:12" ht="15.75">
      <c r="A35" s="1733" t="s">
        <v>1029</v>
      </c>
      <c r="B35" s="1734"/>
    </row>
    <row r="36" spans="1:12" ht="15.75">
      <c r="A36" s="1733" t="s">
        <v>1030</v>
      </c>
      <c r="B36" s="1734"/>
    </row>
    <row r="37" spans="1:12" ht="15.75">
      <c r="B37" s="3950" t="s">
        <v>162</v>
      </c>
      <c r="C37" s="3950"/>
      <c r="D37" s="1735"/>
      <c r="E37" s="1735"/>
      <c r="F37" s="1736" t="s">
        <v>1031</v>
      </c>
      <c r="I37" s="1736"/>
      <c r="J37" s="1736"/>
    </row>
    <row r="41" spans="1:12">
      <c r="B41" s="4952"/>
      <c r="C41" s="4952"/>
    </row>
  </sheetData>
  <mergeCells count="10">
    <mergeCell ref="D14:D32"/>
    <mergeCell ref="A33:D33"/>
    <mergeCell ref="B37:C37"/>
    <mergeCell ref="B41:C41"/>
    <mergeCell ref="A1:L1"/>
    <mergeCell ref="A2:L2"/>
    <mergeCell ref="A3:G3"/>
    <mergeCell ref="A4:G4"/>
    <mergeCell ref="A5:L5"/>
    <mergeCell ref="B6:L6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"/>
  <sheetViews>
    <sheetView topLeftCell="A12" workbookViewId="0">
      <selection activeCell="I26" sqref="I26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49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2283"/>
      <c r="I3" s="1706"/>
      <c r="J3" s="1706"/>
      <c r="K3" s="2498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  <c r="K5" s="4953"/>
      <c r="L5" s="4953"/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2500"/>
      <c r="L7" s="1712"/>
    </row>
    <row r="8" spans="1:12">
      <c r="A8" s="1712"/>
      <c r="B8" s="1713" t="s">
        <v>1902</v>
      </c>
      <c r="C8" s="1713"/>
      <c r="D8" s="3904"/>
      <c r="E8" s="1712"/>
      <c r="G8" s="1712"/>
      <c r="H8" s="2286" t="s">
        <v>1903</v>
      </c>
      <c r="I8" s="3904"/>
      <c r="J8" s="3904"/>
      <c r="K8" s="2500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2500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2500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2500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2501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1899</v>
      </c>
      <c r="L13" s="1724"/>
    </row>
    <row r="14" spans="1:12" ht="12" customHeight="1">
      <c r="A14" s="1725">
        <v>1</v>
      </c>
      <c r="B14" s="2464" t="str">
        <f>'[22]Chấm công công nhân'!L51</f>
        <v>Thảo Xa Đết</v>
      </c>
      <c r="C14" s="2465" t="s">
        <v>1900</v>
      </c>
      <c r="D14" s="4956" t="s">
        <v>1907</v>
      </c>
      <c r="E14" s="2466" t="s">
        <v>1027</v>
      </c>
      <c r="F14" s="2466">
        <v>4</v>
      </c>
      <c r="G14" s="2468">
        <f>25000/200000</f>
        <v>0.125</v>
      </c>
      <c r="H14" s="2469">
        <f>F14/G14</f>
        <v>32</v>
      </c>
      <c r="I14" s="2470">
        <v>25000</v>
      </c>
      <c r="J14" s="2466"/>
      <c r="K14" s="2503">
        <f>I14*H14</f>
        <v>800000</v>
      </c>
      <c r="L14" s="1724"/>
    </row>
    <row r="15" spans="1:12" ht="12" customHeight="1">
      <c r="A15" s="1725">
        <v>2</v>
      </c>
      <c r="B15" s="2464" t="str">
        <f>'[22]Chấm công công nhân'!L52</f>
        <v>Thảo Sột</v>
      </c>
      <c r="C15" s="2465" t="s">
        <v>1900</v>
      </c>
      <c r="D15" s="4957"/>
      <c r="E15" s="2466" t="s">
        <v>1027</v>
      </c>
      <c r="F15" s="2466">
        <v>4</v>
      </c>
      <c r="G15" s="2468">
        <f t="shared" ref="G15:G32" si="0">25000/200000</f>
        <v>0.125</v>
      </c>
      <c r="H15" s="2469">
        <f t="shared" ref="H15:H32" si="1">F15/G15</f>
        <v>32</v>
      </c>
      <c r="I15" s="2470">
        <v>25000</v>
      </c>
      <c r="J15" s="2463"/>
      <c r="K15" s="2503">
        <f t="shared" ref="K15:K32" si="2">I15*H15</f>
        <v>800000</v>
      </c>
      <c r="L15" s="1724"/>
    </row>
    <row r="16" spans="1:12" ht="12" customHeight="1">
      <c r="A16" s="1725">
        <v>3</v>
      </c>
      <c r="B16" s="2464" t="str">
        <f>'[22]Chấm công công nhân'!L53</f>
        <v>Stoong</v>
      </c>
      <c r="C16" s="2465" t="s">
        <v>1900</v>
      </c>
      <c r="D16" s="4957"/>
      <c r="E16" s="2466" t="s">
        <v>1027</v>
      </c>
      <c r="F16" s="2466">
        <v>4</v>
      </c>
      <c r="G16" s="2468">
        <f t="shared" si="0"/>
        <v>0.125</v>
      </c>
      <c r="H16" s="2469">
        <f t="shared" si="1"/>
        <v>32</v>
      </c>
      <c r="I16" s="2470">
        <v>25000</v>
      </c>
      <c r="J16" s="2463"/>
      <c r="K16" s="2503">
        <f t="shared" si="2"/>
        <v>800000</v>
      </c>
      <c r="L16" s="1724"/>
    </row>
    <row r="17" spans="1:12" ht="12" customHeight="1">
      <c r="A17" s="1725">
        <v>4</v>
      </c>
      <c r="B17" s="2464" t="str">
        <f>'[22]Chấm công công nhân'!L54</f>
        <v>Nàng Phắt</v>
      </c>
      <c r="C17" s="2465" t="s">
        <v>1900</v>
      </c>
      <c r="D17" s="4957"/>
      <c r="E17" s="2466" t="s">
        <v>1027</v>
      </c>
      <c r="F17" s="2466">
        <v>4</v>
      </c>
      <c r="G17" s="2468">
        <f t="shared" si="0"/>
        <v>0.125</v>
      </c>
      <c r="H17" s="2469">
        <f t="shared" si="1"/>
        <v>32</v>
      </c>
      <c r="I17" s="2470">
        <v>25000</v>
      </c>
      <c r="J17" s="2463"/>
      <c r="K17" s="2503">
        <f t="shared" si="2"/>
        <v>800000</v>
      </c>
      <c r="L17" s="1724"/>
    </row>
    <row r="18" spans="1:12" ht="12" customHeight="1">
      <c r="A18" s="1725">
        <v>5</v>
      </c>
      <c r="B18" s="2464" t="str">
        <f>'[22]Chấm công công nhân'!L55</f>
        <v>Nàng May</v>
      </c>
      <c r="C18" s="2465" t="s">
        <v>1900</v>
      </c>
      <c r="D18" s="4957"/>
      <c r="E18" s="2466" t="s">
        <v>1027</v>
      </c>
      <c r="F18" s="2466">
        <v>4</v>
      </c>
      <c r="G18" s="2468">
        <f t="shared" si="0"/>
        <v>0.125</v>
      </c>
      <c r="H18" s="2469">
        <f t="shared" si="1"/>
        <v>32</v>
      </c>
      <c r="I18" s="2470">
        <v>25000</v>
      </c>
      <c r="J18" s="2466"/>
      <c r="K18" s="2503">
        <f t="shared" si="2"/>
        <v>800000</v>
      </c>
      <c r="L18" s="1724"/>
    </row>
    <row r="19" spans="1:12" ht="12" customHeight="1">
      <c r="A19" s="1725">
        <v>6</v>
      </c>
      <c r="B19" s="2464" t="str">
        <f>'[22]Chấm công công nhân'!L56</f>
        <v>Thảo Bênh</v>
      </c>
      <c r="C19" s="2465" t="s">
        <v>1900</v>
      </c>
      <c r="D19" s="4957"/>
      <c r="E19" s="2466" t="s">
        <v>1027</v>
      </c>
      <c r="F19" s="2466">
        <v>4</v>
      </c>
      <c r="G19" s="2468">
        <f t="shared" si="0"/>
        <v>0.125</v>
      </c>
      <c r="H19" s="2469">
        <f t="shared" si="1"/>
        <v>32</v>
      </c>
      <c r="I19" s="2470">
        <v>25000</v>
      </c>
      <c r="J19" s="2466"/>
      <c r="K19" s="2503">
        <f t="shared" si="2"/>
        <v>800000</v>
      </c>
      <c r="L19" s="1724"/>
    </row>
    <row r="20" spans="1:12" ht="12" customHeight="1">
      <c r="A20" s="1725">
        <v>7</v>
      </c>
      <c r="B20" s="2464" t="str">
        <f>'[22]Chấm công công nhân'!L57</f>
        <v>Thảo Đinh</v>
      </c>
      <c r="C20" s="2465" t="s">
        <v>1900</v>
      </c>
      <c r="D20" s="4957"/>
      <c r="E20" s="2466" t="s">
        <v>1027</v>
      </c>
      <c r="F20" s="2466">
        <v>4</v>
      </c>
      <c r="G20" s="2468">
        <f t="shared" si="0"/>
        <v>0.125</v>
      </c>
      <c r="H20" s="2469">
        <f t="shared" si="1"/>
        <v>32</v>
      </c>
      <c r="I20" s="2470">
        <v>25000</v>
      </c>
      <c r="J20" s="2463"/>
      <c r="K20" s="2503">
        <f t="shared" si="2"/>
        <v>800000</v>
      </c>
      <c r="L20" s="1724"/>
    </row>
    <row r="21" spans="1:12" ht="12" customHeight="1">
      <c r="A21" s="1725">
        <v>8</v>
      </c>
      <c r="B21" s="2464" t="str">
        <f>'[22]Chấm công công nhân'!L58</f>
        <v>Thảo Vi</v>
      </c>
      <c r="C21" s="2465" t="s">
        <v>1900</v>
      </c>
      <c r="D21" s="4957"/>
      <c r="E21" s="2466" t="s">
        <v>1027</v>
      </c>
      <c r="F21" s="2466">
        <v>4</v>
      </c>
      <c r="G21" s="2468">
        <f t="shared" si="0"/>
        <v>0.125</v>
      </c>
      <c r="H21" s="2469">
        <f t="shared" si="1"/>
        <v>32</v>
      </c>
      <c r="I21" s="2470">
        <v>25000</v>
      </c>
      <c r="J21" s="2463"/>
      <c r="K21" s="2503">
        <f t="shared" si="2"/>
        <v>800000</v>
      </c>
      <c r="L21" s="1724"/>
    </row>
    <row r="22" spans="1:12" ht="12" customHeight="1">
      <c r="A22" s="1725">
        <v>9</v>
      </c>
      <c r="B22" s="2464" t="str">
        <f>'[22]Chấm công công nhân'!L59</f>
        <v>Thảo Văn</v>
      </c>
      <c r="C22" s="2465" t="s">
        <v>1900</v>
      </c>
      <c r="D22" s="4957"/>
      <c r="E22" s="2466" t="s">
        <v>1027</v>
      </c>
      <c r="F22" s="2466">
        <v>4</v>
      </c>
      <c r="G22" s="2468">
        <f t="shared" si="0"/>
        <v>0.125</v>
      </c>
      <c r="H22" s="2469">
        <f t="shared" si="1"/>
        <v>32</v>
      </c>
      <c r="I22" s="2470">
        <v>25000</v>
      </c>
      <c r="J22" s="2463"/>
      <c r="K22" s="2503">
        <f t="shared" si="2"/>
        <v>800000</v>
      </c>
      <c r="L22" s="1724"/>
    </row>
    <row r="23" spans="1:12" ht="12" customHeight="1">
      <c r="A23" s="1725">
        <v>10</v>
      </c>
      <c r="B23" s="2464" t="str">
        <f>'[22]Chấm công công nhân'!L60</f>
        <v>Nàng Phìn</v>
      </c>
      <c r="C23" s="2465" t="s">
        <v>1900</v>
      </c>
      <c r="D23" s="4957"/>
      <c r="E23" s="2466" t="s">
        <v>1027</v>
      </c>
      <c r="F23" s="2466">
        <v>4</v>
      </c>
      <c r="G23" s="2468">
        <f t="shared" si="0"/>
        <v>0.125</v>
      </c>
      <c r="H23" s="2469">
        <f t="shared" si="1"/>
        <v>32</v>
      </c>
      <c r="I23" s="2470">
        <v>25000</v>
      </c>
      <c r="J23" s="2466"/>
      <c r="K23" s="2503">
        <f t="shared" si="2"/>
        <v>800000</v>
      </c>
      <c r="L23" s="1724"/>
    </row>
    <row r="24" spans="1:12" ht="12" customHeight="1">
      <c r="A24" s="1725">
        <v>11</v>
      </c>
      <c r="B24" s="2464" t="str">
        <f>'[22]Chấm công công nhân'!L61</f>
        <v>Mẹ Sột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0.125</v>
      </c>
      <c r="H24" s="2469">
        <f t="shared" si="1"/>
        <v>32</v>
      </c>
      <c r="I24" s="2470">
        <v>25000</v>
      </c>
      <c r="J24" s="2466"/>
      <c r="K24" s="2503">
        <f t="shared" si="2"/>
        <v>800000</v>
      </c>
      <c r="L24" s="1724"/>
    </row>
    <row r="25" spans="1:12" ht="12" customHeight="1">
      <c r="A25" s="1725">
        <v>12</v>
      </c>
      <c r="B25" s="2464" t="str">
        <f>'[22]Chấm công công nhân'!L62</f>
        <v>Nàng Heo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0.125</v>
      </c>
      <c r="H25" s="2469">
        <f t="shared" si="1"/>
        <v>32</v>
      </c>
      <c r="I25" s="2470">
        <v>25000</v>
      </c>
      <c r="J25" s="2463"/>
      <c r="K25" s="2503">
        <f t="shared" si="2"/>
        <v>800000</v>
      </c>
      <c r="L25" s="1724"/>
    </row>
    <row r="26" spans="1:12" ht="12" customHeight="1">
      <c r="A26" s="1725">
        <v>13</v>
      </c>
      <c r="B26" s="2464" t="str">
        <f>'[22]Chấm công công nhân'!L63</f>
        <v>Thảo Chăn Ti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0.125</v>
      </c>
      <c r="H26" s="2469">
        <f t="shared" si="1"/>
        <v>32</v>
      </c>
      <c r="I26" s="2470">
        <v>25000</v>
      </c>
      <c r="J26" s="2463"/>
      <c r="K26" s="2503">
        <f t="shared" si="2"/>
        <v>800000</v>
      </c>
      <c r="L26" s="1724"/>
    </row>
    <row r="27" spans="1:12" ht="12" customHeight="1">
      <c r="A27" s="1725">
        <v>14</v>
      </c>
      <c r="B27" s="2464" t="str">
        <f>'[22]Chấm công công nhân'!L64</f>
        <v>Nàng Ve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0.125</v>
      </c>
      <c r="H27" s="2469">
        <f t="shared" si="1"/>
        <v>32</v>
      </c>
      <c r="I27" s="2470">
        <v>25000</v>
      </c>
      <c r="J27" s="2463"/>
      <c r="K27" s="2503">
        <f t="shared" si="2"/>
        <v>800000</v>
      </c>
      <c r="L27" s="1724"/>
    </row>
    <row r="28" spans="1:12" ht="12" customHeight="1">
      <c r="A28" s="1725">
        <v>15</v>
      </c>
      <c r="B28" s="2464" t="str">
        <f>'[22]Chấm công công nhân'!L65</f>
        <v>Nàng Phết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0.125</v>
      </c>
      <c r="H28" s="2469">
        <f t="shared" si="1"/>
        <v>32</v>
      </c>
      <c r="I28" s="2470">
        <v>25000</v>
      </c>
      <c r="J28" s="2466"/>
      <c r="K28" s="2503">
        <f t="shared" si="2"/>
        <v>800000</v>
      </c>
      <c r="L28" s="1724"/>
    </row>
    <row r="29" spans="1:12" ht="12" customHeight="1">
      <c r="A29" s="1725">
        <v>16</v>
      </c>
      <c r="B29" s="2464" t="str">
        <f>'[22]Chấm công công nhân'!L66</f>
        <v>Thảo On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0.125</v>
      </c>
      <c r="H29" s="2469">
        <f t="shared" si="1"/>
        <v>32</v>
      </c>
      <c r="I29" s="2470">
        <v>25000</v>
      </c>
      <c r="J29" s="2466"/>
      <c r="K29" s="2503">
        <f t="shared" si="2"/>
        <v>800000</v>
      </c>
      <c r="L29" s="1724"/>
    </row>
    <row r="30" spans="1:12" ht="12" customHeight="1">
      <c r="A30" s="1725">
        <v>17</v>
      </c>
      <c r="B30" s="2464" t="str">
        <f>'[22]Chấm công công nhân'!L67</f>
        <v>Thảo Sum</v>
      </c>
      <c r="C30" s="2465" t="s">
        <v>1900</v>
      </c>
      <c r="D30" s="4957"/>
      <c r="E30" s="2466" t="s">
        <v>1027</v>
      </c>
      <c r="F30" s="2466">
        <v>4</v>
      </c>
      <c r="G30" s="2468">
        <f t="shared" si="0"/>
        <v>0.125</v>
      </c>
      <c r="H30" s="2469">
        <f t="shared" si="1"/>
        <v>32</v>
      </c>
      <c r="I30" s="2470">
        <v>25000</v>
      </c>
      <c r="J30" s="2463"/>
      <c r="K30" s="2503">
        <f t="shared" si="2"/>
        <v>800000</v>
      </c>
      <c r="L30" s="1724"/>
    </row>
    <row r="31" spans="1:12" ht="12" customHeight="1">
      <c r="A31" s="1725">
        <v>18</v>
      </c>
      <c r="B31" s="2464" t="str">
        <f>'[22]Chấm công công nhân'!L68</f>
        <v>Cha La</v>
      </c>
      <c r="C31" s="2465" t="s">
        <v>1900</v>
      </c>
      <c r="D31" s="4957"/>
      <c r="E31" s="2466" t="s">
        <v>1027</v>
      </c>
      <c r="F31" s="2466">
        <v>4</v>
      </c>
      <c r="G31" s="2468">
        <f t="shared" si="0"/>
        <v>0.125</v>
      </c>
      <c r="H31" s="2469">
        <f t="shared" si="1"/>
        <v>32</v>
      </c>
      <c r="I31" s="2470">
        <v>25000</v>
      </c>
      <c r="J31" s="2463"/>
      <c r="K31" s="2503">
        <f t="shared" si="2"/>
        <v>800000</v>
      </c>
      <c r="L31" s="1724"/>
    </row>
    <row r="32" spans="1:12" ht="12" customHeight="1">
      <c r="A32" s="1725">
        <v>19</v>
      </c>
      <c r="B32" s="2464" t="str">
        <f>'[22]Chấm công công nhân'!L69</f>
        <v>Nàng Binh</v>
      </c>
      <c r="C32" s="2465" t="s">
        <v>1900</v>
      </c>
      <c r="D32" s="4957"/>
      <c r="E32" s="2466" t="s">
        <v>1027</v>
      </c>
      <c r="F32" s="2466">
        <v>4</v>
      </c>
      <c r="G32" s="2468">
        <f t="shared" si="0"/>
        <v>0.125</v>
      </c>
      <c r="H32" s="2469">
        <f t="shared" si="1"/>
        <v>32</v>
      </c>
      <c r="I32" s="2470">
        <v>25000</v>
      </c>
      <c r="J32" s="2463"/>
      <c r="K32" s="2503">
        <f t="shared" si="2"/>
        <v>800000</v>
      </c>
      <c r="L32" s="1724"/>
    </row>
    <row r="33" spans="1:12">
      <c r="A33" s="4955" t="s">
        <v>21</v>
      </c>
      <c r="B33" s="4955"/>
      <c r="C33" s="4955"/>
      <c r="D33" s="4955"/>
      <c r="E33" s="1724"/>
      <c r="F33" s="3903">
        <f>SUM(F14:F32)</f>
        <v>76</v>
      </c>
      <c r="G33" s="3903"/>
      <c r="H33" s="2288">
        <f>SUM(H14:H32)</f>
        <v>608</v>
      </c>
      <c r="I33" s="3903"/>
      <c r="J33" s="3903">
        <f>SUM(J14:J32)</f>
        <v>0</v>
      </c>
      <c r="K33" s="2504">
        <f>SUM(K14:K32)</f>
        <v>15200000</v>
      </c>
      <c r="L33" s="3903"/>
    </row>
    <row r="34" spans="1:12" ht="15.75">
      <c r="A34" s="1731" t="s">
        <v>1028</v>
      </c>
      <c r="B34" s="1732"/>
    </row>
    <row r="35" spans="1:12" ht="15.75">
      <c r="A35" s="1733" t="s">
        <v>1029</v>
      </c>
      <c r="B35" s="1734"/>
    </row>
    <row r="36" spans="1:12" ht="15.75">
      <c r="A36" s="1733" t="s">
        <v>1030</v>
      </c>
      <c r="B36" s="1734"/>
    </row>
    <row r="37" spans="1:12" ht="15.75">
      <c r="B37" s="3950" t="s">
        <v>162</v>
      </c>
      <c r="C37" s="3950"/>
      <c r="D37" s="1735"/>
      <c r="E37" s="1735"/>
      <c r="F37" s="1736" t="s">
        <v>1031</v>
      </c>
      <c r="I37" s="1736"/>
      <c r="J37" s="1736"/>
    </row>
    <row r="41" spans="1:12">
      <c r="B41" s="4952"/>
      <c r="C41" s="4952"/>
    </row>
  </sheetData>
  <mergeCells count="10">
    <mergeCell ref="D14:D32"/>
    <mergeCell ref="A33:D33"/>
    <mergeCell ref="B37:C37"/>
    <mergeCell ref="B41:C41"/>
    <mergeCell ref="A1:L1"/>
    <mergeCell ref="A2:L2"/>
    <mergeCell ref="A3:G3"/>
    <mergeCell ref="A4:G4"/>
    <mergeCell ref="A5:L5"/>
    <mergeCell ref="B6:L6"/>
  </mergeCell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10" workbookViewId="0">
      <selection activeCell="I19" sqref="I19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875" style="170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773" t="s">
        <v>1013</v>
      </c>
      <c r="B3" s="4773"/>
      <c r="C3" s="4773"/>
      <c r="D3" s="4773"/>
      <c r="E3" s="4773"/>
      <c r="F3" s="4773"/>
      <c r="G3" s="4773"/>
      <c r="H3" s="2283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3906" t="s">
        <v>1014</v>
      </c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3904"/>
      <c r="E7" s="3904"/>
      <c r="G7" s="1712"/>
      <c r="H7" s="2285"/>
      <c r="I7" s="1712"/>
      <c r="J7" s="1712"/>
      <c r="K7" s="1716"/>
      <c r="L7" s="1712"/>
    </row>
    <row r="8" spans="1:12">
      <c r="A8" s="1712"/>
      <c r="B8" s="1713" t="s">
        <v>1269</v>
      </c>
      <c r="C8" s="1713"/>
      <c r="D8" s="3904"/>
      <c r="E8" s="1712"/>
      <c r="G8" s="1712"/>
      <c r="H8" s="2286" t="s">
        <v>1033</v>
      </c>
      <c r="I8" s="3904"/>
      <c r="J8" s="3904"/>
      <c r="K8" s="1716"/>
      <c r="L8" s="1712"/>
    </row>
    <row r="9" spans="1:12">
      <c r="A9" s="1712"/>
      <c r="B9" s="1713" t="s">
        <v>1032</v>
      </c>
      <c r="C9" s="1713"/>
      <c r="D9" s="3904"/>
      <c r="E9" s="1712"/>
      <c r="G9" s="1712"/>
      <c r="H9" s="2286" t="s">
        <v>1017</v>
      </c>
      <c r="I9" s="3904"/>
      <c r="J9" s="3904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1718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1026</v>
      </c>
      <c r="L13" s="1724"/>
    </row>
    <row r="14" spans="1:12" ht="12" customHeight="1">
      <c r="A14" s="2463">
        <v>1</v>
      </c>
      <c r="B14" s="2464" t="str">
        <f>'Chấm công công nhân'!L71</f>
        <v>Thảo Bun</v>
      </c>
      <c r="C14" s="2465" t="s">
        <v>1900</v>
      </c>
      <c r="D14" s="4956" t="s">
        <v>1908</v>
      </c>
      <c r="E14" s="2466" t="s">
        <v>1027</v>
      </c>
      <c r="F14" s="2466">
        <v>4</v>
      </c>
      <c r="G14" s="2468">
        <f>1/4</f>
        <v>0.25</v>
      </c>
      <c r="H14" s="2469">
        <f>F14/G14</f>
        <v>16</v>
      </c>
      <c r="I14" s="2470">
        <v>25000</v>
      </c>
      <c r="J14" s="2466"/>
      <c r="K14" s="2470">
        <f>I14*H14</f>
        <v>400000</v>
      </c>
      <c r="L14" s="1724"/>
    </row>
    <row r="15" spans="1:12" ht="12" customHeight="1">
      <c r="A15" s="2463">
        <v>2</v>
      </c>
      <c r="B15" s="2464" t="str">
        <f>'Chấm công công nhân'!L72</f>
        <v>Thảo Nga</v>
      </c>
      <c r="C15" s="2465" t="s">
        <v>1900</v>
      </c>
      <c r="D15" s="4957"/>
      <c r="E15" s="2466" t="s">
        <v>1027</v>
      </c>
      <c r="F15" s="2466">
        <v>4</v>
      </c>
      <c r="G15" s="2468">
        <f t="shared" ref="G15:G29" si="0">1/4</f>
        <v>0.25</v>
      </c>
      <c r="H15" s="2469">
        <f t="shared" ref="H15:H29" si="1">F15/G15</f>
        <v>16</v>
      </c>
      <c r="I15" s="2470">
        <v>25000</v>
      </c>
      <c r="J15" s="2463"/>
      <c r="K15" s="2470">
        <f t="shared" ref="K15:K29" si="2">I15*H15</f>
        <v>400000</v>
      </c>
      <c r="L15" s="1724"/>
    </row>
    <row r="16" spans="1:12" ht="12" customHeight="1">
      <c r="A16" s="2463">
        <v>3</v>
      </c>
      <c r="B16" s="2464" t="str">
        <f>'Chấm công công nhân'!L73</f>
        <v>Thảo Tia</v>
      </c>
      <c r="C16" s="2465" t="s">
        <v>1900</v>
      </c>
      <c r="D16" s="4957"/>
      <c r="E16" s="2466" t="s">
        <v>1027</v>
      </c>
      <c r="F16" s="2466">
        <v>4</v>
      </c>
      <c r="G16" s="2468">
        <f t="shared" si="0"/>
        <v>0.25</v>
      </c>
      <c r="H16" s="2469">
        <f t="shared" si="1"/>
        <v>16</v>
      </c>
      <c r="I16" s="2470">
        <v>25000</v>
      </c>
      <c r="J16" s="2463"/>
      <c r="K16" s="2470">
        <f t="shared" si="2"/>
        <v>400000</v>
      </c>
      <c r="L16" s="1724"/>
    </row>
    <row r="17" spans="1:12" ht="12" customHeight="1">
      <c r="A17" s="2463">
        <v>4</v>
      </c>
      <c r="B17" s="2464" t="str">
        <f>'Chấm công công nhân'!L74</f>
        <v>Thảo Nuy</v>
      </c>
      <c r="C17" s="2465" t="s">
        <v>1900</v>
      </c>
      <c r="D17" s="4957"/>
      <c r="E17" s="2466" t="s">
        <v>1027</v>
      </c>
      <c r="F17" s="2466">
        <v>4</v>
      </c>
      <c r="G17" s="2468">
        <f t="shared" si="0"/>
        <v>0.25</v>
      </c>
      <c r="H17" s="2469">
        <f t="shared" si="1"/>
        <v>16</v>
      </c>
      <c r="I17" s="2470">
        <v>25000</v>
      </c>
      <c r="J17" s="2463"/>
      <c r="K17" s="2470">
        <f t="shared" si="2"/>
        <v>400000</v>
      </c>
      <c r="L17" s="1724"/>
    </row>
    <row r="18" spans="1:12" ht="12" customHeight="1">
      <c r="A18" s="2463">
        <v>5</v>
      </c>
      <c r="B18" s="2464" t="str">
        <f>'Chấm công công nhân'!L75</f>
        <v>Thảo Xay</v>
      </c>
      <c r="C18" s="2465" t="s">
        <v>1900</v>
      </c>
      <c r="D18" s="4957"/>
      <c r="E18" s="2466" t="s">
        <v>1027</v>
      </c>
      <c r="F18" s="2466">
        <v>4</v>
      </c>
      <c r="G18" s="2468">
        <f t="shared" si="0"/>
        <v>0.25</v>
      </c>
      <c r="H18" s="2469">
        <f t="shared" si="1"/>
        <v>16</v>
      </c>
      <c r="I18" s="2470">
        <v>25000</v>
      </c>
      <c r="J18" s="2466"/>
      <c r="K18" s="2470">
        <f t="shared" si="2"/>
        <v>400000</v>
      </c>
      <c r="L18" s="1724"/>
    </row>
    <row r="19" spans="1:12" ht="12" customHeight="1">
      <c r="A19" s="2463">
        <v>6</v>
      </c>
      <c r="B19" s="2464" t="str">
        <f>'Chấm công công nhân'!L76</f>
        <v>Nàng Nọi</v>
      </c>
      <c r="C19" s="2465" t="s">
        <v>1900</v>
      </c>
      <c r="D19" s="4957"/>
      <c r="E19" s="2466" t="s">
        <v>1027</v>
      </c>
      <c r="F19" s="2466">
        <v>4</v>
      </c>
      <c r="G19" s="2468">
        <f t="shared" si="0"/>
        <v>0.25</v>
      </c>
      <c r="H19" s="2469">
        <f t="shared" si="1"/>
        <v>16</v>
      </c>
      <c r="I19" s="2470">
        <v>25000</v>
      </c>
      <c r="J19" s="2466"/>
      <c r="K19" s="2470">
        <f t="shared" si="2"/>
        <v>400000</v>
      </c>
      <c r="L19" s="1724"/>
    </row>
    <row r="20" spans="1:12" ht="12" customHeight="1">
      <c r="A20" s="2463">
        <v>7</v>
      </c>
      <c r="B20" s="2464" t="str">
        <f>'Chấm công công nhân'!L77</f>
        <v>Thảo Khon</v>
      </c>
      <c r="C20" s="2465" t="s">
        <v>1900</v>
      </c>
      <c r="D20" s="4957"/>
      <c r="E20" s="2466" t="s">
        <v>1027</v>
      </c>
      <c r="F20" s="2466">
        <v>4</v>
      </c>
      <c r="G20" s="2468">
        <f t="shared" si="0"/>
        <v>0.25</v>
      </c>
      <c r="H20" s="2469">
        <f t="shared" si="1"/>
        <v>16</v>
      </c>
      <c r="I20" s="2470">
        <v>25000</v>
      </c>
      <c r="J20" s="2463"/>
      <c r="K20" s="2470">
        <f t="shared" si="2"/>
        <v>400000</v>
      </c>
      <c r="L20" s="1724"/>
    </row>
    <row r="21" spans="1:12" ht="12" customHeight="1">
      <c r="A21" s="2463">
        <v>8</v>
      </c>
      <c r="B21" s="2464" t="str">
        <f>'Chấm công công nhân'!L78</f>
        <v>Thảo Tưng</v>
      </c>
      <c r="C21" s="2465" t="s">
        <v>1900</v>
      </c>
      <c r="D21" s="4957"/>
      <c r="E21" s="2466" t="s">
        <v>1027</v>
      </c>
      <c r="F21" s="2466">
        <v>4</v>
      </c>
      <c r="G21" s="2468">
        <f t="shared" si="0"/>
        <v>0.25</v>
      </c>
      <c r="H21" s="2469">
        <f t="shared" si="1"/>
        <v>16</v>
      </c>
      <c r="I21" s="2470">
        <v>25000</v>
      </c>
      <c r="J21" s="2463"/>
      <c r="K21" s="2470">
        <f t="shared" si="2"/>
        <v>400000</v>
      </c>
      <c r="L21" s="1724"/>
    </row>
    <row r="22" spans="1:12" ht="12" customHeight="1">
      <c r="A22" s="2463">
        <v>9</v>
      </c>
      <c r="B22" s="2464" t="str">
        <f>'Chấm công công nhân'!L79</f>
        <v>Thảo Bắt</v>
      </c>
      <c r="C22" s="2465" t="s">
        <v>1900</v>
      </c>
      <c r="D22" s="4957"/>
      <c r="E22" s="2466" t="s">
        <v>1027</v>
      </c>
      <c r="F22" s="2466">
        <v>4</v>
      </c>
      <c r="G22" s="2468">
        <f t="shared" si="0"/>
        <v>0.25</v>
      </c>
      <c r="H22" s="2469">
        <f t="shared" si="1"/>
        <v>16</v>
      </c>
      <c r="I22" s="2470">
        <v>25000</v>
      </c>
      <c r="J22" s="2463"/>
      <c r="K22" s="2470">
        <f t="shared" si="2"/>
        <v>400000</v>
      </c>
      <c r="L22" s="1724"/>
    </row>
    <row r="23" spans="1:12" ht="12" customHeight="1">
      <c r="A23" s="2463">
        <v>10</v>
      </c>
      <c r="B23" s="2464" t="str">
        <f>'Chấm công công nhân'!L80</f>
        <v>Thảo Lay</v>
      </c>
      <c r="C23" s="2465" t="s">
        <v>1900</v>
      </c>
      <c r="D23" s="4957"/>
      <c r="E23" s="2466" t="s">
        <v>1027</v>
      </c>
      <c r="F23" s="2466">
        <v>4</v>
      </c>
      <c r="G23" s="2468">
        <f t="shared" si="0"/>
        <v>0.25</v>
      </c>
      <c r="H23" s="2469">
        <f t="shared" si="1"/>
        <v>16</v>
      </c>
      <c r="I23" s="2470">
        <v>25000</v>
      </c>
      <c r="J23" s="2466"/>
      <c r="K23" s="2470">
        <f t="shared" si="2"/>
        <v>400000</v>
      </c>
      <c r="L23" s="1724"/>
    </row>
    <row r="24" spans="1:12" ht="12" customHeight="1">
      <c r="A24" s="2463">
        <v>11</v>
      </c>
      <c r="B24" s="2464" t="str">
        <f>'Chấm công công nhân'!L81</f>
        <v>Thảo Chăn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0.25</v>
      </c>
      <c r="H24" s="2469">
        <f t="shared" si="1"/>
        <v>16</v>
      </c>
      <c r="I24" s="2470">
        <v>25000</v>
      </c>
      <c r="J24" s="2466"/>
      <c r="K24" s="2470">
        <f t="shared" si="2"/>
        <v>400000</v>
      </c>
      <c r="L24" s="1724"/>
    </row>
    <row r="25" spans="1:12" ht="12" customHeight="1">
      <c r="A25" s="2463">
        <v>12</v>
      </c>
      <c r="B25" s="2464" t="str">
        <f>'Chấm công công nhân'!L82</f>
        <v>Thảo Lăm Ma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0.25</v>
      </c>
      <c r="H25" s="2469">
        <f t="shared" si="1"/>
        <v>16</v>
      </c>
      <c r="I25" s="2470">
        <v>25000</v>
      </c>
      <c r="J25" s="2463"/>
      <c r="K25" s="2470">
        <f t="shared" si="2"/>
        <v>400000</v>
      </c>
      <c r="L25" s="1724"/>
    </row>
    <row r="26" spans="1:12" ht="12" customHeight="1">
      <c r="A26" s="2463">
        <v>13</v>
      </c>
      <c r="B26" s="2464" t="str">
        <f>'Chấm công công nhân'!L83</f>
        <v>Phò Đăm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0.25</v>
      </c>
      <c r="H26" s="2469">
        <f t="shared" si="1"/>
        <v>16</v>
      </c>
      <c r="I26" s="2470">
        <v>25000</v>
      </c>
      <c r="J26" s="2463"/>
      <c r="K26" s="2470">
        <f t="shared" si="2"/>
        <v>400000</v>
      </c>
      <c r="L26" s="1724"/>
    </row>
    <row r="27" spans="1:12" ht="12" customHeight="1">
      <c r="A27" s="2463">
        <v>14</v>
      </c>
      <c r="B27" s="2464" t="str">
        <f>'Chấm công công nhân'!L84</f>
        <v>Thảo Đăm Đi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0.25</v>
      </c>
      <c r="H27" s="2469">
        <f t="shared" si="1"/>
        <v>16</v>
      </c>
      <c r="I27" s="2470">
        <v>25000</v>
      </c>
      <c r="J27" s="2463"/>
      <c r="K27" s="2470">
        <f t="shared" si="2"/>
        <v>400000</v>
      </c>
      <c r="L27" s="1724"/>
    </row>
    <row r="28" spans="1:12" ht="12" customHeight="1">
      <c r="A28" s="2463">
        <v>15</v>
      </c>
      <c r="B28" s="2464" t="str">
        <f>'Chấm công công nhân'!L85</f>
        <v xml:space="preserve"> Thảo Khên 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0.25</v>
      </c>
      <c r="H28" s="2469">
        <f>F28/G28</f>
        <v>16</v>
      </c>
      <c r="I28" s="2470">
        <v>25000</v>
      </c>
      <c r="J28" s="2466"/>
      <c r="K28" s="2470">
        <f t="shared" si="2"/>
        <v>400000</v>
      </c>
      <c r="L28" s="1724"/>
    </row>
    <row r="29" spans="1:12" ht="12" customHeight="1">
      <c r="A29" s="2463">
        <v>16</v>
      </c>
      <c r="B29" s="2464" t="str">
        <f>'Chấm công công nhân'!L86</f>
        <v xml:space="preserve"> Thảo Đăm 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0.25</v>
      </c>
      <c r="H29" s="2469">
        <f t="shared" si="1"/>
        <v>16</v>
      </c>
      <c r="I29" s="2470">
        <v>25000</v>
      </c>
      <c r="J29" s="2466"/>
      <c r="K29" s="2470">
        <f t="shared" si="2"/>
        <v>400000</v>
      </c>
      <c r="L29" s="1724"/>
    </row>
    <row r="30" spans="1:12" s="2475" customFormat="1">
      <c r="A30" s="4959" t="s">
        <v>21</v>
      </c>
      <c r="B30" s="4959"/>
      <c r="C30" s="4959"/>
      <c r="D30" s="4959"/>
      <c r="E30" s="2471"/>
      <c r="F30" s="3905">
        <f>SUM(F14:F29)</f>
        <v>64</v>
      </c>
      <c r="G30" s="3905"/>
      <c r="H30" s="2473">
        <f>SUM(H14:H29)</f>
        <v>256</v>
      </c>
      <c r="I30" s="3905"/>
      <c r="J30" s="3905">
        <f>SUM(J14:J29)</f>
        <v>0</v>
      </c>
      <c r="K30" s="2474">
        <f>SUM(K14:K29)</f>
        <v>6400000</v>
      </c>
      <c r="L30" s="3905"/>
    </row>
    <row r="31" spans="1:12" ht="15.75">
      <c r="A31" s="1731" t="s">
        <v>1028</v>
      </c>
      <c r="B31" s="1732"/>
    </row>
    <row r="32" spans="1:12" ht="15.75">
      <c r="A32" s="1733" t="s">
        <v>1029</v>
      </c>
      <c r="B32" s="1734"/>
    </row>
    <row r="33" spans="1:10" ht="15.75">
      <c r="A33" s="1733" t="s">
        <v>1030</v>
      </c>
      <c r="B33" s="1734"/>
    </row>
    <row r="34" spans="1:10" ht="15.75">
      <c r="B34" s="4960" t="s">
        <v>162</v>
      </c>
      <c r="C34" s="4960"/>
      <c r="D34" s="1735"/>
      <c r="E34" s="1735"/>
      <c r="F34" s="1736" t="s">
        <v>1031</v>
      </c>
      <c r="I34" s="1736"/>
      <c r="J34" s="1736"/>
    </row>
    <row r="38" spans="1:10">
      <c r="B38" s="4952"/>
      <c r="C38" s="4952"/>
    </row>
  </sheetData>
  <mergeCells count="9">
    <mergeCell ref="A30:D30"/>
    <mergeCell ref="B34:C34"/>
    <mergeCell ref="B38:C38"/>
    <mergeCell ref="A1:L1"/>
    <mergeCell ref="A2:L2"/>
    <mergeCell ref="A3:G3"/>
    <mergeCell ref="A4:G4"/>
    <mergeCell ref="B6:L6"/>
    <mergeCell ref="D14:D29"/>
  </mergeCells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10" workbookViewId="0">
      <selection activeCell="A10" sqref="A1:XFD1048576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875" style="170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773" t="s">
        <v>1013</v>
      </c>
      <c r="B3" s="4773"/>
      <c r="C3" s="4773"/>
      <c r="D3" s="4773"/>
      <c r="E3" s="4773"/>
      <c r="F3" s="4773"/>
      <c r="G3" s="4773"/>
      <c r="H3" s="2283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1711" t="s">
        <v>1014</v>
      </c>
    </row>
    <row r="6" spans="1:12">
      <c r="A6" s="1712"/>
      <c r="B6" s="4954" t="s">
        <v>1897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2455"/>
      <c r="E7" s="2455"/>
      <c r="G7" s="1712"/>
      <c r="H7" s="2285"/>
      <c r="I7" s="1712"/>
      <c r="J7" s="1712"/>
      <c r="K7" s="1716"/>
      <c r="L7" s="1712"/>
    </row>
    <row r="8" spans="1:12">
      <c r="A8" s="1712"/>
      <c r="B8" s="1713" t="s">
        <v>1269</v>
      </c>
      <c r="C8" s="1713"/>
      <c r="D8" s="2455"/>
      <c r="E8" s="1712"/>
      <c r="G8" s="1712"/>
      <c r="H8" s="2286" t="s">
        <v>1033</v>
      </c>
      <c r="I8" s="2455"/>
      <c r="J8" s="2455"/>
      <c r="K8" s="1716"/>
      <c r="L8" s="1712"/>
    </row>
    <row r="9" spans="1:12">
      <c r="A9" s="1712"/>
      <c r="B9" s="1713" t="s">
        <v>1032</v>
      </c>
      <c r="C9" s="1713"/>
      <c r="D9" s="2455"/>
      <c r="E9" s="1712"/>
      <c r="G9" s="1712"/>
      <c r="H9" s="2286" t="s">
        <v>1017</v>
      </c>
      <c r="I9" s="2455"/>
      <c r="J9" s="2455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228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228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2287" t="s">
        <v>47</v>
      </c>
      <c r="I12" s="1718" t="s">
        <v>1022</v>
      </c>
      <c r="J12" s="1718" t="s">
        <v>1023</v>
      </c>
      <c r="K12" s="1718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1026</v>
      </c>
      <c r="L13" s="1724"/>
    </row>
    <row r="14" spans="1:12" ht="12" customHeight="1">
      <c r="A14" s="2463">
        <v>1</v>
      </c>
      <c r="B14" s="2464" t="str">
        <f>'Chấm công công nhân'!L71</f>
        <v>Thảo Bun</v>
      </c>
      <c r="C14" s="2465" t="s">
        <v>1900</v>
      </c>
      <c r="D14" s="4956" t="s">
        <v>1200</v>
      </c>
      <c r="E14" s="2466" t="s">
        <v>1027</v>
      </c>
      <c r="F14" s="2466">
        <v>4</v>
      </c>
      <c r="G14" s="2468">
        <f>25000/200000</f>
        <v>0.125</v>
      </c>
      <c r="H14" s="2469">
        <f>F14/G14</f>
        <v>32</v>
      </c>
      <c r="I14" s="2470">
        <v>25000</v>
      </c>
      <c r="J14" s="2466"/>
      <c r="K14" s="2470">
        <f>I14*H14</f>
        <v>800000</v>
      </c>
      <c r="L14" s="1724"/>
    </row>
    <row r="15" spans="1:12" ht="12" customHeight="1">
      <c r="A15" s="2463">
        <v>2</v>
      </c>
      <c r="B15" s="2464" t="str">
        <f>'Chấm công công nhân'!L72</f>
        <v>Thảo Nga</v>
      </c>
      <c r="C15" s="2465" t="s">
        <v>1900</v>
      </c>
      <c r="D15" s="4957"/>
      <c r="E15" s="2466" t="s">
        <v>1027</v>
      </c>
      <c r="F15" s="2466">
        <v>4</v>
      </c>
      <c r="G15" s="2468">
        <f t="shared" ref="G15:G29" si="0">25000/200000</f>
        <v>0.125</v>
      </c>
      <c r="H15" s="2469">
        <f t="shared" ref="H15:H29" si="1">F15/G15</f>
        <v>32</v>
      </c>
      <c r="I15" s="2470">
        <v>25000</v>
      </c>
      <c r="J15" s="2463"/>
      <c r="K15" s="2470">
        <f t="shared" ref="K15:K29" si="2">I15*H15</f>
        <v>800000</v>
      </c>
      <c r="L15" s="1724"/>
    </row>
    <row r="16" spans="1:12" ht="12" customHeight="1">
      <c r="A16" s="2463">
        <v>3</v>
      </c>
      <c r="B16" s="2464" t="str">
        <f>'Chấm công công nhân'!L73</f>
        <v>Thảo Tia</v>
      </c>
      <c r="C16" s="2465" t="s">
        <v>1900</v>
      </c>
      <c r="D16" s="4957"/>
      <c r="E16" s="2466" t="s">
        <v>1027</v>
      </c>
      <c r="F16" s="2466">
        <v>4</v>
      </c>
      <c r="G16" s="2468">
        <f t="shared" si="0"/>
        <v>0.125</v>
      </c>
      <c r="H16" s="2469">
        <f t="shared" si="1"/>
        <v>32</v>
      </c>
      <c r="I16" s="2470">
        <v>25000</v>
      </c>
      <c r="J16" s="2463"/>
      <c r="K16" s="2470">
        <f t="shared" si="2"/>
        <v>800000</v>
      </c>
      <c r="L16" s="1724"/>
    </row>
    <row r="17" spans="1:12" ht="12" customHeight="1">
      <c r="A17" s="2463">
        <v>4</v>
      </c>
      <c r="B17" s="2464" t="str">
        <f>'Chấm công công nhân'!L74</f>
        <v>Thảo Nuy</v>
      </c>
      <c r="C17" s="2465" t="s">
        <v>1900</v>
      </c>
      <c r="D17" s="4957"/>
      <c r="E17" s="2466" t="s">
        <v>1027</v>
      </c>
      <c r="F17" s="2466">
        <v>4</v>
      </c>
      <c r="G17" s="2468">
        <f t="shared" si="0"/>
        <v>0.125</v>
      </c>
      <c r="H17" s="2469">
        <f t="shared" si="1"/>
        <v>32</v>
      </c>
      <c r="I17" s="2470">
        <v>25000</v>
      </c>
      <c r="J17" s="2463"/>
      <c r="K17" s="2470">
        <f t="shared" si="2"/>
        <v>800000</v>
      </c>
      <c r="L17" s="1724"/>
    </row>
    <row r="18" spans="1:12" ht="12" customHeight="1">
      <c r="A18" s="2463">
        <v>5</v>
      </c>
      <c r="B18" s="2464" t="str">
        <f>'Chấm công công nhân'!L75</f>
        <v>Thảo Xay</v>
      </c>
      <c r="C18" s="2465" t="s">
        <v>1900</v>
      </c>
      <c r="D18" s="4957"/>
      <c r="E18" s="2466" t="s">
        <v>1027</v>
      </c>
      <c r="F18" s="2466">
        <v>4</v>
      </c>
      <c r="G18" s="2468">
        <f t="shared" si="0"/>
        <v>0.125</v>
      </c>
      <c r="H18" s="2469">
        <f t="shared" si="1"/>
        <v>32</v>
      </c>
      <c r="I18" s="2470">
        <v>25000</v>
      </c>
      <c r="J18" s="2466"/>
      <c r="K18" s="2470">
        <f t="shared" si="2"/>
        <v>800000</v>
      </c>
      <c r="L18" s="1724"/>
    </row>
    <row r="19" spans="1:12" ht="12" customHeight="1">
      <c r="A19" s="2463">
        <v>6</v>
      </c>
      <c r="B19" s="2464" t="str">
        <f>'Chấm công công nhân'!L76</f>
        <v>Nàng Nọi</v>
      </c>
      <c r="C19" s="2465" t="s">
        <v>1900</v>
      </c>
      <c r="D19" s="4957"/>
      <c r="E19" s="2466" t="s">
        <v>1027</v>
      </c>
      <c r="F19" s="2466">
        <v>4</v>
      </c>
      <c r="G19" s="2468">
        <f t="shared" si="0"/>
        <v>0.125</v>
      </c>
      <c r="H19" s="2469">
        <f t="shared" si="1"/>
        <v>32</v>
      </c>
      <c r="I19" s="2470">
        <v>25000</v>
      </c>
      <c r="J19" s="2466"/>
      <c r="K19" s="2470">
        <f t="shared" si="2"/>
        <v>800000</v>
      </c>
      <c r="L19" s="1724"/>
    </row>
    <row r="20" spans="1:12" ht="12" customHeight="1">
      <c r="A20" s="2463">
        <v>7</v>
      </c>
      <c r="B20" s="2464" t="str">
        <f>'Chấm công công nhân'!L77</f>
        <v>Thảo Khon</v>
      </c>
      <c r="C20" s="2465" t="s">
        <v>1900</v>
      </c>
      <c r="D20" s="4957"/>
      <c r="E20" s="2466" t="s">
        <v>1027</v>
      </c>
      <c r="F20" s="2466">
        <v>4</v>
      </c>
      <c r="G20" s="2468">
        <f t="shared" si="0"/>
        <v>0.125</v>
      </c>
      <c r="H20" s="2469">
        <f t="shared" si="1"/>
        <v>32</v>
      </c>
      <c r="I20" s="2470">
        <v>25000</v>
      </c>
      <c r="J20" s="2463"/>
      <c r="K20" s="2470">
        <f t="shared" si="2"/>
        <v>800000</v>
      </c>
      <c r="L20" s="1724"/>
    </row>
    <row r="21" spans="1:12" ht="12" customHeight="1">
      <c r="A21" s="2463">
        <v>8</v>
      </c>
      <c r="B21" s="2464" t="str">
        <f>'Chấm công công nhân'!L78</f>
        <v>Thảo Tưng</v>
      </c>
      <c r="C21" s="2465" t="s">
        <v>1900</v>
      </c>
      <c r="D21" s="4957"/>
      <c r="E21" s="2466" t="s">
        <v>1027</v>
      </c>
      <c r="F21" s="2466">
        <v>4</v>
      </c>
      <c r="G21" s="2468">
        <f t="shared" si="0"/>
        <v>0.125</v>
      </c>
      <c r="H21" s="2469">
        <f t="shared" si="1"/>
        <v>32</v>
      </c>
      <c r="I21" s="2470">
        <v>25000</v>
      </c>
      <c r="J21" s="2463"/>
      <c r="K21" s="2470">
        <f t="shared" si="2"/>
        <v>800000</v>
      </c>
      <c r="L21" s="1724"/>
    </row>
    <row r="22" spans="1:12" ht="12" customHeight="1">
      <c r="A22" s="2463">
        <v>9</v>
      </c>
      <c r="B22" s="2464" t="str">
        <f>'Chấm công công nhân'!L79</f>
        <v>Thảo Bắt</v>
      </c>
      <c r="C22" s="2465" t="s">
        <v>1900</v>
      </c>
      <c r="D22" s="4957"/>
      <c r="E22" s="2466" t="s">
        <v>1027</v>
      </c>
      <c r="F22" s="2466">
        <v>4</v>
      </c>
      <c r="G22" s="2468">
        <f t="shared" si="0"/>
        <v>0.125</v>
      </c>
      <c r="H22" s="2469">
        <f t="shared" si="1"/>
        <v>32</v>
      </c>
      <c r="I22" s="2470">
        <v>25000</v>
      </c>
      <c r="J22" s="2463"/>
      <c r="K22" s="2470">
        <f t="shared" si="2"/>
        <v>800000</v>
      </c>
      <c r="L22" s="1724"/>
    </row>
    <row r="23" spans="1:12" ht="12" customHeight="1">
      <c r="A23" s="2463">
        <v>10</v>
      </c>
      <c r="B23" s="2464" t="str">
        <f>'Chấm công công nhân'!L80</f>
        <v>Thảo Lay</v>
      </c>
      <c r="C23" s="2465" t="s">
        <v>1900</v>
      </c>
      <c r="D23" s="4957"/>
      <c r="E23" s="2466" t="s">
        <v>1027</v>
      </c>
      <c r="F23" s="2466">
        <v>4</v>
      </c>
      <c r="G23" s="2468">
        <f t="shared" si="0"/>
        <v>0.125</v>
      </c>
      <c r="H23" s="2469">
        <f t="shared" si="1"/>
        <v>32</v>
      </c>
      <c r="I23" s="2470">
        <v>25000</v>
      </c>
      <c r="J23" s="2466"/>
      <c r="K23" s="2470">
        <f t="shared" si="2"/>
        <v>800000</v>
      </c>
      <c r="L23" s="1724"/>
    </row>
    <row r="24" spans="1:12" ht="12" customHeight="1">
      <c r="A24" s="2463">
        <v>11</v>
      </c>
      <c r="B24" s="2464" t="str">
        <f>'Chấm công công nhân'!L81</f>
        <v>Thảo Chăn</v>
      </c>
      <c r="C24" s="2465" t="s">
        <v>1900</v>
      </c>
      <c r="D24" s="4957"/>
      <c r="E24" s="2466" t="s">
        <v>1027</v>
      </c>
      <c r="F24" s="2466">
        <v>4</v>
      </c>
      <c r="G24" s="2468">
        <f t="shared" si="0"/>
        <v>0.125</v>
      </c>
      <c r="H24" s="2469">
        <f t="shared" si="1"/>
        <v>32</v>
      </c>
      <c r="I24" s="2470">
        <v>25000</v>
      </c>
      <c r="J24" s="2466"/>
      <c r="K24" s="2470">
        <f t="shared" si="2"/>
        <v>800000</v>
      </c>
      <c r="L24" s="1724"/>
    </row>
    <row r="25" spans="1:12" ht="12" customHeight="1">
      <c r="A25" s="2463">
        <v>12</v>
      </c>
      <c r="B25" s="2464" t="str">
        <f>'Chấm công công nhân'!L82</f>
        <v>Thảo Lăm Ma</v>
      </c>
      <c r="C25" s="2465" t="s">
        <v>1900</v>
      </c>
      <c r="D25" s="4957"/>
      <c r="E25" s="2466" t="s">
        <v>1027</v>
      </c>
      <c r="F25" s="2466">
        <v>4</v>
      </c>
      <c r="G25" s="2468">
        <f t="shared" si="0"/>
        <v>0.125</v>
      </c>
      <c r="H25" s="2469">
        <f t="shared" si="1"/>
        <v>32</v>
      </c>
      <c r="I25" s="2470">
        <v>25000</v>
      </c>
      <c r="J25" s="2463"/>
      <c r="K25" s="2470">
        <f t="shared" si="2"/>
        <v>800000</v>
      </c>
      <c r="L25" s="1724"/>
    </row>
    <row r="26" spans="1:12" ht="12" customHeight="1">
      <c r="A26" s="2463">
        <v>13</v>
      </c>
      <c r="B26" s="2464" t="str">
        <f>'Chấm công công nhân'!L83</f>
        <v>Phò Đăm</v>
      </c>
      <c r="C26" s="2465" t="s">
        <v>1900</v>
      </c>
      <c r="D26" s="4957"/>
      <c r="E26" s="2466" t="s">
        <v>1027</v>
      </c>
      <c r="F26" s="2466">
        <v>4</v>
      </c>
      <c r="G26" s="2468">
        <f t="shared" si="0"/>
        <v>0.125</v>
      </c>
      <c r="H26" s="2469">
        <f t="shared" si="1"/>
        <v>32</v>
      </c>
      <c r="I26" s="2470">
        <v>25000</v>
      </c>
      <c r="J26" s="2463"/>
      <c r="K26" s="2470">
        <f t="shared" si="2"/>
        <v>800000</v>
      </c>
      <c r="L26" s="1724"/>
    </row>
    <row r="27" spans="1:12" ht="12" customHeight="1">
      <c r="A27" s="2463">
        <v>14</v>
      </c>
      <c r="B27" s="2464" t="str">
        <f>'Chấm công công nhân'!L84</f>
        <v>Thảo Đăm Đi</v>
      </c>
      <c r="C27" s="2465" t="s">
        <v>1900</v>
      </c>
      <c r="D27" s="4957"/>
      <c r="E27" s="2466" t="s">
        <v>1027</v>
      </c>
      <c r="F27" s="2466">
        <v>4</v>
      </c>
      <c r="G27" s="2468">
        <f t="shared" si="0"/>
        <v>0.125</v>
      </c>
      <c r="H27" s="2469">
        <f t="shared" si="1"/>
        <v>32</v>
      </c>
      <c r="I27" s="2470">
        <v>25000</v>
      </c>
      <c r="J27" s="2463"/>
      <c r="K27" s="2470">
        <f t="shared" si="2"/>
        <v>800000</v>
      </c>
      <c r="L27" s="1724"/>
    </row>
    <row r="28" spans="1:12" ht="12" customHeight="1">
      <c r="A28" s="2463">
        <v>15</v>
      </c>
      <c r="B28" s="2464" t="str">
        <f>'Chấm công công nhân'!L85</f>
        <v xml:space="preserve"> Thảo Khên </v>
      </c>
      <c r="C28" s="2465" t="s">
        <v>1900</v>
      </c>
      <c r="D28" s="4957"/>
      <c r="E28" s="2466" t="s">
        <v>1027</v>
      </c>
      <c r="F28" s="2466">
        <v>4</v>
      </c>
      <c r="G28" s="2468">
        <f t="shared" si="0"/>
        <v>0.125</v>
      </c>
      <c r="H28" s="2469">
        <f>F28/G28</f>
        <v>32</v>
      </c>
      <c r="I28" s="2470">
        <v>25000</v>
      </c>
      <c r="J28" s="2466"/>
      <c r="K28" s="2470">
        <f t="shared" si="2"/>
        <v>800000</v>
      </c>
      <c r="L28" s="1724"/>
    </row>
    <row r="29" spans="1:12" ht="12" customHeight="1">
      <c r="A29" s="2463">
        <v>16</v>
      </c>
      <c r="B29" s="2464" t="str">
        <f>'Chấm công công nhân'!L86</f>
        <v xml:space="preserve"> Thảo Đăm </v>
      </c>
      <c r="C29" s="2465" t="s">
        <v>1900</v>
      </c>
      <c r="D29" s="4957"/>
      <c r="E29" s="2466" t="s">
        <v>1027</v>
      </c>
      <c r="F29" s="2466">
        <v>4</v>
      </c>
      <c r="G29" s="2468">
        <f t="shared" si="0"/>
        <v>0.125</v>
      </c>
      <c r="H29" s="2469">
        <f t="shared" si="1"/>
        <v>32</v>
      </c>
      <c r="I29" s="2470">
        <v>25000</v>
      </c>
      <c r="J29" s="2466"/>
      <c r="K29" s="2470">
        <f t="shared" si="2"/>
        <v>800000</v>
      </c>
      <c r="L29" s="1724"/>
    </row>
    <row r="30" spans="1:12" s="2475" customFormat="1">
      <c r="A30" s="4959" t="s">
        <v>21</v>
      </c>
      <c r="B30" s="4959"/>
      <c r="C30" s="4959"/>
      <c r="D30" s="4959"/>
      <c r="E30" s="2471"/>
      <c r="F30" s="2472">
        <f>SUM(F14:F29)</f>
        <v>64</v>
      </c>
      <c r="G30" s="2472"/>
      <c r="H30" s="2473">
        <f>SUM(H14:H29)</f>
        <v>512</v>
      </c>
      <c r="I30" s="2472"/>
      <c r="J30" s="2472">
        <f>SUM(J14:J29)</f>
        <v>0</v>
      </c>
      <c r="K30" s="2474">
        <f>SUM(K14:K29)</f>
        <v>12800000</v>
      </c>
      <c r="L30" s="2472"/>
    </row>
    <row r="31" spans="1:12" ht="15.75">
      <c r="A31" s="1731" t="s">
        <v>1028</v>
      </c>
      <c r="B31" s="1732"/>
    </row>
    <row r="32" spans="1:12" ht="15.75">
      <c r="A32" s="1733" t="s">
        <v>1029</v>
      </c>
      <c r="B32" s="1734"/>
    </row>
    <row r="33" spans="1:10" ht="15.75">
      <c r="A33" s="1733" t="s">
        <v>1030</v>
      </c>
      <c r="B33" s="1734"/>
    </row>
    <row r="34" spans="1:10" ht="15.75">
      <c r="B34" s="4960" t="s">
        <v>162</v>
      </c>
      <c r="C34" s="4960"/>
      <c r="D34" s="1735"/>
      <c r="E34" s="1735"/>
      <c r="F34" s="1736" t="s">
        <v>1031</v>
      </c>
      <c r="I34" s="1736"/>
      <c r="J34" s="1736"/>
    </row>
    <row r="38" spans="1:10">
      <c r="B38" s="4952"/>
      <c r="C38" s="4952"/>
    </row>
  </sheetData>
  <mergeCells count="9">
    <mergeCell ref="A30:D30"/>
    <mergeCell ref="B34:C34"/>
    <mergeCell ref="B38:C38"/>
    <mergeCell ref="A1:L1"/>
    <mergeCell ref="A2:L2"/>
    <mergeCell ref="A3:G3"/>
    <mergeCell ref="A4:G4"/>
    <mergeCell ref="B6:L6"/>
    <mergeCell ref="D14:D29"/>
  </mergeCells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R47" sqref="R47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375" customWidth="1"/>
    <col min="5" max="5" width="4.25" customWidth="1"/>
    <col min="6" max="6" width="5" style="1706" customWidth="1"/>
    <col min="7" max="7" width="4.125" customWidth="1"/>
    <col min="8" max="8" width="4.875" customWidth="1"/>
    <col min="9" max="9" width="4" customWidth="1"/>
    <col min="10" max="10" width="5.375" style="1708" customWidth="1"/>
    <col min="11" max="11" width="7.25" customWidth="1"/>
    <col min="12" max="12" width="5" hidden="1" customWidth="1"/>
    <col min="13" max="13" width="10.125" style="1709" customWidth="1"/>
    <col min="14" max="14" width="7" customWidth="1"/>
  </cols>
  <sheetData>
    <row r="1" spans="1:14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  <c r="M1" s="4155"/>
      <c r="N1" s="4155"/>
    </row>
    <row r="2" spans="1:14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  <c r="M2" s="4480"/>
      <c r="N2" s="4480"/>
    </row>
    <row r="3" spans="1:14" ht="15.75">
      <c r="A3" s="4155" t="s">
        <v>1013</v>
      </c>
      <c r="B3" s="4155"/>
      <c r="C3" s="4155"/>
      <c r="D3" s="4155"/>
      <c r="E3" s="4155"/>
      <c r="F3" s="4155"/>
      <c r="G3" s="4155"/>
      <c r="H3" s="2456"/>
      <c r="I3" s="2456"/>
      <c r="J3" s="1705"/>
      <c r="K3" s="1706"/>
      <c r="L3" s="1706"/>
      <c r="M3" s="1707"/>
      <c r="N3" s="1706"/>
    </row>
    <row r="4" spans="1:14" ht="15.75">
      <c r="A4" s="4480" t="s">
        <v>541</v>
      </c>
      <c r="B4" s="4480"/>
      <c r="C4" s="4480"/>
      <c r="D4" s="4480"/>
      <c r="E4" s="4480"/>
      <c r="F4" s="4480"/>
      <c r="G4" s="4480"/>
      <c r="H4" s="2457"/>
      <c r="I4" s="2457"/>
    </row>
    <row r="5" spans="1:14" ht="21.75">
      <c r="G5" s="1711" t="s">
        <v>1014</v>
      </c>
      <c r="H5" s="1711"/>
      <c r="I5" s="1711"/>
    </row>
    <row r="6" spans="1:14">
      <c r="A6" s="1712"/>
      <c r="B6" s="4954" t="s">
        <v>1259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  <c r="M6" s="4954"/>
      <c r="N6" s="4954"/>
    </row>
    <row r="7" spans="1:14">
      <c r="A7" s="1712"/>
      <c r="B7" s="1713" t="s">
        <v>1015</v>
      </c>
      <c r="C7" s="1713"/>
      <c r="D7" s="2459"/>
      <c r="E7" s="2459"/>
      <c r="G7" s="1712"/>
      <c r="H7" s="1712"/>
      <c r="I7" s="1712"/>
      <c r="J7" s="1715"/>
      <c r="K7" s="1712"/>
      <c r="L7" s="1712"/>
      <c r="M7" s="1716"/>
      <c r="N7" s="1712"/>
    </row>
    <row r="8" spans="1:14">
      <c r="A8" s="1712"/>
      <c r="B8" s="1713" t="s">
        <v>1258</v>
      </c>
      <c r="C8" s="1713"/>
      <c r="D8" s="2459"/>
      <c r="E8" s="1712"/>
      <c r="G8" s="1712"/>
      <c r="H8" s="1712"/>
      <c r="I8" s="1712"/>
      <c r="J8" s="1717" t="s">
        <v>1016</v>
      </c>
      <c r="K8" s="2459"/>
      <c r="L8" s="2459"/>
      <c r="M8" s="1716"/>
      <c r="N8" s="1712"/>
    </row>
    <row r="9" spans="1:14">
      <c r="A9" s="1712"/>
      <c r="B9" s="1713" t="s">
        <v>1032</v>
      </c>
      <c r="C9" s="1713"/>
      <c r="D9" s="2459"/>
      <c r="E9" s="1712"/>
      <c r="G9" s="1712"/>
      <c r="H9" s="1712"/>
      <c r="I9" s="1712"/>
      <c r="J9" s="1717" t="s">
        <v>1017</v>
      </c>
      <c r="K9" s="2459"/>
      <c r="L9" s="2459"/>
      <c r="M9" s="1716"/>
      <c r="N9" s="1712"/>
    </row>
    <row r="10" spans="1:14">
      <c r="A10" s="1712"/>
      <c r="B10" s="1295" t="s">
        <v>1199</v>
      </c>
      <c r="D10" s="1712"/>
      <c r="E10" s="1712"/>
      <c r="G10" s="1712"/>
      <c r="H10" s="1712"/>
      <c r="I10" s="1712"/>
      <c r="J10" s="1715"/>
      <c r="K10" s="1712"/>
      <c r="L10" s="1712"/>
      <c r="M10" s="1716"/>
      <c r="N10" s="1712"/>
    </row>
    <row r="11" spans="1:14">
      <c r="A11" s="1712" t="s">
        <v>1019</v>
      </c>
      <c r="D11" s="1712"/>
      <c r="E11" s="1712"/>
      <c r="G11" s="1712"/>
      <c r="H11" s="1712"/>
      <c r="I11" s="1712"/>
      <c r="J11" s="1715"/>
      <c r="K11" s="1712"/>
      <c r="L11" s="1712"/>
      <c r="M11" s="1716"/>
      <c r="N11" s="1712"/>
    </row>
    <row r="12" spans="1:14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1313</v>
      </c>
      <c r="G12" s="1718" t="s">
        <v>361</v>
      </c>
      <c r="H12" s="1718" t="s">
        <v>1314</v>
      </c>
      <c r="I12" s="1718" t="s">
        <v>361</v>
      </c>
      <c r="J12" s="1719" t="s">
        <v>47</v>
      </c>
      <c r="K12" s="1718" t="s">
        <v>1022</v>
      </c>
      <c r="L12" s="1718" t="s">
        <v>1023</v>
      </c>
      <c r="M12" s="1720" t="s">
        <v>1024</v>
      </c>
      <c r="N12" s="1721" t="s">
        <v>9</v>
      </c>
    </row>
    <row r="13" spans="1:14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2"/>
      <c r="I13" s="1722"/>
      <c r="J13" s="1723" t="s">
        <v>1201</v>
      </c>
      <c r="K13" s="1722">
        <v>9</v>
      </c>
      <c r="L13" s="1722">
        <v>9</v>
      </c>
      <c r="M13" s="1722" t="s">
        <v>1026</v>
      </c>
      <c r="N13" s="1724"/>
    </row>
    <row r="14" spans="1:14" ht="12" customHeight="1">
      <c r="A14" s="1725">
        <v>1</v>
      </c>
      <c r="B14" s="1726">
        <f>'Chấm công công nhân'!L12</f>
        <v>0</v>
      </c>
      <c r="C14" s="1720"/>
      <c r="D14" s="4729" t="s">
        <v>1264</v>
      </c>
      <c r="E14" s="1722" t="s">
        <v>1027</v>
      </c>
      <c r="F14" s="1722"/>
      <c r="G14" s="1723">
        <f>25000/175000</f>
        <v>0.14285714285714285</v>
      </c>
      <c r="H14" s="70"/>
      <c r="I14" s="1723">
        <f>25000/200000</f>
        <v>0.125</v>
      </c>
      <c r="J14" s="1723">
        <f>(F14/G14)+(H14/I14)</f>
        <v>0</v>
      </c>
      <c r="K14" s="1727">
        <v>25000</v>
      </c>
      <c r="L14" s="1722"/>
      <c r="M14" s="1727">
        <f>K14*J14</f>
        <v>0</v>
      </c>
      <c r="N14" s="1724"/>
    </row>
    <row r="15" spans="1:14" ht="12" customHeight="1">
      <c r="A15" s="1725">
        <v>2</v>
      </c>
      <c r="B15" s="1726" t="str">
        <f>'Chấm công công nhân'!L13</f>
        <v>Vắt Đi</v>
      </c>
      <c r="C15" s="1720" t="s">
        <v>1260</v>
      </c>
      <c r="D15" s="4961"/>
      <c r="E15" s="1722" t="s">
        <v>1027</v>
      </c>
      <c r="F15" s="1722"/>
      <c r="G15" s="1723">
        <f t="shared" ref="G15:G50" si="0">25000/175000</f>
        <v>0.14285714285714285</v>
      </c>
      <c r="H15" s="70"/>
      <c r="I15" s="1723">
        <f t="shared" ref="I15:I50" si="1">25000/200000</f>
        <v>0.125</v>
      </c>
      <c r="J15" s="1723">
        <f t="shared" ref="J15:J50" si="2">(F15/G15)+(H15/I15)</f>
        <v>0</v>
      </c>
      <c r="K15" s="1727">
        <v>25000</v>
      </c>
      <c r="L15" s="1725"/>
      <c r="M15" s="1727">
        <f t="shared" ref="M15:M50" si="3">K15*J15</f>
        <v>0</v>
      </c>
      <c r="N15" s="1724"/>
    </row>
    <row r="16" spans="1:14" ht="12" customHeight="1">
      <c r="A16" s="1725">
        <v>3</v>
      </c>
      <c r="B16" s="1726" t="str">
        <f>'Chấm công công nhân'!L14</f>
        <v>Mẹ Leo</v>
      </c>
      <c r="C16" s="1720" t="s">
        <v>1260</v>
      </c>
      <c r="D16" s="4961"/>
      <c r="E16" s="1722" t="s">
        <v>1027</v>
      </c>
      <c r="F16" s="1722"/>
      <c r="G16" s="1723">
        <f t="shared" si="0"/>
        <v>0.14285714285714285</v>
      </c>
      <c r="H16" s="70"/>
      <c r="I16" s="1723">
        <f t="shared" si="1"/>
        <v>0.125</v>
      </c>
      <c r="J16" s="1723">
        <f t="shared" si="2"/>
        <v>0</v>
      </c>
      <c r="K16" s="1727">
        <v>25000</v>
      </c>
      <c r="L16" s="1725"/>
      <c r="M16" s="1727">
        <f t="shared" si="3"/>
        <v>0</v>
      </c>
      <c r="N16" s="1724"/>
    </row>
    <row r="17" spans="1:14" ht="12" customHeight="1">
      <c r="A17" s="1725">
        <v>4</v>
      </c>
      <c r="B17" s="1726" t="str">
        <f>'Chấm công công nhân'!L15</f>
        <v xml:space="preserve">Thảo Ken </v>
      </c>
      <c r="C17" s="1720" t="s">
        <v>1260</v>
      </c>
      <c r="D17" s="4961"/>
      <c r="E17" s="1722" t="s">
        <v>1027</v>
      </c>
      <c r="F17" s="1722"/>
      <c r="G17" s="1723">
        <f t="shared" si="0"/>
        <v>0.14285714285714285</v>
      </c>
      <c r="H17" s="70"/>
      <c r="I17" s="1723">
        <f t="shared" si="1"/>
        <v>0.125</v>
      </c>
      <c r="J17" s="1723">
        <f t="shared" si="2"/>
        <v>0</v>
      </c>
      <c r="K17" s="1727">
        <v>25000</v>
      </c>
      <c r="L17" s="1725"/>
      <c r="M17" s="1727">
        <f t="shared" si="3"/>
        <v>0</v>
      </c>
      <c r="N17" s="1724"/>
    </row>
    <row r="18" spans="1:14" ht="12" customHeight="1">
      <c r="A18" s="1725">
        <v>5</v>
      </c>
      <c r="B18" s="1726" t="str">
        <f>'Chấm công công nhân'!L16</f>
        <v>Thảo Phút</v>
      </c>
      <c r="C18" s="1720" t="s">
        <v>1260</v>
      </c>
      <c r="D18" s="4961"/>
      <c r="E18" s="1722" t="s">
        <v>1027</v>
      </c>
      <c r="F18" s="1722"/>
      <c r="G18" s="1723">
        <f t="shared" si="0"/>
        <v>0.14285714285714285</v>
      </c>
      <c r="H18" s="70"/>
      <c r="I18" s="1723">
        <f t="shared" si="1"/>
        <v>0.125</v>
      </c>
      <c r="J18" s="1723">
        <f t="shared" si="2"/>
        <v>0</v>
      </c>
      <c r="K18" s="1727">
        <v>25000</v>
      </c>
      <c r="L18" s="1722"/>
      <c r="M18" s="1727">
        <f t="shared" si="3"/>
        <v>0</v>
      </c>
      <c r="N18" s="1724"/>
    </row>
    <row r="19" spans="1:14" ht="12" customHeight="1">
      <c r="A19" s="1725">
        <v>6</v>
      </c>
      <c r="B19" s="1726" t="str">
        <f>'Chấm công công nhân'!L17</f>
        <v>Thảo Mằn</v>
      </c>
      <c r="C19" s="1720" t="s">
        <v>1260</v>
      </c>
      <c r="D19" s="4961"/>
      <c r="E19" s="1722" t="s">
        <v>1027</v>
      </c>
      <c r="F19" s="1722"/>
      <c r="G19" s="1723">
        <f t="shared" si="0"/>
        <v>0.14285714285714285</v>
      </c>
      <c r="H19" s="70"/>
      <c r="I19" s="1723">
        <f t="shared" si="1"/>
        <v>0.125</v>
      </c>
      <c r="J19" s="1723">
        <f t="shared" si="2"/>
        <v>0</v>
      </c>
      <c r="K19" s="1727">
        <v>25000</v>
      </c>
      <c r="L19" s="1722"/>
      <c r="M19" s="1727">
        <f t="shared" si="3"/>
        <v>0</v>
      </c>
      <c r="N19" s="1724"/>
    </row>
    <row r="20" spans="1:14" ht="12" customHeight="1">
      <c r="A20" s="1725">
        <v>7</v>
      </c>
      <c r="B20" s="1726" t="str">
        <f>'Chấm công công nhân'!L18</f>
        <v>Nàng Chay</v>
      </c>
      <c r="C20" s="1720" t="s">
        <v>1260</v>
      </c>
      <c r="D20" s="4961"/>
      <c r="E20" s="1722" t="s">
        <v>1027</v>
      </c>
      <c r="F20" s="1722"/>
      <c r="G20" s="1723">
        <f t="shared" si="0"/>
        <v>0.14285714285714285</v>
      </c>
      <c r="H20" s="70"/>
      <c r="I20" s="1723">
        <f t="shared" si="1"/>
        <v>0.125</v>
      </c>
      <c r="J20" s="1723">
        <f t="shared" si="2"/>
        <v>0</v>
      </c>
      <c r="K20" s="1727">
        <v>25000</v>
      </c>
      <c r="L20" s="1725"/>
      <c r="M20" s="1727">
        <f t="shared" si="3"/>
        <v>0</v>
      </c>
      <c r="N20" s="1724"/>
    </row>
    <row r="21" spans="1:14" ht="12" customHeight="1">
      <c r="A21" s="1725">
        <v>8</v>
      </c>
      <c r="B21" s="1726" t="str">
        <f>'Chấm công công nhân'!L19</f>
        <v>Thảo Sắp</v>
      </c>
      <c r="C21" s="1720" t="s">
        <v>1260</v>
      </c>
      <c r="D21" s="4961"/>
      <c r="E21" s="1722" t="s">
        <v>1027</v>
      </c>
      <c r="F21" s="1722"/>
      <c r="G21" s="1723">
        <f t="shared" si="0"/>
        <v>0.14285714285714285</v>
      </c>
      <c r="H21" s="70"/>
      <c r="I21" s="1723">
        <f t="shared" si="1"/>
        <v>0.125</v>
      </c>
      <c r="J21" s="1723">
        <f t="shared" si="2"/>
        <v>0</v>
      </c>
      <c r="K21" s="1727">
        <v>25000</v>
      </c>
      <c r="L21" s="1725"/>
      <c r="M21" s="1727">
        <f t="shared" si="3"/>
        <v>0</v>
      </c>
      <c r="N21" s="1724"/>
    </row>
    <row r="22" spans="1:14" ht="12" customHeight="1">
      <c r="A22" s="1725">
        <v>9</v>
      </c>
      <c r="B22" s="1726" t="str">
        <f>'Chấm công công nhân'!L20</f>
        <v>Thảo Say</v>
      </c>
      <c r="C22" s="1720" t="s">
        <v>1260</v>
      </c>
      <c r="D22" s="4961"/>
      <c r="E22" s="1722" t="s">
        <v>1027</v>
      </c>
      <c r="F22" s="1722"/>
      <c r="G22" s="1723">
        <f t="shared" si="0"/>
        <v>0.14285714285714285</v>
      </c>
      <c r="H22" s="70"/>
      <c r="I22" s="1723">
        <f t="shared" si="1"/>
        <v>0.125</v>
      </c>
      <c r="J22" s="1723">
        <f t="shared" si="2"/>
        <v>0</v>
      </c>
      <c r="K22" s="1727">
        <v>25000</v>
      </c>
      <c r="L22" s="1725"/>
      <c r="M22" s="1727">
        <f t="shared" si="3"/>
        <v>0</v>
      </c>
      <c r="N22" s="1724"/>
    </row>
    <row r="23" spans="1:14" ht="12" customHeight="1">
      <c r="A23" s="1725">
        <v>10</v>
      </c>
      <c r="B23" s="1726" t="str">
        <f>'Chấm công công nhân'!L21</f>
        <v>Thảo Cợt</v>
      </c>
      <c r="C23" s="1720" t="s">
        <v>1260</v>
      </c>
      <c r="D23" s="4961"/>
      <c r="E23" s="1722" t="s">
        <v>1027</v>
      </c>
      <c r="F23" s="1722"/>
      <c r="G23" s="1723">
        <f t="shared" si="0"/>
        <v>0.14285714285714285</v>
      </c>
      <c r="H23" s="70"/>
      <c r="I23" s="1723">
        <f t="shared" si="1"/>
        <v>0.125</v>
      </c>
      <c r="J23" s="1723">
        <f t="shared" si="2"/>
        <v>0</v>
      </c>
      <c r="K23" s="1727">
        <v>25000</v>
      </c>
      <c r="L23" s="1722"/>
      <c r="M23" s="1727">
        <f t="shared" si="3"/>
        <v>0</v>
      </c>
      <c r="N23" s="1724"/>
    </row>
    <row r="24" spans="1:14" ht="12" customHeight="1">
      <c r="A24" s="1725">
        <v>11</v>
      </c>
      <c r="B24" s="1726" t="str">
        <f>'Chấm công công nhân'!L22</f>
        <v>Thảo Hôm</v>
      </c>
      <c r="C24" s="1720" t="s">
        <v>1260</v>
      </c>
      <c r="D24" s="4961"/>
      <c r="E24" s="1722" t="s">
        <v>1027</v>
      </c>
      <c r="F24" s="1722"/>
      <c r="G24" s="1723">
        <f t="shared" si="0"/>
        <v>0.14285714285714285</v>
      </c>
      <c r="H24" s="70"/>
      <c r="I24" s="1723">
        <f t="shared" si="1"/>
        <v>0.125</v>
      </c>
      <c r="J24" s="1723">
        <f t="shared" si="2"/>
        <v>0</v>
      </c>
      <c r="K24" s="1727">
        <v>25000</v>
      </c>
      <c r="L24" s="1722"/>
      <c r="M24" s="1727">
        <f t="shared" si="3"/>
        <v>0</v>
      </c>
      <c r="N24" s="1724"/>
    </row>
    <row r="25" spans="1:14" ht="12" customHeight="1">
      <c r="A25" s="1725">
        <v>12</v>
      </c>
      <c r="B25" s="1726" t="str">
        <f>'Chấm công công nhân'!L23</f>
        <v xml:space="preserve">Thảo Khăm  </v>
      </c>
      <c r="C25" s="1720" t="s">
        <v>1260</v>
      </c>
      <c r="D25" s="4961"/>
      <c r="E25" s="1722" t="s">
        <v>1027</v>
      </c>
      <c r="F25" s="1722"/>
      <c r="G25" s="1723">
        <f t="shared" si="0"/>
        <v>0.14285714285714285</v>
      </c>
      <c r="H25" s="70"/>
      <c r="I25" s="1723">
        <f t="shared" si="1"/>
        <v>0.125</v>
      </c>
      <c r="J25" s="1723">
        <f t="shared" si="2"/>
        <v>0</v>
      </c>
      <c r="K25" s="1727">
        <v>25000</v>
      </c>
      <c r="L25" s="1725"/>
      <c r="M25" s="1727">
        <f t="shared" si="3"/>
        <v>0</v>
      </c>
      <c r="N25" s="1724"/>
    </row>
    <row r="26" spans="1:14" ht="12" customHeight="1">
      <c r="A26" s="1725">
        <v>13</v>
      </c>
      <c r="B26" s="1726" t="str">
        <f>'Chấm công công nhân'!L24</f>
        <v>Thảo Hăm</v>
      </c>
      <c r="C26" s="1720" t="s">
        <v>1260</v>
      </c>
      <c r="D26" s="4961"/>
      <c r="E26" s="1722" t="s">
        <v>1027</v>
      </c>
      <c r="F26" s="1722"/>
      <c r="G26" s="1723">
        <f t="shared" si="0"/>
        <v>0.14285714285714285</v>
      </c>
      <c r="H26" s="70"/>
      <c r="I26" s="1723">
        <f t="shared" si="1"/>
        <v>0.125</v>
      </c>
      <c r="J26" s="1723">
        <f t="shared" si="2"/>
        <v>0</v>
      </c>
      <c r="K26" s="1727">
        <v>25000</v>
      </c>
      <c r="L26" s="1725"/>
      <c r="M26" s="1727">
        <f t="shared" si="3"/>
        <v>0</v>
      </c>
      <c r="N26" s="1724"/>
    </row>
    <row r="27" spans="1:14" ht="12" customHeight="1">
      <c r="A27" s="1725">
        <v>14</v>
      </c>
      <c r="B27" s="1726" t="str">
        <f>'Chấm công công nhân'!L25</f>
        <v>Nang Lon</v>
      </c>
      <c r="C27" s="1720" t="s">
        <v>1260</v>
      </c>
      <c r="D27" s="4961"/>
      <c r="E27" s="1722" t="s">
        <v>1027</v>
      </c>
      <c r="F27" s="1722"/>
      <c r="G27" s="1723">
        <f t="shared" si="0"/>
        <v>0.14285714285714285</v>
      </c>
      <c r="H27" s="70"/>
      <c r="I27" s="1723">
        <f t="shared" si="1"/>
        <v>0.125</v>
      </c>
      <c r="J27" s="1723">
        <f t="shared" si="2"/>
        <v>0</v>
      </c>
      <c r="K27" s="1727">
        <v>25000</v>
      </c>
      <c r="L27" s="1725"/>
      <c r="M27" s="1727">
        <f t="shared" si="3"/>
        <v>0</v>
      </c>
      <c r="N27" s="1724"/>
    </row>
    <row r="28" spans="1:14" ht="12" customHeight="1">
      <c r="A28" s="1725">
        <v>15</v>
      </c>
      <c r="B28" s="1726" t="str">
        <f>'Chấm công công nhân'!L26</f>
        <v>Thảo Pheng</v>
      </c>
      <c r="C28" s="1720" t="s">
        <v>1260</v>
      </c>
      <c r="D28" s="4961"/>
      <c r="E28" s="1722" t="s">
        <v>1027</v>
      </c>
      <c r="F28" s="1722"/>
      <c r="G28" s="1723">
        <f t="shared" si="0"/>
        <v>0.14285714285714285</v>
      </c>
      <c r="H28" s="70"/>
      <c r="I28" s="1723">
        <f t="shared" si="1"/>
        <v>0.125</v>
      </c>
      <c r="J28" s="1723">
        <f t="shared" si="2"/>
        <v>0</v>
      </c>
      <c r="K28" s="1727">
        <v>25000</v>
      </c>
      <c r="L28" s="1722"/>
      <c r="M28" s="1727">
        <f t="shared" si="3"/>
        <v>0</v>
      </c>
      <c r="N28" s="1724"/>
    </row>
    <row r="29" spans="1:14" ht="12" customHeight="1">
      <c r="A29" s="1725">
        <v>16</v>
      </c>
      <c r="B29" s="1726" t="str">
        <f>'Chấm công công nhân'!L27</f>
        <v>Thảo kok</v>
      </c>
      <c r="C29" s="1720"/>
      <c r="D29" s="4961"/>
      <c r="E29" s="1722" t="s">
        <v>1027</v>
      </c>
      <c r="F29" s="1722"/>
      <c r="G29" s="1723">
        <f t="shared" si="0"/>
        <v>0.14285714285714285</v>
      </c>
      <c r="H29" s="70"/>
      <c r="I29" s="1723">
        <f t="shared" si="1"/>
        <v>0.125</v>
      </c>
      <c r="J29" s="1723">
        <f t="shared" si="2"/>
        <v>0</v>
      </c>
      <c r="K29" s="1727">
        <v>25000</v>
      </c>
      <c r="L29" s="1722"/>
      <c r="M29" s="1727">
        <f t="shared" si="3"/>
        <v>0</v>
      </c>
      <c r="N29" s="1724"/>
    </row>
    <row r="30" spans="1:14" ht="12" customHeight="1">
      <c r="A30" s="1725">
        <v>17</v>
      </c>
      <c r="B30" s="1726" t="str">
        <f>'Chấm công công nhân'!L28</f>
        <v>Nàng Sút Chay</v>
      </c>
      <c r="C30" s="1720" t="s">
        <v>1260</v>
      </c>
      <c r="D30" s="4961"/>
      <c r="E30" s="1722" t="s">
        <v>1027</v>
      </c>
      <c r="F30" s="1722"/>
      <c r="G30" s="1723">
        <f t="shared" si="0"/>
        <v>0.14285714285714285</v>
      </c>
      <c r="H30" s="70"/>
      <c r="I30" s="1723">
        <f t="shared" si="1"/>
        <v>0.125</v>
      </c>
      <c r="J30" s="1723">
        <f t="shared" si="2"/>
        <v>0</v>
      </c>
      <c r="K30" s="1727">
        <v>25000</v>
      </c>
      <c r="L30" s="1725"/>
      <c r="M30" s="1727">
        <f t="shared" si="3"/>
        <v>0</v>
      </c>
      <c r="N30" s="1724"/>
    </row>
    <row r="31" spans="1:14" ht="12" customHeight="1">
      <c r="A31" s="1725">
        <v>18</v>
      </c>
      <c r="B31" s="1726" t="str">
        <f>'Chấm công công nhân'!L29</f>
        <v>Thảo Khăm Phay</v>
      </c>
      <c r="C31" s="1720" t="s">
        <v>1260</v>
      </c>
      <c r="D31" s="4961"/>
      <c r="E31" s="1722" t="s">
        <v>1027</v>
      </c>
      <c r="F31" s="1722"/>
      <c r="G31" s="1723">
        <f t="shared" si="0"/>
        <v>0.14285714285714285</v>
      </c>
      <c r="H31" s="70"/>
      <c r="I31" s="1723">
        <f t="shared" si="1"/>
        <v>0.125</v>
      </c>
      <c r="J31" s="1723">
        <f t="shared" si="2"/>
        <v>0</v>
      </c>
      <c r="K31" s="1727">
        <v>25000</v>
      </c>
      <c r="L31" s="1725"/>
      <c r="M31" s="1727">
        <f t="shared" si="3"/>
        <v>0</v>
      </c>
      <c r="N31" s="1724"/>
    </row>
    <row r="32" spans="1:14" ht="12" customHeight="1">
      <c r="A32" s="1725">
        <v>19</v>
      </c>
      <c r="B32" s="1726" t="str">
        <f>'Chấm công công nhân'!L30</f>
        <v>Thảo Sớm</v>
      </c>
      <c r="C32" s="1720" t="s">
        <v>1260</v>
      </c>
      <c r="D32" s="4961"/>
      <c r="E32" s="1722" t="s">
        <v>1027</v>
      </c>
      <c r="F32" s="1722"/>
      <c r="G32" s="1723">
        <f t="shared" si="0"/>
        <v>0.14285714285714285</v>
      </c>
      <c r="H32" s="70"/>
      <c r="I32" s="1723">
        <f t="shared" si="1"/>
        <v>0.125</v>
      </c>
      <c r="J32" s="1723">
        <f t="shared" si="2"/>
        <v>0</v>
      </c>
      <c r="K32" s="1727">
        <v>25000</v>
      </c>
      <c r="L32" s="1725"/>
      <c r="M32" s="1727">
        <f t="shared" si="3"/>
        <v>0</v>
      </c>
      <c r="N32" s="1724"/>
    </row>
    <row r="33" spans="1:14" ht="12" customHeight="1">
      <c r="A33" s="1725">
        <v>20</v>
      </c>
      <c r="B33" s="1726" t="str">
        <f>'Chấm công công nhân'!L31</f>
        <v>Pha Xúc</v>
      </c>
      <c r="C33" s="1720" t="s">
        <v>1260</v>
      </c>
      <c r="D33" s="4961"/>
      <c r="E33" s="1722" t="s">
        <v>1027</v>
      </c>
      <c r="F33" s="1722"/>
      <c r="G33" s="1723">
        <f t="shared" si="0"/>
        <v>0.14285714285714285</v>
      </c>
      <c r="H33" s="70"/>
      <c r="I33" s="1723">
        <f t="shared" si="1"/>
        <v>0.125</v>
      </c>
      <c r="J33" s="1723">
        <f t="shared" si="2"/>
        <v>0</v>
      </c>
      <c r="K33" s="1727">
        <v>25000</v>
      </c>
      <c r="L33" s="1722"/>
      <c r="M33" s="1727">
        <f t="shared" si="3"/>
        <v>0</v>
      </c>
      <c r="N33" s="1724"/>
    </row>
    <row r="34" spans="1:14" ht="12" customHeight="1">
      <c r="A34" s="1725">
        <v>21</v>
      </c>
      <c r="B34" s="1726" t="str">
        <f>'Chấm công công nhân'!L32</f>
        <v>Nàng Phon</v>
      </c>
      <c r="C34" s="1720" t="s">
        <v>1260</v>
      </c>
      <c r="D34" s="4961"/>
      <c r="E34" s="1722" t="s">
        <v>1027</v>
      </c>
      <c r="F34" s="1722"/>
      <c r="G34" s="1723">
        <f t="shared" si="0"/>
        <v>0.14285714285714285</v>
      </c>
      <c r="H34" s="70"/>
      <c r="I34" s="1723">
        <f t="shared" si="1"/>
        <v>0.125</v>
      </c>
      <c r="J34" s="1723">
        <f t="shared" si="2"/>
        <v>0</v>
      </c>
      <c r="K34" s="1727">
        <v>25000</v>
      </c>
      <c r="L34" s="1722"/>
      <c r="M34" s="1727">
        <f t="shared" si="3"/>
        <v>0</v>
      </c>
      <c r="N34" s="1724"/>
    </row>
    <row r="35" spans="1:14" ht="12" customHeight="1">
      <c r="A35" s="1725">
        <v>22</v>
      </c>
      <c r="B35" s="1726" t="str">
        <f>'Chấm công công nhân'!L33</f>
        <v>Thảo Chăn</v>
      </c>
      <c r="C35" s="1720" t="s">
        <v>1260</v>
      </c>
      <c r="D35" s="4961"/>
      <c r="E35" s="1722" t="s">
        <v>1027</v>
      </c>
      <c r="F35" s="1722"/>
      <c r="G35" s="1723">
        <f t="shared" si="0"/>
        <v>0.14285714285714285</v>
      </c>
      <c r="H35" s="70"/>
      <c r="I35" s="1723">
        <f t="shared" si="1"/>
        <v>0.125</v>
      </c>
      <c r="J35" s="1723">
        <f t="shared" si="2"/>
        <v>0</v>
      </c>
      <c r="K35" s="1727">
        <v>25000</v>
      </c>
      <c r="L35" s="1725"/>
      <c r="M35" s="1727">
        <f t="shared" si="3"/>
        <v>0</v>
      </c>
      <c r="N35" s="1724"/>
    </row>
    <row r="36" spans="1:14" ht="12" customHeight="1">
      <c r="A36" s="1725">
        <v>23</v>
      </c>
      <c r="B36" s="1726" t="str">
        <f>'Chấm công công nhân'!L34</f>
        <v>Thong La</v>
      </c>
      <c r="C36" s="1720" t="s">
        <v>1260</v>
      </c>
      <c r="D36" s="4961"/>
      <c r="E36" s="1722" t="s">
        <v>1027</v>
      </c>
      <c r="F36" s="1722"/>
      <c r="G36" s="1723">
        <f t="shared" si="0"/>
        <v>0.14285714285714285</v>
      </c>
      <c r="H36" s="70"/>
      <c r="I36" s="1723">
        <f t="shared" si="1"/>
        <v>0.125</v>
      </c>
      <c r="J36" s="1723">
        <f t="shared" si="2"/>
        <v>0</v>
      </c>
      <c r="K36" s="1727">
        <v>25000</v>
      </c>
      <c r="L36" s="1725"/>
      <c r="M36" s="1727">
        <f t="shared" si="3"/>
        <v>0</v>
      </c>
      <c r="N36" s="1724"/>
    </row>
    <row r="37" spans="1:14" ht="12" customHeight="1">
      <c r="A37" s="1725">
        <v>24</v>
      </c>
      <c r="B37" s="1726" t="str">
        <f>'Chấm công công nhân'!L35</f>
        <v>Thảo Cum Pha</v>
      </c>
      <c r="C37" s="1720" t="s">
        <v>1260</v>
      </c>
      <c r="D37" s="4961"/>
      <c r="E37" s="1722" t="s">
        <v>1027</v>
      </c>
      <c r="F37" s="1722"/>
      <c r="G37" s="1723">
        <f t="shared" si="0"/>
        <v>0.14285714285714285</v>
      </c>
      <c r="H37" s="70"/>
      <c r="I37" s="1723">
        <f t="shared" si="1"/>
        <v>0.125</v>
      </c>
      <c r="J37" s="1723">
        <f t="shared" si="2"/>
        <v>0</v>
      </c>
      <c r="K37" s="1727">
        <v>25000</v>
      </c>
      <c r="L37" s="1725"/>
      <c r="M37" s="1727">
        <f t="shared" si="3"/>
        <v>0</v>
      </c>
      <c r="N37" s="1724"/>
    </row>
    <row r="38" spans="1:14" ht="12" customHeight="1">
      <c r="A38" s="1725">
        <v>25</v>
      </c>
      <c r="B38" s="1726" t="str">
        <f>'Chấm công công nhân'!L36</f>
        <v>T Ô Vên</v>
      </c>
      <c r="C38" s="1720" t="s">
        <v>1260</v>
      </c>
      <c r="D38" s="4961"/>
      <c r="E38" s="1722" t="s">
        <v>1027</v>
      </c>
      <c r="F38" s="1722"/>
      <c r="G38" s="1723">
        <f t="shared" si="0"/>
        <v>0.14285714285714285</v>
      </c>
      <c r="H38" s="70"/>
      <c r="I38" s="1723">
        <f t="shared" si="1"/>
        <v>0.125</v>
      </c>
      <c r="J38" s="1723">
        <f t="shared" si="2"/>
        <v>0</v>
      </c>
      <c r="K38" s="1727">
        <v>25000</v>
      </c>
      <c r="L38" s="1722"/>
      <c r="M38" s="1727">
        <f t="shared" si="3"/>
        <v>0</v>
      </c>
      <c r="N38" s="1724"/>
    </row>
    <row r="39" spans="1:14" ht="12" customHeight="1">
      <c r="A39" s="1725">
        <v>26</v>
      </c>
      <c r="B39" s="1726" t="str">
        <f>'Chấm công công nhân'!L37</f>
        <v>Nàng Lam</v>
      </c>
      <c r="C39" s="1720" t="s">
        <v>1260</v>
      </c>
      <c r="D39" s="4961"/>
      <c r="E39" s="1722" t="s">
        <v>1027</v>
      </c>
      <c r="F39" s="1722"/>
      <c r="G39" s="1723">
        <f t="shared" si="0"/>
        <v>0.14285714285714285</v>
      </c>
      <c r="H39" s="70"/>
      <c r="I39" s="1723">
        <f t="shared" si="1"/>
        <v>0.125</v>
      </c>
      <c r="J39" s="1723">
        <f t="shared" si="2"/>
        <v>0</v>
      </c>
      <c r="K39" s="1727">
        <v>25000</v>
      </c>
      <c r="L39" s="1722"/>
      <c r="M39" s="1727">
        <f t="shared" si="3"/>
        <v>0</v>
      </c>
      <c r="N39" s="1724"/>
    </row>
    <row r="40" spans="1:14" ht="12" customHeight="1">
      <c r="A40" s="1725">
        <v>27</v>
      </c>
      <c r="B40" s="1726" t="str">
        <f>'Chấm công công nhân'!L38</f>
        <v>Nàng Hđao</v>
      </c>
      <c r="C40" s="1720" t="s">
        <v>1260</v>
      </c>
      <c r="D40" s="4961"/>
      <c r="E40" s="1722" t="s">
        <v>1027</v>
      </c>
      <c r="F40" s="1722"/>
      <c r="G40" s="1723">
        <f t="shared" si="0"/>
        <v>0.14285714285714285</v>
      </c>
      <c r="H40" s="70"/>
      <c r="I40" s="1723">
        <f t="shared" si="1"/>
        <v>0.125</v>
      </c>
      <c r="J40" s="1723">
        <f t="shared" si="2"/>
        <v>0</v>
      </c>
      <c r="K40" s="1727">
        <v>25000</v>
      </c>
      <c r="L40" s="1725"/>
      <c r="M40" s="1727">
        <f t="shared" si="3"/>
        <v>0</v>
      </c>
      <c r="N40" s="1724"/>
    </row>
    <row r="41" spans="1:14" ht="12" customHeight="1">
      <c r="A41" s="1725">
        <v>28</v>
      </c>
      <c r="B41" s="1726" t="str">
        <f>'Chấm công công nhân'!L39</f>
        <v>Thảo Tong</v>
      </c>
      <c r="C41" s="1720" t="s">
        <v>1260</v>
      </c>
      <c r="D41" s="4961"/>
      <c r="E41" s="1722" t="s">
        <v>1027</v>
      </c>
      <c r="F41" s="1722"/>
      <c r="G41" s="1723">
        <f t="shared" si="0"/>
        <v>0.14285714285714285</v>
      </c>
      <c r="H41" s="70"/>
      <c r="I41" s="1723">
        <f t="shared" si="1"/>
        <v>0.125</v>
      </c>
      <c r="J41" s="1723">
        <f t="shared" si="2"/>
        <v>0</v>
      </c>
      <c r="K41" s="1727">
        <v>25000</v>
      </c>
      <c r="L41" s="1725"/>
      <c r="M41" s="1727">
        <f t="shared" si="3"/>
        <v>0</v>
      </c>
      <c r="N41" s="1724"/>
    </row>
    <row r="42" spans="1:14" ht="12" customHeight="1">
      <c r="A42" s="1725">
        <v>29</v>
      </c>
      <c r="B42" s="1726" t="str">
        <f>'Chấm công công nhân'!L40</f>
        <v>Thảo Khốc</v>
      </c>
      <c r="C42" s="1720" t="s">
        <v>1260</v>
      </c>
      <c r="D42" s="4961"/>
      <c r="E42" s="1722" t="s">
        <v>1027</v>
      </c>
      <c r="F42" s="1722"/>
      <c r="G42" s="1723">
        <f t="shared" si="0"/>
        <v>0.14285714285714285</v>
      </c>
      <c r="H42" s="70"/>
      <c r="I42" s="1723">
        <f t="shared" si="1"/>
        <v>0.125</v>
      </c>
      <c r="J42" s="1723">
        <f t="shared" si="2"/>
        <v>0</v>
      </c>
      <c r="K42" s="1727">
        <v>25000</v>
      </c>
      <c r="L42" s="1725"/>
      <c r="M42" s="1727">
        <f t="shared" si="3"/>
        <v>0</v>
      </c>
      <c r="N42" s="1724"/>
    </row>
    <row r="43" spans="1:14" ht="12" customHeight="1">
      <c r="A43" s="1725">
        <v>30</v>
      </c>
      <c r="B43" s="1726" t="str">
        <f>'Chấm công công nhân'!L41</f>
        <v>Thảo Sợt</v>
      </c>
      <c r="C43" s="1720" t="s">
        <v>1260</v>
      </c>
      <c r="D43" s="4961"/>
      <c r="E43" s="1722" t="s">
        <v>1027</v>
      </c>
      <c r="F43" s="1722"/>
      <c r="G43" s="1723">
        <f t="shared" si="0"/>
        <v>0.14285714285714285</v>
      </c>
      <c r="H43" s="70"/>
      <c r="I43" s="1723">
        <f t="shared" si="1"/>
        <v>0.125</v>
      </c>
      <c r="J43" s="1723">
        <f t="shared" si="2"/>
        <v>0</v>
      </c>
      <c r="K43" s="1727">
        <v>25000</v>
      </c>
      <c r="L43" s="1722"/>
      <c r="M43" s="1727">
        <f t="shared" si="3"/>
        <v>0</v>
      </c>
      <c r="N43" s="1724"/>
    </row>
    <row r="44" spans="1:14" ht="12" customHeight="1">
      <c r="A44" s="1725">
        <v>31</v>
      </c>
      <c r="B44" s="1726" t="str">
        <f>'Chấm công công nhân'!L42</f>
        <v>Thảo Văn</v>
      </c>
      <c r="C44" s="1720" t="s">
        <v>1260</v>
      </c>
      <c r="D44" s="4961"/>
      <c r="E44" s="1722" t="s">
        <v>1027</v>
      </c>
      <c r="F44" s="1722"/>
      <c r="G44" s="1723">
        <f t="shared" si="0"/>
        <v>0.14285714285714285</v>
      </c>
      <c r="H44" s="70"/>
      <c r="I44" s="1723">
        <f t="shared" si="1"/>
        <v>0.125</v>
      </c>
      <c r="J44" s="1723">
        <f t="shared" si="2"/>
        <v>0</v>
      </c>
      <c r="K44" s="1727">
        <v>25000</v>
      </c>
      <c r="L44" s="1722"/>
      <c r="M44" s="1727">
        <f t="shared" si="3"/>
        <v>0</v>
      </c>
      <c r="N44" s="1724"/>
    </row>
    <row r="45" spans="1:14" ht="12" customHeight="1">
      <c r="A45" s="1725">
        <v>32</v>
      </c>
      <c r="B45" s="1726" t="str">
        <f>'Chấm công công nhân'!L43</f>
        <v>Nàng Túc</v>
      </c>
      <c r="C45" s="1720" t="s">
        <v>1260</v>
      </c>
      <c r="D45" s="4961"/>
      <c r="E45" s="1722" t="s">
        <v>1027</v>
      </c>
      <c r="F45" s="1722"/>
      <c r="G45" s="1723">
        <f t="shared" si="0"/>
        <v>0.14285714285714285</v>
      </c>
      <c r="H45" s="70"/>
      <c r="I45" s="1723">
        <f t="shared" si="1"/>
        <v>0.125</v>
      </c>
      <c r="J45" s="1723">
        <f t="shared" si="2"/>
        <v>0</v>
      </c>
      <c r="K45" s="1727">
        <v>25000</v>
      </c>
      <c r="L45" s="1722"/>
      <c r="M45" s="1727">
        <f t="shared" si="3"/>
        <v>0</v>
      </c>
      <c r="N45" s="1724"/>
    </row>
    <row r="46" spans="1:14" ht="12" customHeight="1">
      <c r="A46" s="1725">
        <v>33</v>
      </c>
      <c r="B46" s="1726" t="str">
        <f>'Chấm công công nhân'!L44</f>
        <v>Nàng Chon</v>
      </c>
      <c r="C46" s="1720" t="s">
        <v>1260</v>
      </c>
      <c r="D46" s="4961"/>
      <c r="E46" s="1722" t="s">
        <v>1027</v>
      </c>
      <c r="F46" s="1722"/>
      <c r="G46" s="1723">
        <f t="shared" si="0"/>
        <v>0.14285714285714285</v>
      </c>
      <c r="H46" s="70"/>
      <c r="I46" s="1723">
        <f t="shared" si="1"/>
        <v>0.125</v>
      </c>
      <c r="J46" s="1723">
        <f t="shared" si="2"/>
        <v>0</v>
      </c>
      <c r="K46" s="1727">
        <v>25000</v>
      </c>
      <c r="L46" s="1722"/>
      <c r="M46" s="1727">
        <f t="shared" si="3"/>
        <v>0</v>
      </c>
      <c r="N46" s="1724"/>
    </row>
    <row r="47" spans="1:14" ht="12" customHeight="1">
      <c r="A47" s="1725">
        <v>34</v>
      </c>
      <c r="B47" s="1726" t="str">
        <f>'Chấm công công nhân'!L45</f>
        <v>Thảo Hơ Phơ</v>
      </c>
      <c r="C47" s="1720" t="s">
        <v>1260</v>
      </c>
      <c r="D47" s="4961"/>
      <c r="E47" s="1722" t="s">
        <v>1027</v>
      </c>
      <c r="F47" s="1722"/>
      <c r="G47" s="1723">
        <f t="shared" si="0"/>
        <v>0.14285714285714285</v>
      </c>
      <c r="H47" s="70"/>
      <c r="I47" s="1723">
        <f t="shared" si="1"/>
        <v>0.125</v>
      </c>
      <c r="J47" s="1723">
        <f t="shared" si="2"/>
        <v>0</v>
      </c>
      <c r="K47" s="1727">
        <v>25000</v>
      </c>
      <c r="L47" s="1722"/>
      <c r="M47" s="1727">
        <f t="shared" si="3"/>
        <v>0</v>
      </c>
      <c r="N47" s="1724"/>
    </row>
    <row r="48" spans="1:14" ht="12" customHeight="1">
      <c r="A48" s="1725">
        <v>35</v>
      </c>
      <c r="B48" s="1726" t="str">
        <f>'Chấm công công nhân'!L46</f>
        <v>Thảo Phét</v>
      </c>
      <c r="C48" s="1720" t="s">
        <v>1260</v>
      </c>
      <c r="D48" s="4961"/>
      <c r="E48" s="1722" t="s">
        <v>1027</v>
      </c>
      <c r="F48" s="1722"/>
      <c r="G48" s="1723">
        <f t="shared" si="0"/>
        <v>0.14285714285714285</v>
      </c>
      <c r="H48" s="70"/>
      <c r="I48" s="1723">
        <f t="shared" si="1"/>
        <v>0.125</v>
      </c>
      <c r="J48" s="1723">
        <f t="shared" si="2"/>
        <v>0</v>
      </c>
      <c r="K48" s="1727">
        <v>25000</v>
      </c>
      <c r="L48" s="1722"/>
      <c r="M48" s="1727">
        <f t="shared" si="3"/>
        <v>0</v>
      </c>
      <c r="N48" s="1724"/>
    </row>
    <row r="49" spans="1:14" ht="12" customHeight="1">
      <c r="A49" s="1725">
        <v>36</v>
      </c>
      <c r="B49" s="1726" t="str">
        <f>'Chấm công công nhân'!L47</f>
        <v>Hăn</v>
      </c>
      <c r="C49" s="1720" t="s">
        <v>1260</v>
      </c>
      <c r="D49" s="4961"/>
      <c r="E49" s="1722" t="s">
        <v>1027</v>
      </c>
      <c r="F49" s="1722"/>
      <c r="G49" s="1723">
        <f t="shared" si="0"/>
        <v>0.14285714285714285</v>
      </c>
      <c r="H49" s="70"/>
      <c r="I49" s="1723">
        <f t="shared" si="1"/>
        <v>0.125</v>
      </c>
      <c r="J49" s="1723">
        <f t="shared" si="2"/>
        <v>0</v>
      </c>
      <c r="K49" s="1727">
        <v>25000</v>
      </c>
      <c r="L49" s="1722"/>
      <c r="M49" s="1727">
        <f t="shared" si="3"/>
        <v>0</v>
      </c>
      <c r="N49" s="1724"/>
    </row>
    <row r="50" spans="1:14" ht="12" customHeight="1">
      <c r="A50" s="1725">
        <v>37</v>
      </c>
      <c r="B50" s="2166" t="s">
        <v>1140</v>
      </c>
      <c r="C50" s="1720"/>
      <c r="D50" s="2675"/>
      <c r="E50" s="1722"/>
      <c r="F50" s="1722"/>
      <c r="G50" s="1723">
        <f t="shared" si="0"/>
        <v>0.14285714285714285</v>
      </c>
      <c r="H50" s="70"/>
      <c r="I50" s="1723">
        <f t="shared" si="1"/>
        <v>0.125</v>
      </c>
      <c r="J50" s="1723">
        <f t="shared" si="2"/>
        <v>0</v>
      </c>
      <c r="K50" s="1727">
        <v>25000</v>
      </c>
      <c r="L50" s="1722"/>
      <c r="M50" s="1727">
        <f t="shared" si="3"/>
        <v>0</v>
      </c>
      <c r="N50" s="1724"/>
    </row>
    <row r="51" spans="1:14">
      <c r="A51" s="4955"/>
      <c r="B51" s="4955"/>
      <c r="C51" s="4955"/>
      <c r="D51" s="4955"/>
      <c r="E51" s="1724"/>
      <c r="F51" s="2458">
        <f>SUM(F14:F49)</f>
        <v>0</v>
      </c>
      <c r="G51" s="1729">
        <f>SUM(G14:G49)</f>
        <v>5.1428571428571441</v>
      </c>
      <c r="H51" s="2458">
        <f t="shared" ref="H51" si="4">SUM(H14:H49)</f>
        <v>0</v>
      </c>
      <c r="I51" s="2458"/>
      <c r="J51" s="2288">
        <f>SUM(J14:J49)</f>
        <v>0</v>
      </c>
      <c r="K51" s="2458"/>
      <c r="L51" s="2458">
        <f>SUM(L14:L49)</f>
        <v>0</v>
      </c>
      <c r="M51" s="1730">
        <f>SUM(M14:M49)</f>
        <v>0</v>
      </c>
      <c r="N51" s="2458"/>
    </row>
    <row r="52" spans="1:14" ht="15.75">
      <c r="A52" s="1731" t="s">
        <v>1028</v>
      </c>
      <c r="B52" s="1732"/>
    </row>
    <row r="53" spans="1:14" ht="15.75">
      <c r="A53" s="1733" t="s">
        <v>1029</v>
      </c>
      <c r="B53" s="1734"/>
    </row>
    <row r="54" spans="1:14" ht="15.75">
      <c r="A54" s="1733" t="s">
        <v>1030</v>
      </c>
      <c r="B54" s="1734"/>
    </row>
    <row r="55" spans="1:14" ht="15.75">
      <c r="B55" s="3950" t="s">
        <v>162</v>
      </c>
      <c r="C55" s="3950"/>
      <c r="D55" s="1735"/>
      <c r="E55" s="1735"/>
      <c r="F55" s="1736" t="s">
        <v>1031</v>
      </c>
      <c r="K55" s="1736"/>
      <c r="L55" s="1736"/>
    </row>
    <row r="59" spans="1:14">
      <c r="B59" s="4952"/>
      <c r="C59" s="4952"/>
    </row>
  </sheetData>
  <mergeCells count="9">
    <mergeCell ref="A51:D51"/>
    <mergeCell ref="B55:C55"/>
    <mergeCell ref="B59:C59"/>
    <mergeCell ref="A1:N1"/>
    <mergeCell ref="A2:N2"/>
    <mergeCell ref="A3:G3"/>
    <mergeCell ref="A4:G4"/>
    <mergeCell ref="B6:N6"/>
    <mergeCell ref="D14:D49"/>
  </mergeCells>
  <pageMargins left="0.7" right="0.28999999999999998" top="0.28999999999999998" bottom="0.75" header="0.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13" workbookViewId="0">
      <selection activeCell="G33" sqref="G33"/>
    </sheetView>
  </sheetViews>
  <sheetFormatPr defaultRowHeight="14.25"/>
  <cols>
    <col min="1" max="1" width="5.125" customWidth="1"/>
    <col min="2" max="2" width="11.75" style="1710" customWidth="1"/>
    <col min="3" max="3" width="13.875" style="1710" customWidth="1"/>
    <col min="4" max="4" width="5.75" customWidth="1"/>
    <col min="5" max="5" width="4.25" customWidth="1"/>
    <col min="6" max="6" width="4.375" style="1706" customWidth="1"/>
    <col min="7" max="7" width="4.375" customWidth="1"/>
    <col min="8" max="8" width="6" style="1708" customWidth="1"/>
    <col min="9" max="9" width="6.875" customWidth="1"/>
    <col min="10" max="10" width="10.875" style="1709" customWidth="1"/>
    <col min="11" max="11" width="8.125" customWidth="1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</row>
    <row r="2" spans="1:11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</row>
    <row r="3" spans="1:11" ht="15.75">
      <c r="A3" s="4155" t="s">
        <v>1013</v>
      </c>
      <c r="B3" s="4155"/>
      <c r="C3" s="4155"/>
      <c r="D3" s="4155"/>
      <c r="E3" s="4155"/>
      <c r="F3" s="4155"/>
      <c r="G3" s="4155"/>
      <c r="H3" s="1705"/>
      <c r="I3" s="1706"/>
      <c r="J3" s="1707"/>
      <c r="K3" s="1706"/>
    </row>
    <row r="4" spans="1:11" ht="15.75">
      <c r="A4" s="4480" t="s">
        <v>541</v>
      </c>
      <c r="B4" s="4480"/>
      <c r="C4" s="4480"/>
      <c r="D4" s="4480"/>
      <c r="E4" s="4480"/>
      <c r="F4" s="4480"/>
      <c r="G4" s="4480"/>
    </row>
    <row r="5" spans="1:11" ht="21.75">
      <c r="G5" s="1711" t="s">
        <v>1014</v>
      </c>
    </row>
    <row r="6" spans="1:11">
      <c r="A6" s="1712"/>
      <c r="B6" s="4954" t="s">
        <v>1259</v>
      </c>
      <c r="C6" s="4954"/>
      <c r="D6" s="4954"/>
      <c r="E6" s="4954"/>
      <c r="F6" s="4954"/>
      <c r="G6" s="4954"/>
      <c r="H6" s="4954"/>
      <c r="I6" s="4954"/>
      <c r="J6" s="4954"/>
      <c r="K6" s="4954"/>
    </row>
    <row r="7" spans="1:11">
      <c r="A7" s="1712"/>
      <c r="B7" s="1713" t="s">
        <v>1015</v>
      </c>
      <c r="C7" s="1713"/>
      <c r="D7" s="2459"/>
      <c r="E7" s="2459"/>
      <c r="G7" s="1712"/>
      <c r="H7" s="1715"/>
      <c r="I7" s="1712"/>
      <c r="J7" s="1716"/>
      <c r="K7" s="1712"/>
    </row>
    <row r="8" spans="1:11">
      <c r="A8" s="1712"/>
      <c r="B8" s="1713" t="s">
        <v>1261</v>
      </c>
      <c r="C8" s="1713"/>
      <c r="D8" s="2459"/>
      <c r="E8" s="1712"/>
      <c r="G8" s="1712"/>
      <c r="H8" s="1717" t="s">
        <v>1262</v>
      </c>
      <c r="I8" s="2459"/>
      <c r="J8" s="1716"/>
      <c r="K8" s="1712"/>
    </row>
    <row r="9" spans="1:11">
      <c r="A9" s="1712"/>
      <c r="B9" s="1713" t="s">
        <v>1032</v>
      </c>
      <c r="C9" s="1713"/>
      <c r="D9" s="2459"/>
      <c r="E9" s="1712"/>
      <c r="G9" s="1712"/>
      <c r="H9" s="1717" t="s">
        <v>1017</v>
      </c>
      <c r="I9" s="2459"/>
      <c r="J9" s="1716"/>
      <c r="K9" s="1712"/>
    </row>
    <row r="10" spans="1:11">
      <c r="A10" s="1712"/>
      <c r="B10" s="1295" t="s">
        <v>1018</v>
      </c>
      <c r="D10" s="1712"/>
      <c r="E10" s="1712"/>
      <c r="G10" s="1712"/>
      <c r="H10" s="1715"/>
      <c r="I10" s="1712"/>
      <c r="J10" s="1716"/>
      <c r="K10" s="1712"/>
    </row>
    <row r="11" spans="1:11">
      <c r="A11" s="1712" t="s">
        <v>1019</v>
      </c>
      <c r="D11" s="1712"/>
      <c r="E11" s="1712"/>
      <c r="G11" s="1712"/>
      <c r="H11" s="1715"/>
      <c r="I11" s="1712"/>
      <c r="J11" s="1716"/>
      <c r="K11" s="1712"/>
    </row>
    <row r="12" spans="1:11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20" t="s">
        <v>1024</v>
      </c>
      <c r="K12" s="1721" t="s">
        <v>9</v>
      </c>
    </row>
    <row r="13" spans="1:11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 t="s">
        <v>1026</v>
      </c>
      <c r="K13" s="1724"/>
    </row>
    <row r="14" spans="1:11" ht="12" customHeight="1">
      <c r="A14" s="1725">
        <v>1</v>
      </c>
      <c r="B14" s="1738" t="str">
        <f>'Chấm công công nhân'!L49</f>
        <v>Thảo Đa Văn</v>
      </c>
      <c r="C14" s="1720" t="s">
        <v>1260</v>
      </c>
      <c r="D14" s="4729" t="s">
        <v>1264</v>
      </c>
      <c r="E14" s="1722" t="s">
        <v>1027</v>
      </c>
      <c r="F14" s="1722"/>
      <c r="G14" s="1723">
        <f>25000/175000</f>
        <v>0.14285714285714285</v>
      </c>
      <c r="H14" s="70">
        <f>F14/G14</f>
        <v>0</v>
      </c>
      <c r="I14" s="1727">
        <v>25000</v>
      </c>
      <c r="J14" s="1727">
        <f t="shared" ref="J14:J29" si="0">I14*H14</f>
        <v>0</v>
      </c>
      <c r="K14" s="1724"/>
    </row>
    <row r="15" spans="1:11" ht="12" customHeight="1">
      <c r="A15" s="1725">
        <v>2</v>
      </c>
      <c r="B15" s="1738">
        <f>'Chấm công công nhân'!L50</f>
        <v>0</v>
      </c>
      <c r="C15" s="1720" t="s">
        <v>1260</v>
      </c>
      <c r="D15" s="4961"/>
      <c r="E15" s="1722" t="s">
        <v>1027</v>
      </c>
      <c r="F15" s="1722"/>
      <c r="G15" s="1723">
        <f t="shared" ref="G15:G29" si="1">25000/175000</f>
        <v>0.14285714285714285</v>
      </c>
      <c r="H15" s="70">
        <f t="shared" ref="H15:H29" si="2">F15/G15</f>
        <v>0</v>
      </c>
      <c r="I15" s="1727">
        <v>25000</v>
      </c>
      <c r="J15" s="1727">
        <f t="shared" si="0"/>
        <v>0</v>
      </c>
      <c r="K15" s="1724"/>
    </row>
    <row r="16" spans="1:11" ht="12" customHeight="1">
      <c r="A16" s="1725">
        <v>3</v>
      </c>
      <c r="B16" s="1738" t="str">
        <f>'Chấm công công nhân'!L51</f>
        <v>Thảo Xa Đết</v>
      </c>
      <c r="C16" s="1720" t="s">
        <v>1260</v>
      </c>
      <c r="D16" s="4961"/>
      <c r="E16" s="1722" t="s">
        <v>1027</v>
      </c>
      <c r="F16" s="1722"/>
      <c r="G16" s="1723">
        <f t="shared" si="1"/>
        <v>0.14285714285714285</v>
      </c>
      <c r="H16" s="70">
        <f t="shared" si="2"/>
        <v>0</v>
      </c>
      <c r="I16" s="1727">
        <v>25000</v>
      </c>
      <c r="J16" s="1727">
        <f t="shared" si="0"/>
        <v>0</v>
      </c>
      <c r="K16" s="1724"/>
    </row>
    <row r="17" spans="1:11" ht="12" customHeight="1">
      <c r="A17" s="1725">
        <v>4</v>
      </c>
      <c r="B17" s="1738" t="str">
        <f>'Chấm công công nhân'!L52</f>
        <v>Thảo Sột</v>
      </c>
      <c r="C17" s="1720" t="s">
        <v>1260</v>
      </c>
      <c r="D17" s="4961"/>
      <c r="E17" s="1722" t="s">
        <v>1027</v>
      </c>
      <c r="F17" s="1722"/>
      <c r="G17" s="1723">
        <f t="shared" si="1"/>
        <v>0.14285714285714285</v>
      </c>
      <c r="H17" s="70">
        <f t="shared" si="2"/>
        <v>0</v>
      </c>
      <c r="I17" s="1727">
        <v>25000</v>
      </c>
      <c r="J17" s="1727">
        <f t="shared" si="0"/>
        <v>0</v>
      </c>
      <c r="K17" s="1724"/>
    </row>
    <row r="18" spans="1:11" ht="12" customHeight="1">
      <c r="A18" s="1725">
        <v>5</v>
      </c>
      <c r="B18" s="1738" t="str">
        <f>'Chấm công công nhân'!L53</f>
        <v>Stoong</v>
      </c>
      <c r="C18" s="1720" t="s">
        <v>1260</v>
      </c>
      <c r="D18" s="4961"/>
      <c r="E18" s="1722" t="s">
        <v>1027</v>
      </c>
      <c r="F18" s="1722"/>
      <c r="G18" s="1723">
        <f t="shared" si="1"/>
        <v>0.14285714285714285</v>
      </c>
      <c r="H18" s="70">
        <f t="shared" si="2"/>
        <v>0</v>
      </c>
      <c r="I18" s="1727">
        <v>25000</v>
      </c>
      <c r="J18" s="1727">
        <f t="shared" si="0"/>
        <v>0</v>
      </c>
      <c r="K18" s="1724"/>
    </row>
    <row r="19" spans="1:11" ht="12" customHeight="1">
      <c r="A19" s="1725">
        <v>6</v>
      </c>
      <c r="B19" s="1738" t="str">
        <f>'Chấm công công nhân'!L54</f>
        <v>Nàng Phắt</v>
      </c>
      <c r="C19" s="1720" t="s">
        <v>1260</v>
      </c>
      <c r="D19" s="4961"/>
      <c r="E19" s="1722" t="s">
        <v>1027</v>
      </c>
      <c r="F19" s="1722"/>
      <c r="G19" s="1723">
        <f t="shared" si="1"/>
        <v>0.14285714285714285</v>
      </c>
      <c r="H19" s="70">
        <f t="shared" si="2"/>
        <v>0</v>
      </c>
      <c r="I19" s="1727">
        <v>25000</v>
      </c>
      <c r="J19" s="1727">
        <f t="shared" si="0"/>
        <v>0</v>
      </c>
      <c r="K19" s="1724"/>
    </row>
    <row r="20" spans="1:11" ht="12" customHeight="1">
      <c r="A20" s="1725">
        <v>7</v>
      </c>
      <c r="B20" s="1737" t="str">
        <f>'Chấm công công nhân'!L55</f>
        <v>Nàng May</v>
      </c>
      <c r="C20" s="1720" t="s">
        <v>1260</v>
      </c>
      <c r="D20" s="4961"/>
      <c r="E20" s="1722" t="s">
        <v>1027</v>
      </c>
      <c r="F20" s="1722"/>
      <c r="G20" s="1723">
        <f t="shared" si="1"/>
        <v>0.14285714285714285</v>
      </c>
      <c r="H20" s="70">
        <f t="shared" si="2"/>
        <v>0</v>
      </c>
      <c r="I20" s="1727">
        <v>25000</v>
      </c>
      <c r="J20" s="1727">
        <f t="shared" si="0"/>
        <v>0</v>
      </c>
      <c r="K20" s="1724"/>
    </row>
    <row r="21" spans="1:11" ht="12" customHeight="1">
      <c r="A21" s="1725">
        <v>8</v>
      </c>
      <c r="B21" s="1738" t="str">
        <f>'Chấm công công nhân'!L56</f>
        <v>Thảo Bênh</v>
      </c>
      <c r="C21" s="1720" t="s">
        <v>1260</v>
      </c>
      <c r="D21" s="4961"/>
      <c r="E21" s="1722" t="s">
        <v>1027</v>
      </c>
      <c r="F21" s="1722"/>
      <c r="G21" s="1723">
        <f t="shared" si="1"/>
        <v>0.14285714285714285</v>
      </c>
      <c r="H21" s="70">
        <f t="shared" si="2"/>
        <v>0</v>
      </c>
      <c r="I21" s="1727">
        <v>25000</v>
      </c>
      <c r="J21" s="1727">
        <f t="shared" si="0"/>
        <v>0</v>
      </c>
      <c r="K21" s="1724"/>
    </row>
    <row r="22" spans="1:11" ht="12" customHeight="1">
      <c r="A22" s="1725">
        <v>9</v>
      </c>
      <c r="B22" s="1738" t="str">
        <f>'Chấm công công nhân'!L57</f>
        <v>Thảo Đinh</v>
      </c>
      <c r="C22" s="1720" t="s">
        <v>1260</v>
      </c>
      <c r="D22" s="4961"/>
      <c r="E22" s="1722" t="s">
        <v>1027</v>
      </c>
      <c r="F22" s="1722"/>
      <c r="G22" s="1723">
        <f t="shared" si="1"/>
        <v>0.14285714285714285</v>
      </c>
      <c r="H22" s="70">
        <f t="shared" si="2"/>
        <v>0</v>
      </c>
      <c r="I22" s="1727">
        <v>25000</v>
      </c>
      <c r="J22" s="1727">
        <f t="shared" si="0"/>
        <v>0</v>
      </c>
      <c r="K22" s="1724"/>
    </row>
    <row r="23" spans="1:11" ht="12" customHeight="1">
      <c r="A23" s="1725">
        <v>10</v>
      </c>
      <c r="B23" s="1738" t="str">
        <f>'Chấm công công nhân'!L58</f>
        <v>Thảo Vi</v>
      </c>
      <c r="C23" s="1720" t="s">
        <v>1260</v>
      </c>
      <c r="D23" s="4961"/>
      <c r="E23" s="1722" t="s">
        <v>1027</v>
      </c>
      <c r="F23" s="1722"/>
      <c r="G23" s="1723">
        <f t="shared" si="1"/>
        <v>0.14285714285714285</v>
      </c>
      <c r="H23" s="70">
        <f t="shared" si="2"/>
        <v>0</v>
      </c>
      <c r="I23" s="1727">
        <v>25000</v>
      </c>
      <c r="J23" s="1727">
        <f t="shared" si="0"/>
        <v>0</v>
      </c>
      <c r="K23" s="1724"/>
    </row>
    <row r="24" spans="1:11" ht="12" customHeight="1">
      <c r="A24" s="1725">
        <v>11</v>
      </c>
      <c r="B24" s="1738" t="str">
        <f>'Chấm công công nhân'!L59</f>
        <v>Thảo Văn</v>
      </c>
      <c r="C24" s="1720" t="s">
        <v>1260</v>
      </c>
      <c r="D24" s="4961"/>
      <c r="E24" s="1722" t="s">
        <v>1027</v>
      </c>
      <c r="F24" s="1722"/>
      <c r="G24" s="1723">
        <f t="shared" si="1"/>
        <v>0.14285714285714285</v>
      </c>
      <c r="H24" s="70">
        <f t="shared" si="2"/>
        <v>0</v>
      </c>
      <c r="I24" s="1727">
        <v>25000</v>
      </c>
      <c r="J24" s="1727">
        <f t="shared" si="0"/>
        <v>0</v>
      </c>
      <c r="K24" s="1724"/>
    </row>
    <row r="25" spans="1:11" ht="12" customHeight="1">
      <c r="A25" s="1725">
        <v>12</v>
      </c>
      <c r="B25" s="1738" t="str">
        <f>'Chấm công công nhân'!L60</f>
        <v>Nàng Phìn</v>
      </c>
      <c r="C25" s="1720" t="s">
        <v>1260</v>
      </c>
      <c r="D25" s="4961"/>
      <c r="E25" s="1722" t="s">
        <v>1027</v>
      </c>
      <c r="F25" s="1722"/>
      <c r="G25" s="1723">
        <f t="shared" si="1"/>
        <v>0.14285714285714285</v>
      </c>
      <c r="H25" s="70">
        <f t="shared" si="2"/>
        <v>0</v>
      </c>
      <c r="I25" s="1727">
        <v>25000</v>
      </c>
      <c r="J25" s="1727">
        <f t="shared" si="0"/>
        <v>0</v>
      </c>
      <c r="K25" s="1724"/>
    </row>
    <row r="26" spans="1:11" ht="12" customHeight="1">
      <c r="A26" s="1725">
        <v>13</v>
      </c>
      <c r="B26" s="1738" t="str">
        <f>'Chấm công công nhân'!L61</f>
        <v>Mẹ Sột</v>
      </c>
      <c r="C26" s="1720" t="s">
        <v>1260</v>
      </c>
      <c r="D26" s="4961"/>
      <c r="E26" s="1722" t="s">
        <v>1027</v>
      </c>
      <c r="F26" s="1722"/>
      <c r="G26" s="1723">
        <f t="shared" si="1"/>
        <v>0.14285714285714285</v>
      </c>
      <c r="H26" s="70">
        <f t="shared" si="2"/>
        <v>0</v>
      </c>
      <c r="I26" s="1727">
        <v>25000</v>
      </c>
      <c r="J26" s="1727">
        <f t="shared" si="0"/>
        <v>0</v>
      </c>
      <c r="K26" s="1724"/>
    </row>
    <row r="27" spans="1:11" ht="12" customHeight="1">
      <c r="A27" s="1725">
        <v>14</v>
      </c>
      <c r="B27" s="1738" t="str">
        <f>'Chấm công công nhân'!L62</f>
        <v>Nàng Heo</v>
      </c>
      <c r="C27" s="1720" t="s">
        <v>1260</v>
      </c>
      <c r="D27" s="4961"/>
      <c r="E27" s="1722" t="s">
        <v>1027</v>
      </c>
      <c r="F27" s="1722"/>
      <c r="G27" s="1723">
        <f t="shared" si="1"/>
        <v>0.14285714285714285</v>
      </c>
      <c r="H27" s="70">
        <f t="shared" si="2"/>
        <v>0</v>
      </c>
      <c r="I27" s="1727">
        <v>25000</v>
      </c>
      <c r="J27" s="1727">
        <f t="shared" si="0"/>
        <v>0</v>
      </c>
      <c r="K27" s="1724"/>
    </row>
    <row r="28" spans="1:11" ht="12" customHeight="1">
      <c r="A28" s="1725">
        <v>15</v>
      </c>
      <c r="B28" s="1738" t="str">
        <f>'Chấm công công nhân'!L63</f>
        <v>Thảo Chăn Ti</v>
      </c>
      <c r="C28" s="1720" t="s">
        <v>1260</v>
      </c>
      <c r="D28" s="4961"/>
      <c r="E28" s="1722" t="s">
        <v>1027</v>
      </c>
      <c r="F28" s="1722"/>
      <c r="G28" s="1723">
        <f t="shared" si="1"/>
        <v>0.14285714285714285</v>
      </c>
      <c r="H28" s="70">
        <f t="shared" si="2"/>
        <v>0</v>
      </c>
      <c r="I28" s="1727">
        <v>25000</v>
      </c>
      <c r="J28" s="1727">
        <f t="shared" si="0"/>
        <v>0</v>
      </c>
      <c r="K28" s="1724"/>
    </row>
    <row r="29" spans="1:11" ht="12" customHeight="1">
      <c r="A29" s="1725">
        <v>16</v>
      </c>
      <c r="B29" s="2676" t="s">
        <v>1140</v>
      </c>
      <c r="C29" s="1720" t="s">
        <v>1307</v>
      </c>
      <c r="D29" s="2675"/>
      <c r="E29" s="1722" t="s">
        <v>1027</v>
      </c>
      <c r="F29" s="1722"/>
      <c r="G29" s="1723">
        <f t="shared" si="1"/>
        <v>0.14285714285714285</v>
      </c>
      <c r="H29" s="70">
        <f t="shared" si="2"/>
        <v>0</v>
      </c>
      <c r="I29" s="1727">
        <v>25000</v>
      </c>
      <c r="J29" s="1727">
        <f t="shared" si="0"/>
        <v>0</v>
      </c>
      <c r="K29" s="1724"/>
    </row>
    <row r="30" spans="1:11">
      <c r="A30" s="4955"/>
      <c r="B30" s="4955"/>
      <c r="C30" s="4955"/>
      <c r="D30" s="4955"/>
      <c r="E30" s="1724"/>
      <c r="F30" s="2458">
        <f>SUM(F14:F28)</f>
        <v>0</v>
      </c>
      <c r="G30" s="2458"/>
      <c r="H30" s="2288">
        <f>SUM(H14:H28)</f>
        <v>0</v>
      </c>
      <c r="I30" s="2458"/>
      <c r="J30" s="1730">
        <f>SUM(J14:J28)</f>
        <v>0</v>
      </c>
      <c r="K30" s="2458"/>
    </row>
    <row r="31" spans="1:11" ht="15.75">
      <c r="A31" s="1731" t="s">
        <v>1028</v>
      </c>
      <c r="B31" s="1732"/>
    </row>
    <row r="32" spans="1:11" ht="15.75">
      <c r="A32" s="1733" t="s">
        <v>1029</v>
      </c>
      <c r="B32" s="1734"/>
    </row>
    <row r="33" spans="1:9" ht="15.75">
      <c r="A33" s="1733" t="s">
        <v>1030</v>
      </c>
      <c r="B33" s="1734"/>
    </row>
    <row r="34" spans="1:9" ht="15.75">
      <c r="B34" s="3950" t="s">
        <v>162</v>
      </c>
      <c r="C34" s="3950"/>
      <c r="D34" s="1735"/>
      <c r="E34" s="1735"/>
      <c r="F34" s="1736" t="s">
        <v>1031</v>
      </c>
      <c r="I34" s="1736"/>
    </row>
    <row r="38" spans="1:9">
      <c r="B38" s="4952"/>
      <c r="C38" s="4952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B14" sqref="B14:B30"/>
    </sheetView>
  </sheetViews>
  <sheetFormatPr defaultRowHeight="14.25"/>
  <cols>
    <col min="1" max="1" width="5.125" customWidth="1"/>
    <col min="2" max="2" width="11.75" style="1710" customWidth="1"/>
    <col min="3" max="3" width="13.875" style="1710" customWidth="1"/>
    <col min="4" max="4" width="5.75" customWidth="1"/>
    <col min="5" max="5" width="4.25" customWidth="1"/>
    <col min="6" max="6" width="4.75" style="1706" customWidth="1"/>
    <col min="7" max="7" width="4.25" customWidth="1"/>
    <col min="8" max="8" width="7.25" style="1708" customWidth="1"/>
    <col min="9" max="9" width="7.25" customWidth="1"/>
    <col min="10" max="10" width="10.875" style="1709" customWidth="1"/>
    <col min="11" max="11" width="8.125" customWidth="1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</row>
    <row r="2" spans="1:11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</row>
    <row r="3" spans="1:11" ht="15.75">
      <c r="A3" s="4155" t="s">
        <v>1013</v>
      </c>
      <c r="B3" s="4155"/>
      <c r="C3" s="4155"/>
      <c r="D3" s="4155"/>
      <c r="E3" s="4155"/>
      <c r="F3" s="4155"/>
      <c r="G3" s="4155"/>
      <c r="H3" s="1705"/>
      <c r="I3" s="1706"/>
      <c r="J3" s="1707"/>
      <c r="K3" s="1706"/>
    </row>
    <row r="4" spans="1:11" ht="15.75">
      <c r="A4" s="4480" t="s">
        <v>541</v>
      </c>
      <c r="B4" s="4480"/>
      <c r="C4" s="4480"/>
      <c r="D4" s="4480"/>
      <c r="E4" s="4480"/>
      <c r="F4" s="4480"/>
      <c r="G4" s="4480"/>
    </row>
    <row r="5" spans="1:11" ht="21.75">
      <c r="G5" s="1711" t="s">
        <v>1014</v>
      </c>
    </row>
    <row r="6" spans="1:11">
      <c r="A6" s="1712"/>
      <c r="B6" s="4954" t="s">
        <v>1259</v>
      </c>
      <c r="C6" s="4954"/>
      <c r="D6" s="4954"/>
      <c r="E6" s="4954"/>
      <c r="F6" s="4954"/>
      <c r="G6" s="4954"/>
      <c r="H6" s="4954"/>
      <c r="I6" s="4954"/>
      <c r="J6" s="4954"/>
      <c r="K6" s="4954"/>
    </row>
    <row r="7" spans="1:11">
      <c r="A7" s="1712"/>
      <c r="B7" s="1713" t="s">
        <v>1015</v>
      </c>
      <c r="C7" s="1713"/>
      <c r="D7" s="2673"/>
      <c r="E7" s="2673"/>
      <c r="G7" s="1712"/>
      <c r="H7" s="1715"/>
      <c r="I7" s="1712"/>
      <c r="J7" s="1716"/>
      <c r="K7" s="1712"/>
    </row>
    <row r="8" spans="1:11">
      <c r="A8" s="1712"/>
      <c r="B8" s="1713" t="s">
        <v>1261</v>
      </c>
      <c r="C8" s="1713"/>
      <c r="D8" s="2673"/>
      <c r="E8" s="1712"/>
      <c r="G8" s="1712"/>
      <c r="H8" s="1717" t="s">
        <v>1262</v>
      </c>
      <c r="I8" s="2673"/>
      <c r="J8" s="1716"/>
      <c r="K8" s="1712"/>
    </row>
    <row r="9" spans="1:11">
      <c r="A9" s="1712"/>
      <c r="B9" s="1713" t="s">
        <v>1032</v>
      </c>
      <c r="C9" s="1713"/>
      <c r="D9" s="2673"/>
      <c r="E9" s="1712"/>
      <c r="G9" s="1712"/>
      <c r="H9" s="1717" t="s">
        <v>1017</v>
      </c>
      <c r="I9" s="2673"/>
      <c r="J9" s="1716"/>
      <c r="K9" s="1712"/>
    </row>
    <row r="10" spans="1:11">
      <c r="A10" s="1712"/>
      <c r="B10" s="1295" t="s">
        <v>1018</v>
      </c>
      <c r="D10" s="1712"/>
      <c r="E10" s="1712"/>
      <c r="G10" s="1712"/>
      <c r="H10" s="1715"/>
      <c r="I10" s="1712"/>
      <c r="J10" s="1716"/>
      <c r="K10" s="1712"/>
    </row>
    <row r="11" spans="1:11">
      <c r="A11" s="1712" t="s">
        <v>1019</v>
      </c>
      <c r="D11" s="1712"/>
      <c r="E11" s="1712"/>
      <c r="G11" s="1712"/>
      <c r="H11" s="1715"/>
      <c r="I11" s="1712"/>
      <c r="J11" s="1716"/>
      <c r="K11" s="1712"/>
    </row>
    <row r="12" spans="1:11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20" t="s">
        <v>1024</v>
      </c>
      <c r="K12" s="1721" t="s">
        <v>9</v>
      </c>
    </row>
    <row r="13" spans="1:11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 t="s">
        <v>1026</v>
      </c>
      <c r="K13" s="1724"/>
    </row>
    <row r="14" spans="1:11" ht="12" customHeight="1">
      <c r="A14" s="1725">
        <v>1</v>
      </c>
      <c r="B14" s="1738" t="str">
        <f>'Chấm công công nhân'!L65</f>
        <v>Nàng Phết</v>
      </c>
      <c r="C14" s="1720" t="s">
        <v>1260</v>
      </c>
      <c r="D14" s="4729" t="s">
        <v>1264</v>
      </c>
      <c r="E14" s="1722" t="s">
        <v>1027</v>
      </c>
      <c r="F14" s="1722"/>
      <c r="G14" s="1723">
        <f t="shared" ref="G14:G30" si="0">25000/200000</f>
        <v>0.125</v>
      </c>
      <c r="H14" s="70">
        <f>F14/G14</f>
        <v>0</v>
      </c>
      <c r="I14" s="1727">
        <v>25000</v>
      </c>
      <c r="J14" s="1727">
        <f t="shared" ref="J14:J30" si="1">I14*H14</f>
        <v>0</v>
      </c>
      <c r="K14" s="1724"/>
    </row>
    <row r="15" spans="1:11" ht="12" customHeight="1">
      <c r="A15" s="1725">
        <v>2</v>
      </c>
      <c r="B15" s="1738" t="str">
        <f>'Chấm công công nhân'!L66</f>
        <v>Thảo On</v>
      </c>
      <c r="C15" s="1720" t="s">
        <v>1260</v>
      </c>
      <c r="D15" s="4961"/>
      <c r="E15" s="1722" t="s">
        <v>1027</v>
      </c>
      <c r="F15" s="1722"/>
      <c r="G15" s="1723">
        <f t="shared" si="0"/>
        <v>0.125</v>
      </c>
      <c r="H15" s="70">
        <f t="shared" ref="H15:H30" si="2">F15/G15</f>
        <v>0</v>
      </c>
      <c r="I15" s="1727">
        <v>25000</v>
      </c>
      <c r="J15" s="1727">
        <f t="shared" si="1"/>
        <v>0</v>
      </c>
      <c r="K15" s="1724"/>
    </row>
    <row r="16" spans="1:11" ht="12" customHeight="1">
      <c r="A16" s="1725">
        <v>3</v>
      </c>
      <c r="B16" s="1738" t="str">
        <f>'Chấm công công nhân'!L67</f>
        <v>Thảo Sum</v>
      </c>
      <c r="C16" s="1720" t="s">
        <v>1260</v>
      </c>
      <c r="D16" s="4961"/>
      <c r="E16" s="1722" t="s">
        <v>1027</v>
      </c>
      <c r="F16" s="1722"/>
      <c r="G16" s="1723">
        <f t="shared" si="0"/>
        <v>0.125</v>
      </c>
      <c r="H16" s="70">
        <f t="shared" si="2"/>
        <v>0</v>
      </c>
      <c r="I16" s="1727">
        <v>25000</v>
      </c>
      <c r="J16" s="1727">
        <f t="shared" si="1"/>
        <v>0</v>
      </c>
      <c r="K16" s="1724"/>
    </row>
    <row r="17" spans="1:11" ht="12" customHeight="1">
      <c r="A17" s="1725">
        <v>4</v>
      </c>
      <c r="B17" s="1738" t="str">
        <f>'Chấm công công nhân'!L68</f>
        <v>Cha La</v>
      </c>
      <c r="C17" s="1720" t="s">
        <v>1260</v>
      </c>
      <c r="D17" s="4961"/>
      <c r="E17" s="1722" t="s">
        <v>1027</v>
      </c>
      <c r="F17" s="1722"/>
      <c r="G17" s="1723">
        <f t="shared" si="0"/>
        <v>0.125</v>
      </c>
      <c r="H17" s="70">
        <f t="shared" si="2"/>
        <v>0</v>
      </c>
      <c r="I17" s="1727">
        <v>25000</v>
      </c>
      <c r="J17" s="1727">
        <f t="shared" si="1"/>
        <v>0</v>
      </c>
      <c r="K17" s="1724"/>
    </row>
    <row r="18" spans="1:11" ht="12" customHeight="1">
      <c r="A18" s="1725">
        <v>5</v>
      </c>
      <c r="B18" s="1738" t="str">
        <f>'Chấm công công nhân'!L69</f>
        <v>Nàng Binh</v>
      </c>
      <c r="C18" s="1720" t="s">
        <v>1260</v>
      </c>
      <c r="D18" s="4961"/>
      <c r="E18" s="1722" t="s">
        <v>1027</v>
      </c>
      <c r="F18" s="1722"/>
      <c r="G18" s="1723">
        <f t="shared" si="0"/>
        <v>0.125</v>
      </c>
      <c r="H18" s="70">
        <f t="shared" si="2"/>
        <v>0</v>
      </c>
      <c r="I18" s="1727">
        <v>25000</v>
      </c>
      <c r="J18" s="1727">
        <f t="shared" si="1"/>
        <v>0</v>
      </c>
      <c r="K18" s="1724"/>
    </row>
    <row r="19" spans="1:11" ht="12" customHeight="1">
      <c r="A19" s="1725">
        <v>6</v>
      </c>
      <c r="B19" s="1738">
        <f>'Chấm công công nhân'!L70</f>
        <v>0</v>
      </c>
      <c r="C19" s="1720" t="s">
        <v>1260</v>
      </c>
      <c r="D19" s="4961"/>
      <c r="E19" s="1722" t="s">
        <v>1027</v>
      </c>
      <c r="F19" s="1722"/>
      <c r="G19" s="1723">
        <f t="shared" si="0"/>
        <v>0.125</v>
      </c>
      <c r="H19" s="70">
        <f t="shared" si="2"/>
        <v>0</v>
      </c>
      <c r="I19" s="1727">
        <v>25000</v>
      </c>
      <c r="J19" s="1727">
        <f t="shared" si="1"/>
        <v>0</v>
      </c>
      <c r="K19" s="1724"/>
    </row>
    <row r="20" spans="1:11" ht="12" customHeight="1">
      <c r="A20" s="1725">
        <v>7</v>
      </c>
      <c r="B20" s="1738" t="str">
        <f>'Chấm công công nhân'!L71</f>
        <v>Thảo Bun</v>
      </c>
      <c r="C20" s="1720" t="s">
        <v>1260</v>
      </c>
      <c r="D20" s="4961"/>
      <c r="E20" s="1722" t="s">
        <v>1027</v>
      </c>
      <c r="F20" s="1722"/>
      <c r="G20" s="1723">
        <f t="shared" si="0"/>
        <v>0.125</v>
      </c>
      <c r="H20" s="70">
        <f t="shared" si="2"/>
        <v>0</v>
      </c>
      <c r="I20" s="1727">
        <v>25000</v>
      </c>
      <c r="J20" s="1727">
        <f t="shared" si="1"/>
        <v>0</v>
      </c>
      <c r="K20" s="1724"/>
    </row>
    <row r="21" spans="1:11" ht="12" customHeight="1">
      <c r="A21" s="1725">
        <v>8</v>
      </c>
      <c r="B21" s="1738" t="str">
        <f>'Chấm công công nhân'!L72</f>
        <v>Thảo Nga</v>
      </c>
      <c r="C21" s="1720" t="s">
        <v>1260</v>
      </c>
      <c r="D21" s="4961"/>
      <c r="E21" s="1722" t="s">
        <v>1027</v>
      </c>
      <c r="F21" s="1722"/>
      <c r="G21" s="1723">
        <f t="shared" si="0"/>
        <v>0.125</v>
      </c>
      <c r="H21" s="70">
        <f t="shared" si="2"/>
        <v>0</v>
      </c>
      <c r="I21" s="1727">
        <v>25000</v>
      </c>
      <c r="J21" s="1727">
        <f t="shared" si="1"/>
        <v>0</v>
      </c>
      <c r="K21" s="1724"/>
    </row>
    <row r="22" spans="1:11" ht="12" customHeight="1">
      <c r="A22" s="1725">
        <v>9</v>
      </c>
      <c r="B22" s="1738" t="str">
        <f>'Chấm công công nhân'!L73</f>
        <v>Thảo Tia</v>
      </c>
      <c r="C22" s="1720" t="s">
        <v>1260</v>
      </c>
      <c r="D22" s="4961"/>
      <c r="E22" s="1722" t="s">
        <v>1027</v>
      </c>
      <c r="F22" s="1722"/>
      <c r="G22" s="1723">
        <f t="shared" si="0"/>
        <v>0.125</v>
      </c>
      <c r="H22" s="70">
        <f t="shared" si="2"/>
        <v>0</v>
      </c>
      <c r="I22" s="1727">
        <v>25000</v>
      </c>
      <c r="J22" s="1727">
        <f t="shared" si="1"/>
        <v>0</v>
      </c>
      <c r="K22" s="1724"/>
    </row>
    <row r="23" spans="1:11" ht="12" customHeight="1">
      <c r="A23" s="1725">
        <v>10</v>
      </c>
      <c r="B23" s="1738" t="str">
        <f>'Chấm công công nhân'!L74</f>
        <v>Thảo Nuy</v>
      </c>
      <c r="C23" s="1720" t="s">
        <v>1260</v>
      </c>
      <c r="D23" s="4961"/>
      <c r="E23" s="1722" t="s">
        <v>1027</v>
      </c>
      <c r="F23" s="1722"/>
      <c r="G23" s="1723">
        <f t="shared" si="0"/>
        <v>0.125</v>
      </c>
      <c r="H23" s="70">
        <f t="shared" si="2"/>
        <v>0</v>
      </c>
      <c r="I23" s="1727">
        <v>25000</v>
      </c>
      <c r="J23" s="1727">
        <f t="shared" si="1"/>
        <v>0</v>
      </c>
      <c r="K23" s="1724"/>
    </row>
    <row r="24" spans="1:11" ht="12" customHeight="1">
      <c r="A24" s="1725">
        <v>11</v>
      </c>
      <c r="B24" s="1738" t="str">
        <f>'Chấm công công nhân'!L75</f>
        <v>Thảo Xay</v>
      </c>
      <c r="C24" s="1720" t="s">
        <v>1260</v>
      </c>
      <c r="D24" s="4961"/>
      <c r="E24" s="1722" t="s">
        <v>1027</v>
      </c>
      <c r="F24" s="1722"/>
      <c r="G24" s="1723">
        <f t="shared" si="0"/>
        <v>0.125</v>
      </c>
      <c r="H24" s="70">
        <f t="shared" si="2"/>
        <v>0</v>
      </c>
      <c r="I24" s="1727">
        <v>25000</v>
      </c>
      <c r="J24" s="1727">
        <f t="shared" si="1"/>
        <v>0</v>
      </c>
      <c r="K24" s="1724"/>
    </row>
    <row r="25" spans="1:11" ht="12" customHeight="1">
      <c r="A25" s="1725">
        <v>12</v>
      </c>
      <c r="B25" s="1738" t="str">
        <f>'Chấm công công nhân'!L76</f>
        <v>Nàng Nọi</v>
      </c>
      <c r="C25" s="1720" t="s">
        <v>1260</v>
      </c>
      <c r="D25" s="4961"/>
      <c r="E25" s="1722" t="s">
        <v>1027</v>
      </c>
      <c r="F25" s="1722"/>
      <c r="G25" s="1723">
        <f t="shared" si="0"/>
        <v>0.125</v>
      </c>
      <c r="H25" s="70">
        <f t="shared" si="2"/>
        <v>0</v>
      </c>
      <c r="I25" s="1727">
        <v>25000</v>
      </c>
      <c r="J25" s="1727">
        <f t="shared" si="1"/>
        <v>0</v>
      </c>
      <c r="K25" s="1724"/>
    </row>
    <row r="26" spans="1:11" ht="12" customHeight="1">
      <c r="A26" s="1725">
        <v>13</v>
      </c>
      <c r="B26" s="1738" t="str">
        <f>'Chấm công công nhân'!L77</f>
        <v>Thảo Khon</v>
      </c>
      <c r="C26" s="1720" t="s">
        <v>1260</v>
      </c>
      <c r="D26" s="4961"/>
      <c r="E26" s="1722" t="s">
        <v>1027</v>
      </c>
      <c r="F26" s="1722"/>
      <c r="G26" s="1723">
        <f t="shared" si="0"/>
        <v>0.125</v>
      </c>
      <c r="H26" s="70">
        <f t="shared" si="2"/>
        <v>0</v>
      </c>
      <c r="I26" s="1727">
        <v>25000</v>
      </c>
      <c r="J26" s="1727">
        <f t="shared" si="1"/>
        <v>0</v>
      </c>
      <c r="K26" s="1724"/>
    </row>
    <row r="27" spans="1:11" ht="12" customHeight="1">
      <c r="A27" s="1725">
        <v>14</v>
      </c>
      <c r="B27" s="1738" t="str">
        <f>'Chấm công công nhân'!L78</f>
        <v>Thảo Tưng</v>
      </c>
      <c r="C27" s="1720" t="s">
        <v>1260</v>
      </c>
      <c r="D27" s="4961"/>
      <c r="E27" s="1722" t="s">
        <v>1027</v>
      </c>
      <c r="F27" s="1722"/>
      <c r="G27" s="1723">
        <f t="shared" si="0"/>
        <v>0.125</v>
      </c>
      <c r="H27" s="70">
        <f t="shared" si="2"/>
        <v>0</v>
      </c>
      <c r="I27" s="1727">
        <v>25000</v>
      </c>
      <c r="J27" s="1727">
        <f t="shared" si="1"/>
        <v>0</v>
      </c>
      <c r="K27" s="1724"/>
    </row>
    <row r="28" spans="1:11" ht="12" customHeight="1">
      <c r="A28" s="1725">
        <v>15</v>
      </c>
      <c r="B28" s="1738" t="str">
        <f>'Chấm công công nhân'!L79</f>
        <v>Thảo Bắt</v>
      </c>
      <c r="C28" s="1720" t="s">
        <v>1260</v>
      </c>
      <c r="D28" s="4961"/>
      <c r="E28" s="1722" t="s">
        <v>1027</v>
      </c>
      <c r="F28" s="1722"/>
      <c r="G28" s="1723">
        <f t="shared" si="0"/>
        <v>0.125</v>
      </c>
      <c r="H28" s="70">
        <f t="shared" si="2"/>
        <v>0</v>
      </c>
      <c r="I28" s="1727">
        <v>25000</v>
      </c>
      <c r="J28" s="1727">
        <f t="shared" si="1"/>
        <v>0</v>
      </c>
      <c r="K28" s="1724"/>
    </row>
    <row r="29" spans="1:11" ht="12" customHeight="1">
      <c r="A29" s="1725">
        <v>16</v>
      </c>
      <c r="B29" s="1738" t="str">
        <f>'Chấm công công nhân'!L80</f>
        <v>Thảo Lay</v>
      </c>
      <c r="C29" s="1720" t="s">
        <v>1307</v>
      </c>
      <c r="D29" s="4961"/>
      <c r="E29" s="1722" t="s">
        <v>1027</v>
      </c>
      <c r="F29" s="1722"/>
      <c r="G29" s="1723">
        <f t="shared" si="0"/>
        <v>0.125</v>
      </c>
      <c r="H29" s="70"/>
      <c r="I29" s="1727"/>
      <c r="J29" s="1727"/>
      <c r="K29" s="1724"/>
    </row>
    <row r="30" spans="1:11" ht="12" customHeight="1">
      <c r="A30" s="1725">
        <v>17</v>
      </c>
      <c r="B30" s="2676" t="s">
        <v>1140</v>
      </c>
      <c r="C30" s="1720" t="s">
        <v>1307</v>
      </c>
      <c r="D30" s="4962"/>
      <c r="E30" s="1722" t="s">
        <v>1027</v>
      </c>
      <c r="F30" s="1722"/>
      <c r="G30" s="1723">
        <f t="shared" si="0"/>
        <v>0.125</v>
      </c>
      <c r="H30" s="70">
        <f t="shared" si="2"/>
        <v>0</v>
      </c>
      <c r="I30" s="1727">
        <v>25000</v>
      </c>
      <c r="J30" s="1727">
        <f t="shared" si="1"/>
        <v>0</v>
      </c>
      <c r="K30" s="1724"/>
    </row>
    <row r="31" spans="1:11">
      <c r="A31" s="4955"/>
      <c r="B31" s="4955"/>
      <c r="C31" s="4955"/>
      <c r="D31" s="4955"/>
      <c r="E31" s="1724"/>
      <c r="F31" s="2672">
        <f>SUM(F14:F28)</f>
        <v>0</v>
      </c>
      <c r="G31" s="2672"/>
      <c r="H31" s="2288">
        <f>SUM(H14:H28)</f>
        <v>0</v>
      </c>
      <c r="I31" s="2672"/>
      <c r="J31" s="1730">
        <f>SUM(J14:J28)</f>
        <v>0</v>
      </c>
      <c r="K31" s="2672"/>
    </row>
    <row r="32" spans="1:11" ht="15.75">
      <c r="A32" s="1731" t="s">
        <v>1028</v>
      </c>
      <c r="B32" s="1732"/>
    </row>
    <row r="33" spans="1:9" ht="15.75">
      <c r="A33" s="1733" t="s">
        <v>1029</v>
      </c>
      <c r="B33" s="1734"/>
    </row>
    <row r="34" spans="1:9" ht="15.75">
      <c r="A34" s="1733" t="s">
        <v>1030</v>
      </c>
      <c r="B34" s="1734"/>
    </row>
    <row r="35" spans="1:9" ht="15.75">
      <c r="B35" s="3950" t="s">
        <v>162</v>
      </c>
      <c r="C35" s="3950"/>
      <c r="D35" s="1735"/>
      <c r="E35" s="1735"/>
      <c r="F35" s="1736" t="s">
        <v>1031</v>
      </c>
      <c r="I35" s="1736"/>
    </row>
    <row r="39" spans="1:9">
      <c r="B39" s="4952"/>
      <c r="C39" s="4952"/>
    </row>
  </sheetData>
  <mergeCells count="9">
    <mergeCell ref="A31:D31"/>
    <mergeCell ref="B35:C35"/>
    <mergeCell ref="B39:C39"/>
    <mergeCell ref="D14:D30"/>
    <mergeCell ref="A1:K1"/>
    <mergeCell ref="A2:K2"/>
    <mergeCell ref="A3:G3"/>
    <mergeCell ref="A4:G4"/>
    <mergeCell ref="B6:K6"/>
  </mergeCells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19" workbookViewId="0">
      <selection activeCell="E39" sqref="E39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875" customWidth="1"/>
    <col min="8" max="8" width="5.375" style="1708" customWidth="1"/>
    <col min="9" max="9" width="7.375" customWidth="1"/>
    <col min="10" max="10" width="5" hidden="1" customWidth="1"/>
    <col min="11" max="11" width="10.625" style="170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773" t="s">
        <v>1013</v>
      </c>
      <c r="B3" s="4773"/>
      <c r="C3" s="4773"/>
      <c r="D3" s="4773"/>
      <c r="E3" s="4773"/>
      <c r="F3" s="4773"/>
      <c r="G3" s="4773"/>
      <c r="H3" s="1705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1711" t="s">
        <v>1014</v>
      </c>
    </row>
    <row r="6" spans="1:12">
      <c r="A6" s="1712"/>
      <c r="B6" s="4954" t="s">
        <v>1311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2459"/>
      <c r="E7" s="2459"/>
      <c r="G7" s="1712"/>
      <c r="H7" s="1715"/>
      <c r="I7" s="1712"/>
      <c r="J7" s="1712"/>
      <c r="K7" s="1716"/>
      <c r="L7" s="1712"/>
    </row>
    <row r="8" spans="1:12">
      <c r="A8" s="1712"/>
      <c r="B8" s="1713" t="s">
        <v>1258</v>
      </c>
      <c r="C8" s="1713"/>
      <c r="D8" s="2459"/>
      <c r="E8" s="1712"/>
      <c r="G8" s="1712"/>
      <c r="H8" s="1717" t="s">
        <v>1016</v>
      </c>
      <c r="I8" s="2459"/>
      <c r="J8" s="2459"/>
      <c r="K8" s="1716"/>
      <c r="L8" s="1712"/>
    </row>
    <row r="9" spans="1:12">
      <c r="A9" s="1712"/>
      <c r="B9" s="1713" t="s">
        <v>1032</v>
      </c>
      <c r="C9" s="1713"/>
      <c r="D9" s="2459"/>
      <c r="E9" s="1712"/>
      <c r="G9" s="1712"/>
      <c r="H9" s="1717" t="s">
        <v>1017</v>
      </c>
      <c r="I9" s="2459"/>
      <c r="J9" s="2459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171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171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18" t="s">
        <v>1023</v>
      </c>
      <c r="K12" s="1720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1026</v>
      </c>
      <c r="L13" s="1724"/>
    </row>
    <row r="14" spans="1:12" ht="12" customHeight="1">
      <c r="A14" s="1725">
        <v>1</v>
      </c>
      <c r="B14" s="1726">
        <f>'Chấm công công nhân'!L12</f>
        <v>0</v>
      </c>
      <c r="C14" s="1720" t="s">
        <v>1310</v>
      </c>
      <c r="D14" s="4729" t="s">
        <v>1043</v>
      </c>
      <c r="E14" s="1722" t="s">
        <v>1027</v>
      </c>
      <c r="F14" s="1814"/>
      <c r="G14" s="1814">
        <f>25000/150000</f>
        <v>0.16666666666666666</v>
      </c>
      <c r="H14" s="1723">
        <f>F14/G14</f>
        <v>0</v>
      </c>
      <c r="I14" s="1727">
        <v>25000</v>
      </c>
      <c r="J14" s="1722"/>
      <c r="K14" s="1727">
        <f>I14*H14</f>
        <v>0</v>
      </c>
      <c r="L14" s="1724"/>
    </row>
    <row r="15" spans="1:12" ht="12" customHeight="1">
      <c r="A15" s="1725">
        <v>2</v>
      </c>
      <c r="B15" s="1726" t="str">
        <f>'Chấm công công nhân'!L13</f>
        <v>Vắt Đi</v>
      </c>
      <c r="C15" s="1720" t="s">
        <v>1310</v>
      </c>
      <c r="D15" s="4961"/>
      <c r="E15" s="1722" t="s">
        <v>1027</v>
      </c>
      <c r="F15" s="1814"/>
      <c r="G15" s="1814">
        <f t="shared" ref="G15:G50" si="0">25000/150000</f>
        <v>0.16666666666666666</v>
      </c>
      <c r="H15" s="1723">
        <f t="shared" ref="H15:H50" si="1">F15/G15</f>
        <v>0</v>
      </c>
      <c r="I15" s="1727">
        <v>25000</v>
      </c>
      <c r="J15" s="1725"/>
      <c r="K15" s="1727">
        <f t="shared" ref="K15:K50" si="2">I15*H15</f>
        <v>0</v>
      </c>
      <c r="L15" s="1724"/>
    </row>
    <row r="16" spans="1:12" ht="12" customHeight="1">
      <c r="A16" s="1725">
        <v>3</v>
      </c>
      <c r="B16" s="1726" t="str">
        <f>'Chấm công công nhân'!L14</f>
        <v>Mẹ Leo</v>
      </c>
      <c r="C16" s="1720" t="s">
        <v>1310</v>
      </c>
      <c r="D16" s="4961"/>
      <c r="E16" s="1722" t="s">
        <v>1027</v>
      </c>
      <c r="F16" s="1814"/>
      <c r="G16" s="1814">
        <f t="shared" si="0"/>
        <v>0.16666666666666666</v>
      </c>
      <c r="H16" s="1723">
        <f t="shared" si="1"/>
        <v>0</v>
      </c>
      <c r="I16" s="1727">
        <v>25000</v>
      </c>
      <c r="J16" s="1725"/>
      <c r="K16" s="1727">
        <f t="shared" si="2"/>
        <v>0</v>
      </c>
      <c r="L16" s="1724"/>
    </row>
    <row r="17" spans="1:12" ht="12" customHeight="1">
      <c r="A17" s="1725">
        <v>4</v>
      </c>
      <c r="B17" s="1726" t="str">
        <f>'Chấm công công nhân'!L15</f>
        <v xml:space="preserve">Thảo Ken </v>
      </c>
      <c r="C17" s="1720" t="s">
        <v>1310</v>
      </c>
      <c r="D17" s="4961"/>
      <c r="E17" s="1722" t="s">
        <v>1027</v>
      </c>
      <c r="F17" s="1814"/>
      <c r="G17" s="1814">
        <f t="shared" si="0"/>
        <v>0.16666666666666666</v>
      </c>
      <c r="H17" s="1723">
        <f t="shared" si="1"/>
        <v>0</v>
      </c>
      <c r="I17" s="1727">
        <v>25000</v>
      </c>
      <c r="J17" s="1725"/>
      <c r="K17" s="1727">
        <f t="shared" si="2"/>
        <v>0</v>
      </c>
      <c r="L17" s="1724"/>
    </row>
    <row r="18" spans="1:12" ht="12" customHeight="1">
      <c r="A18" s="1725">
        <v>5</v>
      </c>
      <c r="B18" s="1726" t="str">
        <f>'Chấm công công nhân'!L16</f>
        <v>Thảo Phút</v>
      </c>
      <c r="C18" s="1720" t="s">
        <v>1310</v>
      </c>
      <c r="D18" s="4961"/>
      <c r="E18" s="1722" t="s">
        <v>1027</v>
      </c>
      <c r="F18" s="1814"/>
      <c r="G18" s="1814">
        <f t="shared" si="0"/>
        <v>0.16666666666666666</v>
      </c>
      <c r="H18" s="1723">
        <f t="shared" si="1"/>
        <v>0</v>
      </c>
      <c r="I18" s="1727">
        <v>25000</v>
      </c>
      <c r="J18" s="1722"/>
      <c r="K18" s="1727">
        <f t="shared" si="2"/>
        <v>0</v>
      </c>
      <c r="L18" s="1724"/>
    </row>
    <row r="19" spans="1:12" ht="12" customHeight="1">
      <c r="A19" s="1725">
        <v>6</v>
      </c>
      <c r="B19" s="1726" t="str">
        <f>'Chấm công công nhân'!L17</f>
        <v>Thảo Mằn</v>
      </c>
      <c r="C19" s="1720" t="s">
        <v>1310</v>
      </c>
      <c r="D19" s="4961"/>
      <c r="E19" s="1722" t="s">
        <v>1027</v>
      </c>
      <c r="F19" s="1814"/>
      <c r="G19" s="1814">
        <f t="shared" si="0"/>
        <v>0.16666666666666666</v>
      </c>
      <c r="H19" s="1723">
        <f t="shared" si="1"/>
        <v>0</v>
      </c>
      <c r="I19" s="1727">
        <v>25000</v>
      </c>
      <c r="J19" s="1722"/>
      <c r="K19" s="1727">
        <f t="shared" si="2"/>
        <v>0</v>
      </c>
      <c r="L19" s="1724"/>
    </row>
    <row r="20" spans="1:12" ht="12" customHeight="1">
      <c r="A20" s="1725">
        <v>7</v>
      </c>
      <c r="B20" s="1726" t="str">
        <f>'Chấm công công nhân'!L18</f>
        <v>Nàng Chay</v>
      </c>
      <c r="C20" s="1720" t="s">
        <v>1310</v>
      </c>
      <c r="D20" s="4961"/>
      <c r="E20" s="1722" t="s">
        <v>1027</v>
      </c>
      <c r="F20" s="1814"/>
      <c r="G20" s="1814">
        <f t="shared" si="0"/>
        <v>0.16666666666666666</v>
      </c>
      <c r="H20" s="1723">
        <f t="shared" si="1"/>
        <v>0</v>
      </c>
      <c r="I20" s="1727">
        <v>25000</v>
      </c>
      <c r="J20" s="1725"/>
      <c r="K20" s="1727">
        <f t="shared" si="2"/>
        <v>0</v>
      </c>
      <c r="L20" s="1724"/>
    </row>
    <row r="21" spans="1:12" ht="12" customHeight="1">
      <c r="A21" s="1725">
        <v>8</v>
      </c>
      <c r="B21" s="1726" t="str">
        <f>'Chấm công công nhân'!L19</f>
        <v>Thảo Sắp</v>
      </c>
      <c r="C21" s="1720" t="s">
        <v>1310</v>
      </c>
      <c r="D21" s="4961"/>
      <c r="E21" s="1722" t="s">
        <v>1027</v>
      </c>
      <c r="F21" s="1814"/>
      <c r="G21" s="1814">
        <f t="shared" si="0"/>
        <v>0.16666666666666666</v>
      </c>
      <c r="H21" s="1723">
        <f t="shared" si="1"/>
        <v>0</v>
      </c>
      <c r="I21" s="1727">
        <v>25000</v>
      </c>
      <c r="J21" s="1725"/>
      <c r="K21" s="1727">
        <f t="shared" si="2"/>
        <v>0</v>
      </c>
      <c r="L21" s="1724"/>
    </row>
    <row r="22" spans="1:12" ht="12" customHeight="1">
      <c r="A22" s="1725">
        <v>9</v>
      </c>
      <c r="B22" s="1726" t="str">
        <f>'Chấm công công nhân'!L20</f>
        <v>Thảo Say</v>
      </c>
      <c r="C22" s="1720" t="s">
        <v>1310</v>
      </c>
      <c r="D22" s="4961"/>
      <c r="E22" s="1722" t="s">
        <v>1027</v>
      </c>
      <c r="F22" s="1814"/>
      <c r="G22" s="1814">
        <f t="shared" si="0"/>
        <v>0.16666666666666666</v>
      </c>
      <c r="H22" s="1723">
        <f t="shared" si="1"/>
        <v>0</v>
      </c>
      <c r="I22" s="1727">
        <v>25000</v>
      </c>
      <c r="J22" s="1725"/>
      <c r="K22" s="1727">
        <f t="shared" si="2"/>
        <v>0</v>
      </c>
      <c r="L22" s="1724"/>
    </row>
    <row r="23" spans="1:12" ht="12" customHeight="1">
      <c r="A23" s="1725">
        <v>10</v>
      </c>
      <c r="B23" s="1726" t="str">
        <f>'Chấm công công nhân'!L21</f>
        <v>Thảo Cợt</v>
      </c>
      <c r="C23" s="1720" t="s">
        <v>1310</v>
      </c>
      <c r="D23" s="4961"/>
      <c r="E23" s="1722" t="s">
        <v>1027</v>
      </c>
      <c r="F23" s="1814"/>
      <c r="G23" s="1814">
        <f t="shared" si="0"/>
        <v>0.16666666666666666</v>
      </c>
      <c r="H23" s="1723">
        <f t="shared" si="1"/>
        <v>0</v>
      </c>
      <c r="I23" s="1727">
        <v>25000</v>
      </c>
      <c r="J23" s="1722"/>
      <c r="K23" s="1727">
        <f t="shared" si="2"/>
        <v>0</v>
      </c>
      <c r="L23" s="1724"/>
    </row>
    <row r="24" spans="1:12" ht="12" customHeight="1">
      <c r="A24" s="1725">
        <v>11</v>
      </c>
      <c r="B24" s="1726" t="str">
        <f>'Chấm công công nhân'!L22</f>
        <v>Thảo Hôm</v>
      </c>
      <c r="C24" s="1720" t="s">
        <v>1310</v>
      </c>
      <c r="D24" s="4961"/>
      <c r="E24" s="1722" t="s">
        <v>1027</v>
      </c>
      <c r="F24" s="1814"/>
      <c r="G24" s="1814">
        <f t="shared" si="0"/>
        <v>0.16666666666666666</v>
      </c>
      <c r="H24" s="1723">
        <f t="shared" si="1"/>
        <v>0</v>
      </c>
      <c r="I24" s="1727">
        <v>25000</v>
      </c>
      <c r="J24" s="1722"/>
      <c r="K24" s="1727">
        <f t="shared" si="2"/>
        <v>0</v>
      </c>
      <c r="L24" s="1724"/>
    </row>
    <row r="25" spans="1:12" ht="12" customHeight="1">
      <c r="A25" s="1725">
        <v>12</v>
      </c>
      <c r="B25" s="1726" t="str">
        <f>'Chấm công công nhân'!L23</f>
        <v xml:space="preserve">Thảo Khăm  </v>
      </c>
      <c r="C25" s="1720" t="s">
        <v>1310</v>
      </c>
      <c r="D25" s="4961"/>
      <c r="E25" s="1722" t="s">
        <v>1027</v>
      </c>
      <c r="F25" s="1814"/>
      <c r="G25" s="1814">
        <f t="shared" si="0"/>
        <v>0.16666666666666666</v>
      </c>
      <c r="H25" s="1723">
        <f t="shared" si="1"/>
        <v>0</v>
      </c>
      <c r="I25" s="1727">
        <v>25000</v>
      </c>
      <c r="J25" s="1725"/>
      <c r="K25" s="1727">
        <f t="shared" si="2"/>
        <v>0</v>
      </c>
      <c r="L25" s="1724"/>
    </row>
    <row r="26" spans="1:12" ht="12" customHeight="1">
      <c r="A26" s="1725">
        <v>13</v>
      </c>
      <c r="B26" s="1726" t="str">
        <f>'Chấm công công nhân'!L24</f>
        <v>Thảo Hăm</v>
      </c>
      <c r="C26" s="1720" t="s">
        <v>1310</v>
      </c>
      <c r="D26" s="4961"/>
      <c r="E26" s="1722" t="s">
        <v>1027</v>
      </c>
      <c r="F26" s="1814"/>
      <c r="G26" s="1814">
        <f t="shared" si="0"/>
        <v>0.16666666666666666</v>
      </c>
      <c r="H26" s="1723">
        <f t="shared" si="1"/>
        <v>0</v>
      </c>
      <c r="I26" s="1727">
        <v>25000</v>
      </c>
      <c r="J26" s="1725"/>
      <c r="K26" s="1727">
        <f t="shared" si="2"/>
        <v>0</v>
      </c>
      <c r="L26" s="1724"/>
    </row>
    <row r="27" spans="1:12" ht="12" customHeight="1">
      <c r="A27" s="1725">
        <v>14</v>
      </c>
      <c r="B27" s="1726" t="str">
        <f>'Chấm công công nhân'!L25</f>
        <v>Nang Lon</v>
      </c>
      <c r="C27" s="1720" t="s">
        <v>1310</v>
      </c>
      <c r="D27" s="4961"/>
      <c r="E27" s="1722" t="s">
        <v>1027</v>
      </c>
      <c r="F27" s="1814"/>
      <c r="G27" s="1814">
        <f t="shared" si="0"/>
        <v>0.16666666666666666</v>
      </c>
      <c r="H27" s="1723">
        <f t="shared" si="1"/>
        <v>0</v>
      </c>
      <c r="I27" s="1727">
        <v>25000</v>
      </c>
      <c r="J27" s="1725"/>
      <c r="K27" s="1727">
        <f t="shared" si="2"/>
        <v>0</v>
      </c>
      <c r="L27" s="1724"/>
    </row>
    <row r="28" spans="1:12" ht="12" customHeight="1">
      <c r="A28" s="1725">
        <v>15</v>
      </c>
      <c r="B28" s="1726" t="str">
        <f>'Chấm công công nhân'!L26</f>
        <v>Thảo Pheng</v>
      </c>
      <c r="C28" s="1720" t="s">
        <v>1310</v>
      </c>
      <c r="D28" s="4961"/>
      <c r="E28" s="1722" t="s">
        <v>1027</v>
      </c>
      <c r="F28" s="1814"/>
      <c r="G28" s="1814">
        <f t="shared" si="0"/>
        <v>0.16666666666666666</v>
      </c>
      <c r="H28" s="1723">
        <f t="shared" si="1"/>
        <v>0</v>
      </c>
      <c r="I28" s="1727">
        <v>25000</v>
      </c>
      <c r="J28" s="1722"/>
      <c r="K28" s="1727">
        <f t="shared" si="2"/>
        <v>0</v>
      </c>
      <c r="L28" s="1724"/>
    </row>
    <row r="29" spans="1:12" ht="12" customHeight="1">
      <c r="A29" s="1725">
        <v>16</v>
      </c>
      <c r="B29" s="1726" t="str">
        <f>'Chấm công công nhân'!L27</f>
        <v>Thảo kok</v>
      </c>
      <c r="C29" s="1720" t="s">
        <v>1310</v>
      </c>
      <c r="D29" s="4961"/>
      <c r="E29" s="1722" t="s">
        <v>1027</v>
      </c>
      <c r="F29" s="2715"/>
      <c r="G29" s="1814">
        <f t="shared" si="0"/>
        <v>0.16666666666666666</v>
      </c>
      <c r="H29" s="1723">
        <f t="shared" si="1"/>
        <v>0</v>
      </c>
      <c r="I29" s="1727">
        <v>25000</v>
      </c>
      <c r="J29" s="1722"/>
      <c r="K29" s="1727">
        <f t="shared" si="2"/>
        <v>0</v>
      </c>
      <c r="L29" s="1724"/>
    </row>
    <row r="30" spans="1:12" ht="12" customHeight="1">
      <c r="A30" s="1725">
        <v>17</v>
      </c>
      <c r="B30" s="1726" t="str">
        <f>'Chấm công công nhân'!L28</f>
        <v>Nàng Sút Chay</v>
      </c>
      <c r="C30" s="1720" t="s">
        <v>1310</v>
      </c>
      <c r="D30" s="4961"/>
      <c r="E30" s="1722" t="s">
        <v>1027</v>
      </c>
      <c r="F30" s="1814"/>
      <c r="G30" s="1814">
        <f t="shared" si="0"/>
        <v>0.16666666666666666</v>
      </c>
      <c r="H30" s="1723">
        <f t="shared" si="1"/>
        <v>0</v>
      </c>
      <c r="I30" s="1727">
        <v>25000</v>
      </c>
      <c r="J30" s="1725"/>
      <c r="K30" s="1727">
        <f t="shared" si="2"/>
        <v>0</v>
      </c>
      <c r="L30" s="1724"/>
    </row>
    <row r="31" spans="1:12" ht="12" customHeight="1">
      <c r="A31" s="1725">
        <v>18</v>
      </c>
      <c r="B31" s="1726" t="str">
        <f>'Chấm công công nhân'!L29</f>
        <v>Thảo Khăm Phay</v>
      </c>
      <c r="C31" s="1720" t="s">
        <v>1310</v>
      </c>
      <c r="D31" s="4961"/>
      <c r="E31" s="1722" t="s">
        <v>1027</v>
      </c>
      <c r="F31" s="1814"/>
      <c r="G31" s="1814">
        <f t="shared" si="0"/>
        <v>0.16666666666666666</v>
      </c>
      <c r="H31" s="1723">
        <f t="shared" si="1"/>
        <v>0</v>
      </c>
      <c r="I31" s="1727">
        <v>25000</v>
      </c>
      <c r="J31" s="1725"/>
      <c r="K31" s="1727">
        <f t="shared" si="2"/>
        <v>0</v>
      </c>
      <c r="L31" s="1724"/>
    </row>
    <row r="32" spans="1:12" ht="12" customHeight="1">
      <c r="A32" s="1725">
        <v>19</v>
      </c>
      <c r="B32" s="1726" t="str">
        <f>'Chấm công công nhân'!L30</f>
        <v>Thảo Sớm</v>
      </c>
      <c r="C32" s="1720" t="s">
        <v>1310</v>
      </c>
      <c r="D32" s="4961"/>
      <c r="E32" s="1722" t="s">
        <v>1027</v>
      </c>
      <c r="F32" s="1814"/>
      <c r="G32" s="1814">
        <f t="shared" si="0"/>
        <v>0.16666666666666666</v>
      </c>
      <c r="H32" s="1723">
        <f t="shared" si="1"/>
        <v>0</v>
      </c>
      <c r="I32" s="1727">
        <v>25000</v>
      </c>
      <c r="J32" s="1725"/>
      <c r="K32" s="1727">
        <f t="shared" si="2"/>
        <v>0</v>
      </c>
      <c r="L32" s="1724"/>
    </row>
    <row r="33" spans="1:12" ht="12" customHeight="1">
      <c r="A33" s="1725">
        <v>20</v>
      </c>
      <c r="B33" s="1726" t="str">
        <f>'Chấm công công nhân'!L31</f>
        <v>Pha Xúc</v>
      </c>
      <c r="C33" s="1720" t="s">
        <v>1310</v>
      </c>
      <c r="D33" s="4961"/>
      <c r="E33" s="1722" t="s">
        <v>1027</v>
      </c>
      <c r="F33" s="1814"/>
      <c r="G33" s="1814">
        <f t="shared" si="0"/>
        <v>0.16666666666666666</v>
      </c>
      <c r="H33" s="1723">
        <f t="shared" si="1"/>
        <v>0</v>
      </c>
      <c r="I33" s="1727">
        <v>25000</v>
      </c>
      <c r="J33" s="1722"/>
      <c r="K33" s="1727">
        <f t="shared" si="2"/>
        <v>0</v>
      </c>
      <c r="L33" s="1724"/>
    </row>
    <row r="34" spans="1:12" ht="10.5" customHeight="1">
      <c r="A34" s="1725">
        <v>21</v>
      </c>
      <c r="B34" s="1726" t="str">
        <f>'Chấm công công nhân'!L32</f>
        <v>Nàng Phon</v>
      </c>
      <c r="C34" s="1720" t="s">
        <v>1310</v>
      </c>
      <c r="D34" s="4961"/>
      <c r="E34" s="1722" t="s">
        <v>1027</v>
      </c>
      <c r="F34" s="1814"/>
      <c r="G34" s="1814">
        <f t="shared" si="0"/>
        <v>0.16666666666666666</v>
      </c>
      <c r="H34" s="1723">
        <f t="shared" si="1"/>
        <v>0</v>
      </c>
      <c r="I34" s="1727">
        <v>25000</v>
      </c>
      <c r="J34" s="1722"/>
      <c r="K34" s="1727">
        <f t="shared" si="2"/>
        <v>0</v>
      </c>
      <c r="L34" s="1724"/>
    </row>
    <row r="35" spans="1:12" ht="10.5" customHeight="1">
      <c r="A35" s="1725">
        <v>22</v>
      </c>
      <c r="B35" s="1726" t="str">
        <f>'Chấm công công nhân'!L33</f>
        <v>Thảo Chăn</v>
      </c>
      <c r="C35" s="1720" t="s">
        <v>1310</v>
      </c>
      <c r="D35" s="4961"/>
      <c r="E35" s="1722" t="s">
        <v>1027</v>
      </c>
      <c r="F35" s="1814"/>
      <c r="G35" s="1814">
        <f t="shared" si="0"/>
        <v>0.16666666666666666</v>
      </c>
      <c r="H35" s="1723">
        <f t="shared" si="1"/>
        <v>0</v>
      </c>
      <c r="I35" s="1727">
        <v>25000</v>
      </c>
      <c r="J35" s="1725"/>
      <c r="K35" s="1727">
        <f t="shared" si="2"/>
        <v>0</v>
      </c>
      <c r="L35" s="1724"/>
    </row>
    <row r="36" spans="1:12" ht="10.5" customHeight="1">
      <c r="A36" s="1725">
        <v>23</v>
      </c>
      <c r="B36" s="1726" t="str">
        <f>'Chấm công công nhân'!L34</f>
        <v>Thong La</v>
      </c>
      <c r="C36" s="1720" t="s">
        <v>1310</v>
      </c>
      <c r="D36" s="4961"/>
      <c r="E36" s="1722" t="s">
        <v>1027</v>
      </c>
      <c r="F36" s="1814"/>
      <c r="G36" s="1814">
        <f t="shared" si="0"/>
        <v>0.16666666666666666</v>
      </c>
      <c r="H36" s="1723">
        <f t="shared" si="1"/>
        <v>0</v>
      </c>
      <c r="I36" s="1727">
        <v>25000</v>
      </c>
      <c r="J36" s="1725"/>
      <c r="K36" s="1727">
        <f t="shared" si="2"/>
        <v>0</v>
      </c>
      <c r="L36" s="1724"/>
    </row>
    <row r="37" spans="1:12" ht="10.5" customHeight="1">
      <c r="A37" s="1725">
        <v>24</v>
      </c>
      <c r="B37" s="1726" t="str">
        <f>'Chấm công công nhân'!L35</f>
        <v>Thảo Cum Pha</v>
      </c>
      <c r="C37" s="1720" t="s">
        <v>1310</v>
      </c>
      <c r="D37" s="4961"/>
      <c r="E37" s="1722" t="s">
        <v>1027</v>
      </c>
      <c r="F37" s="1814"/>
      <c r="G37" s="1814">
        <f t="shared" si="0"/>
        <v>0.16666666666666666</v>
      </c>
      <c r="H37" s="1723">
        <f t="shared" si="1"/>
        <v>0</v>
      </c>
      <c r="I37" s="1727">
        <v>25000</v>
      </c>
      <c r="J37" s="1725"/>
      <c r="K37" s="1727">
        <f t="shared" si="2"/>
        <v>0</v>
      </c>
      <c r="L37" s="1724"/>
    </row>
    <row r="38" spans="1:12" ht="10.5" customHeight="1">
      <c r="A38" s="1725">
        <v>25</v>
      </c>
      <c r="B38" s="1726" t="str">
        <f>'Chấm công công nhân'!L36</f>
        <v>T Ô Vên</v>
      </c>
      <c r="C38" s="1720" t="s">
        <v>1310</v>
      </c>
      <c r="D38" s="4961"/>
      <c r="E38" s="1722" t="s">
        <v>1027</v>
      </c>
      <c r="F38" s="1814"/>
      <c r="G38" s="1814">
        <f t="shared" si="0"/>
        <v>0.16666666666666666</v>
      </c>
      <c r="H38" s="1723">
        <f t="shared" si="1"/>
        <v>0</v>
      </c>
      <c r="I38" s="1727">
        <v>25000</v>
      </c>
      <c r="J38" s="1722"/>
      <c r="K38" s="1727">
        <f t="shared" si="2"/>
        <v>0</v>
      </c>
      <c r="L38" s="1724"/>
    </row>
    <row r="39" spans="1:12" ht="10.5" customHeight="1">
      <c r="A39" s="1725">
        <v>26</v>
      </c>
      <c r="B39" s="1726" t="str">
        <f>'Chấm công công nhân'!L37</f>
        <v>Nàng Lam</v>
      </c>
      <c r="C39" s="1720" t="s">
        <v>1310</v>
      </c>
      <c r="D39" s="4961"/>
      <c r="E39" s="1722" t="s">
        <v>1027</v>
      </c>
      <c r="F39" s="1814"/>
      <c r="G39" s="1814">
        <f t="shared" si="0"/>
        <v>0.16666666666666666</v>
      </c>
      <c r="H39" s="1723">
        <f t="shared" si="1"/>
        <v>0</v>
      </c>
      <c r="I39" s="1727">
        <v>25000</v>
      </c>
      <c r="J39" s="1722"/>
      <c r="K39" s="1727">
        <f t="shared" si="2"/>
        <v>0</v>
      </c>
      <c r="L39" s="1724"/>
    </row>
    <row r="40" spans="1:12" ht="10.5" customHeight="1">
      <c r="A40" s="1725">
        <v>27</v>
      </c>
      <c r="B40" s="1726" t="str">
        <f>'Chấm công công nhân'!L38</f>
        <v>Nàng Hđao</v>
      </c>
      <c r="C40" s="1720" t="s">
        <v>1310</v>
      </c>
      <c r="D40" s="4961"/>
      <c r="E40" s="1722" t="s">
        <v>1027</v>
      </c>
      <c r="F40" s="1814"/>
      <c r="G40" s="1814">
        <f t="shared" si="0"/>
        <v>0.16666666666666666</v>
      </c>
      <c r="H40" s="1723">
        <f t="shared" si="1"/>
        <v>0</v>
      </c>
      <c r="I40" s="1727">
        <v>25000</v>
      </c>
      <c r="J40" s="1725"/>
      <c r="K40" s="1727">
        <f t="shared" si="2"/>
        <v>0</v>
      </c>
      <c r="L40" s="1724"/>
    </row>
    <row r="41" spans="1:12" ht="10.5" customHeight="1">
      <c r="A41" s="1725">
        <v>28</v>
      </c>
      <c r="B41" s="1726" t="str">
        <f>'Chấm công công nhân'!L39</f>
        <v>Thảo Tong</v>
      </c>
      <c r="C41" s="1720" t="s">
        <v>1310</v>
      </c>
      <c r="D41" s="4961"/>
      <c r="E41" s="1722" t="s">
        <v>1027</v>
      </c>
      <c r="F41" s="1814"/>
      <c r="G41" s="1814">
        <f t="shared" si="0"/>
        <v>0.16666666666666666</v>
      </c>
      <c r="H41" s="1723">
        <f t="shared" si="1"/>
        <v>0</v>
      </c>
      <c r="I41" s="1727">
        <v>25000</v>
      </c>
      <c r="J41" s="1725"/>
      <c r="K41" s="1727">
        <f t="shared" si="2"/>
        <v>0</v>
      </c>
      <c r="L41" s="1724"/>
    </row>
    <row r="42" spans="1:12" ht="10.5" customHeight="1">
      <c r="A42" s="1725">
        <v>29</v>
      </c>
      <c r="B42" s="1726" t="str">
        <f>'Chấm công công nhân'!L40</f>
        <v>Thảo Khốc</v>
      </c>
      <c r="C42" s="1720" t="s">
        <v>1310</v>
      </c>
      <c r="D42" s="4961"/>
      <c r="E42" s="1722" t="s">
        <v>1027</v>
      </c>
      <c r="F42" s="1814"/>
      <c r="G42" s="1814">
        <f t="shared" si="0"/>
        <v>0.16666666666666666</v>
      </c>
      <c r="H42" s="1723">
        <f t="shared" si="1"/>
        <v>0</v>
      </c>
      <c r="I42" s="1727">
        <v>25000</v>
      </c>
      <c r="J42" s="1725"/>
      <c r="K42" s="1727">
        <f t="shared" si="2"/>
        <v>0</v>
      </c>
      <c r="L42" s="1724"/>
    </row>
    <row r="43" spans="1:12" ht="10.5" customHeight="1">
      <c r="A43" s="1725">
        <v>30</v>
      </c>
      <c r="B43" s="1726" t="str">
        <f>'Chấm công công nhân'!L41</f>
        <v>Thảo Sợt</v>
      </c>
      <c r="C43" s="1720" t="s">
        <v>1310</v>
      </c>
      <c r="D43" s="4961"/>
      <c r="E43" s="1722" t="s">
        <v>1027</v>
      </c>
      <c r="F43" s="1814"/>
      <c r="G43" s="1814">
        <f t="shared" si="0"/>
        <v>0.16666666666666666</v>
      </c>
      <c r="H43" s="1723">
        <f t="shared" si="1"/>
        <v>0</v>
      </c>
      <c r="I43" s="1727">
        <v>25000</v>
      </c>
      <c r="J43" s="1722"/>
      <c r="K43" s="1727">
        <f t="shared" si="2"/>
        <v>0</v>
      </c>
      <c r="L43" s="1724"/>
    </row>
    <row r="44" spans="1:12" ht="10.5" customHeight="1">
      <c r="A44" s="1725">
        <v>31</v>
      </c>
      <c r="B44" s="1726" t="str">
        <f>'Chấm công công nhân'!L42</f>
        <v>Thảo Văn</v>
      </c>
      <c r="C44" s="1720" t="s">
        <v>1310</v>
      </c>
      <c r="D44" s="4961"/>
      <c r="E44" s="1722" t="s">
        <v>1027</v>
      </c>
      <c r="F44" s="1814"/>
      <c r="G44" s="1814">
        <f t="shared" si="0"/>
        <v>0.16666666666666666</v>
      </c>
      <c r="H44" s="1723">
        <f t="shared" si="1"/>
        <v>0</v>
      </c>
      <c r="I44" s="1727">
        <v>25000</v>
      </c>
      <c r="J44" s="1722"/>
      <c r="K44" s="1727">
        <f t="shared" si="2"/>
        <v>0</v>
      </c>
      <c r="L44" s="1724"/>
    </row>
    <row r="45" spans="1:12" ht="10.5" customHeight="1">
      <c r="A45" s="1725">
        <v>32</v>
      </c>
      <c r="B45" s="1726" t="str">
        <f>'Chấm công công nhân'!L43</f>
        <v>Nàng Túc</v>
      </c>
      <c r="C45" s="1720" t="s">
        <v>1310</v>
      </c>
      <c r="D45" s="4961"/>
      <c r="E45" s="1722" t="s">
        <v>1027</v>
      </c>
      <c r="F45" s="1814"/>
      <c r="G45" s="1814">
        <f t="shared" si="0"/>
        <v>0.16666666666666666</v>
      </c>
      <c r="H45" s="1723">
        <f t="shared" si="1"/>
        <v>0</v>
      </c>
      <c r="I45" s="1727">
        <v>25000</v>
      </c>
      <c r="J45" s="1722"/>
      <c r="K45" s="1727">
        <f t="shared" si="2"/>
        <v>0</v>
      </c>
      <c r="L45" s="1724"/>
    </row>
    <row r="46" spans="1:12" ht="10.5" customHeight="1">
      <c r="A46" s="1725">
        <v>33</v>
      </c>
      <c r="B46" s="1726" t="str">
        <f>'Chấm công công nhân'!L44</f>
        <v>Nàng Chon</v>
      </c>
      <c r="C46" s="1720" t="s">
        <v>1310</v>
      </c>
      <c r="D46" s="4961"/>
      <c r="E46" s="1722" t="s">
        <v>1027</v>
      </c>
      <c r="F46" s="1814"/>
      <c r="G46" s="1814">
        <f t="shared" si="0"/>
        <v>0.16666666666666666</v>
      </c>
      <c r="H46" s="1723">
        <f t="shared" si="1"/>
        <v>0</v>
      </c>
      <c r="I46" s="1727">
        <v>25000</v>
      </c>
      <c r="J46" s="1722"/>
      <c r="K46" s="1727">
        <f t="shared" si="2"/>
        <v>0</v>
      </c>
      <c r="L46" s="1724"/>
    </row>
    <row r="47" spans="1:12" ht="10.5" customHeight="1">
      <c r="A47" s="1725">
        <v>34</v>
      </c>
      <c r="B47" s="1726" t="str">
        <f>'Chấm công công nhân'!L45</f>
        <v>Thảo Hơ Phơ</v>
      </c>
      <c r="C47" s="1720" t="s">
        <v>1310</v>
      </c>
      <c r="D47" s="4961"/>
      <c r="E47" s="1722" t="s">
        <v>1027</v>
      </c>
      <c r="F47" s="1814"/>
      <c r="G47" s="1814">
        <f t="shared" si="0"/>
        <v>0.16666666666666666</v>
      </c>
      <c r="H47" s="1723">
        <f t="shared" si="1"/>
        <v>0</v>
      </c>
      <c r="I47" s="1727">
        <v>25000</v>
      </c>
      <c r="J47" s="1722"/>
      <c r="K47" s="1727">
        <f t="shared" si="2"/>
        <v>0</v>
      </c>
      <c r="L47" s="1724"/>
    </row>
    <row r="48" spans="1:12" ht="10.5" customHeight="1">
      <c r="A48" s="1725">
        <v>35</v>
      </c>
      <c r="B48" s="1726" t="str">
        <f>'Chấm công công nhân'!L46</f>
        <v>Thảo Phét</v>
      </c>
      <c r="C48" s="1720" t="s">
        <v>1310</v>
      </c>
      <c r="D48" s="4961"/>
      <c r="E48" s="1722" t="s">
        <v>1027</v>
      </c>
      <c r="F48" s="1814"/>
      <c r="G48" s="1814">
        <f t="shared" si="0"/>
        <v>0.16666666666666666</v>
      </c>
      <c r="H48" s="1723">
        <f t="shared" si="1"/>
        <v>0</v>
      </c>
      <c r="I48" s="1727">
        <v>25000</v>
      </c>
      <c r="J48" s="1722"/>
      <c r="K48" s="1727">
        <f t="shared" si="2"/>
        <v>0</v>
      </c>
      <c r="L48" s="1724"/>
    </row>
    <row r="49" spans="1:12" ht="10.5" customHeight="1">
      <c r="A49" s="1725">
        <v>36</v>
      </c>
      <c r="B49" s="1726" t="str">
        <f>'Chấm công công nhân'!L47</f>
        <v>Hăn</v>
      </c>
      <c r="C49" s="1720" t="s">
        <v>1310</v>
      </c>
      <c r="D49" s="4961"/>
      <c r="E49" s="1722" t="s">
        <v>1027</v>
      </c>
      <c r="F49" s="1814"/>
      <c r="G49" s="1814">
        <f t="shared" si="0"/>
        <v>0.16666666666666666</v>
      </c>
      <c r="H49" s="1723">
        <f t="shared" si="1"/>
        <v>0</v>
      </c>
      <c r="I49" s="1727">
        <v>25000</v>
      </c>
      <c r="J49" s="1722"/>
      <c r="K49" s="1727">
        <f t="shared" si="2"/>
        <v>0</v>
      </c>
      <c r="L49" s="1724"/>
    </row>
    <row r="50" spans="1:12" ht="10.5" customHeight="1">
      <c r="A50" s="1725">
        <v>37</v>
      </c>
      <c r="B50" s="2166" t="s">
        <v>1140</v>
      </c>
      <c r="C50" s="1720"/>
      <c r="D50" s="2675"/>
      <c r="E50" s="1722"/>
      <c r="F50" s="1814"/>
      <c r="G50" s="1814">
        <f t="shared" si="0"/>
        <v>0.16666666666666666</v>
      </c>
      <c r="H50" s="1723">
        <f t="shared" si="1"/>
        <v>0</v>
      </c>
      <c r="I50" s="1727">
        <v>25000</v>
      </c>
      <c r="J50" s="1722"/>
      <c r="K50" s="1727">
        <f t="shared" si="2"/>
        <v>0</v>
      </c>
      <c r="L50" s="1724"/>
    </row>
    <row r="51" spans="1:12">
      <c r="A51" s="4955"/>
      <c r="B51" s="4955"/>
      <c r="C51" s="4955"/>
      <c r="D51" s="4955"/>
      <c r="E51" s="1724"/>
      <c r="F51" s="2458">
        <f>SUM(F14:F49)</f>
        <v>0</v>
      </c>
      <c r="G51" s="2458"/>
      <c r="H51" s="2288">
        <f>SUM(H14:H49)</f>
        <v>0</v>
      </c>
      <c r="I51" s="2458"/>
      <c r="J51" s="2458">
        <f>SUM(J14:J49)</f>
        <v>0</v>
      </c>
      <c r="K51" s="1730">
        <f>SUM(K14:K49)</f>
        <v>0</v>
      </c>
      <c r="L51" s="2458"/>
    </row>
    <row r="52" spans="1:12" ht="15.75">
      <c r="A52" s="1731" t="s">
        <v>1028</v>
      </c>
      <c r="B52" s="1732"/>
    </row>
    <row r="53" spans="1:12" ht="15.75">
      <c r="A53" s="1733" t="s">
        <v>1029</v>
      </c>
      <c r="B53" s="1734"/>
    </row>
    <row r="54" spans="1:12" ht="15.75">
      <c r="A54" s="1733" t="s">
        <v>1030</v>
      </c>
      <c r="B54" s="1734"/>
    </row>
    <row r="55" spans="1:12" ht="15.75">
      <c r="B55" s="3950" t="s">
        <v>162</v>
      </c>
      <c r="C55" s="3950"/>
      <c r="D55" s="1735"/>
      <c r="E55" s="1735"/>
      <c r="F55" s="1736" t="s">
        <v>1031</v>
      </c>
      <c r="I55" s="1736"/>
      <c r="J55" s="1736"/>
    </row>
    <row r="59" spans="1:12">
      <c r="B59" s="4952"/>
      <c r="C59" s="4952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49"/>
  </mergeCells>
  <pageMargins left="0.7" right="0.7" top="0.34" bottom="0.75" header="0.3" footer="0.3"/>
  <pageSetup paperSize="9" orientation="portrait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B29" sqref="B29"/>
    </sheetView>
  </sheetViews>
  <sheetFormatPr defaultRowHeight="14.25"/>
  <cols>
    <col min="1" max="1" width="5.125" customWidth="1"/>
    <col min="2" max="2" width="11.75" style="1710" customWidth="1"/>
    <col min="3" max="3" width="13.875" style="1710" customWidth="1"/>
    <col min="4" max="4" width="5.75" customWidth="1"/>
    <col min="5" max="5" width="4.25" customWidth="1"/>
    <col min="6" max="6" width="5.125" style="1706" customWidth="1"/>
    <col min="7" max="7" width="5.625" customWidth="1"/>
    <col min="8" max="8" width="5.875" style="1708" customWidth="1"/>
    <col min="9" max="9" width="7.75" customWidth="1"/>
    <col min="10" max="10" width="9.25" style="1709" customWidth="1"/>
    <col min="11" max="11" width="8.125" customWidth="1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</row>
    <row r="2" spans="1:11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</row>
    <row r="3" spans="1:11" ht="15.75">
      <c r="A3" s="4155" t="s">
        <v>1013</v>
      </c>
      <c r="B3" s="4155"/>
      <c r="C3" s="4155"/>
      <c r="D3" s="4155"/>
      <c r="E3" s="4155"/>
      <c r="F3" s="4155"/>
      <c r="G3" s="4155"/>
      <c r="H3" s="1705"/>
      <c r="I3" s="1706"/>
      <c r="J3" s="1707"/>
      <c r="K3" s="1706"/>
    </row>
    <row r="4" spans="1:11" ht="15.75">
      <c r="A4" s="4480" t="s">
        <v>541</v>
      </c>
      <c r="B4" s="4480"/>
      <c r="C4" s="4480"/>
      <c r="D4" s="4480"/>
      <c r="E4" s="4480"/>
      <c r="F4" s="4480"/>
      <c r="G4" s="4480"/>
    </row>
    <row r="5" spans="1:11" ht="21.75">
      <c r="G5" s="1711" t="s">
        <v>1014</v>
      </c>
    </row>
    <row r="6" spans="1:11">
      <c r="A6" s="1712"/>
      <c r="B6" s="4954" t="s">
        <v>1259</v>
      </c>
      <c r="C6" s="4954"/>
      <c r="D6" s="4954"/>
      <c r="E6" s="4954"/>
      <c r="F6" s="4954"/>
      <c r="G6" s="4954"/>
      <c r="H6" s="4954"/>
      <c r="I6" s="4954"/>
      <c r="J6" s="4954"/>
      <c r="K6" s="4954"/>
    </row>
    <row r="7" spans="1:11">
      <c r="A7" s="1712"/>
      <c r="B7" s="1713" t="s">
        <v>1015</v>
      </c>
      <c r="C7" s="1713"/>
      <c r="D7" s="2459"/>
      <c r="E7" s="2459"/>
      <c r="G7" s="1712"/>
      <c r="H7" s="1715"/>
      <c r="I7" s="1712"/>
      <c r="J7" s="1716"/>
      <c r="K7" s="1712"/>
    </row>
    <row r="8" spans="1:11">
      <c r="A8" s="1712"/>
      <c r="B8" s="1713" t="s">
        <v>1261</v>
      </c>
      <c r="C8" s="1713"/>
      <c r="D8" s="2459"/>
      <c r="E8" s="1712"/>
      <c r="G8" s="1712"/>
      <c r="H8" s="1717" t="s">
        <v>1262</v>
      </c>
      <c r="I8" s="2459"/>
      <c r="J8" s="1716"/>
      <c r="K8" s="1712"/>
    </row>
    <row r="9" spans="1:11">
      <c r="A9" s="1712"/>
      <c r="B9" s="1713" t="s">
        <v>1032</v>
      </c>
      <c r="C9" s="1713"/>
      <c r="D9" s="2459"/>
      <c r="E9" s="1712"/>
      <c r="G9" s="1712"/>
      <c r="H9" s="1717" t="s">
        <v>1017</v>
      </c>
      <c r="I9" s="2459"/>
      <c r="J9" s="1716"/>
      <c r="K9" s="1712"/>
    </row>
    <row r="10" spans="1:11">
      <c r="A10" s="1712"/>
      <c r="B10" s="1295" t="s">
        <v>1018</v>
      </c>
      <c r="D10" s="1712"/>
      <c r="E10" s="1712"/>
      <c r="G10" s="1712"/>
      <c r="H10" s="1715"/>
      <c r="I10" s="1712"/>
      <c r="J10" s="1716"/>
      <c r="K10" s="1712"/>
    </row>
    <row r="11" spans="1:11">
      <c r="A11" s="1712" t="s">
        <v>1019</v>
      </c>
      <c r="D11" s="1712"/>
      <c r="E11" s="1712"/>
      <c r="G11" s="1712"/>
      <c r="H11" s="1715"/>
      <c r="I11" s="1712"/>
      <c r="J11" s="1716"/>
      <c r="K11" s="1712"/>
    </row>
    <row r="12" spans="1:11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20" t="s">
        <v>1024</v>
      </c>
      <c r="K12" s="1721" t="s">
        <v>9</v>
      </c>
    </row>
    <row r="13" spans="1:11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 t="s">
        <v>1026</v>
      </c>
      <c r="K13" s="1724"/>
    </row>
    <row r="14" spans="1:11" ht="12" customHeight="1">
      <c r="A14" s="1725">
        <v>1</v>
      </c>
      <c r="B14" s="1738" t="str">
        <f>'Chấm công công nhân'!L49</f>
        <v>Thảo Đa Văn</v>
      </c>
      <c r="C14" s="2465" t="s">
        <v>1260</v>
      </c>
      <c r="D14" s="4956" t="s">
        <v>1043</v>
      </c>
      <c r="E14" s="2466" t="s">
        <v>1027</v>
      </c>
      <c r="F14" s="2466"/>
      <c r="G14" s="2507">
        <f t="shared" ref="G14:G29" si="0">25000/150000</f>
        <v>0.16666666666666666</v>
      </c>
      <c r="H14" s="2469">
        <f>F14/G14</f>
        <v>0</v>
      </c>
      <c r="I14" s="2470">
        <v>25000</v>
      </c>
      <c r="J14" s="1727">
        <f t="shared" ref="J14:J29" si="1">I14*H14</f>
        <v>0</v>
      </c>
      <c r="K14" s="1724"/>
    </row>
    <row r="15" spans="1:11" ht="12" customHeight="1">
      <c r="A15" s="1725">
        <v>2</v>
      </c>
      <c r="B15" s="1738">
        <f>'Chấm công công nhân'!L50</f>
        <v>0</v>
      </c>
      <c r="C15" s="2465" t="s">
        <v>1260</v>
      </c>
      <c r="D15" s="4957"/>
      <c r="E15" s="2466" t="s">
        <v>1027</v>
      </c>
      <c r="F15" s="2466"/>
      <c r="G15" s="2507">
        <f t="shared" si="0"/>
        <v>0.16666666666666666</v>
      </c>
      <c r="H15" s="2469">
        <f t="shared" ref="H15:H29" si="2">F15/G15</f>
        <v>0</v>
      </c>
      <c r="I15" s="2470">
        <v>25000</v>
      </c>
      <c r="J15" s="1727">
        <f t="shared" si="1"/>
        <v>0</v>
      </c>
      <c r="K15" s="1724"/>
    </row>
    <row r="16" spans="1:11" ht="12" customHeight="1">
      <c r="A16" s="1725">
        <v>3</v>
      </c>
      <c r="B16" s="1738" t="str">
        <f>'Chấm công công nhân'!L51</f>
        <v>Thảo Xa Đết</v>
      </c>
      <c r="C16" s="2465" t="s">
        <v>1260</v>
      </c>
      <c r="D16" s="4957"/>
      <c r="E16" s="2466" t="s">
        <v>1027</v>
      </c>
      <c r="F16" s="2466"/>
      <c r="G16" s="2507">
        <f t="shared" si="0"/>
        <v>0.16666666666666666</v>
      </c>
      <c r="H16" s="2469">
        <f t="shared" si="2"/>
        <v>0</v>
      </c>
      <c r="I16" s="2470">
        <v>25000</v>
      </c>
      <c r="J16" s="1727">
        <f t="shared" si="1"/>
        <v>0</v>
      </c>
      <c r="K16" s="1724"/>
    </row>
    <row r="17" spans="1:11" ht="12" customHeight="1">
      <c r="A17" s="1725">
        <v>4</v>
      </c>
      <c r="B17" s="1738" t="str">
        <f>'Chấm công công nhân'!L52</f>
        <v>Thảo Sột</v>
      </c>
      <c r="C17" s="2465" t="s">
        <v>1260</v>
      </c>
      <c r="D17" s="4957"/>
      <c r="E17" s="2466" t="s">
        <v>1027</v>
      </c>
      <c r="F17" s="2466"/>
      <c r="G17" s="2507">
        <f t="shared" si="0"/>
        <v>0.16666666666666666</v>
      </c>
      <c r="H17" s="2469">
        <f t="shared" si="2"/>
        <v>0</v>
      </c>
      <c r="I17" s="2470">
        <v>25000</v>
      </c>
      <c r="J17" s="1727">
        <f t="shared" si="1"/>
        <v>0</v>
      </c>
      <c r="K17" s="1724"/>
    </row>
    <row r="18" spans="1:11" ht="12" customHeight="1">
      <c r="A18" s="1725">
        <v>5</v>
      </c>
      <c r="B18" s="1738" t="str">
        <f>'Chấm công công nhân'!L53</f>
        <v>Stoong</v>
      </c>
      <c r="C18" s="2465" t="s">
        <v>1260</v>
      </c>
      <c r="D18" s="4957"/>
      <c r="E18" s="2466" t="s">
        <v>1027</v>
      </c>
      <c r="F18" s="2466"/>
      <c r="G18" s="2507">
        <f t="shared" si="0"/>
        <v>0.16666666666666666</v>
      </c>
      <c r="H18" s="2469">
        <f t="shared" si="2"/>
        <v>0</v>
      </c>
      <c r="I18" s="2470">
        <v>25000</v>
      </c>
      <c r="J18" s="1727">
        <f t="shared" si="1"/>
        <v>0</v>
      </c>
      <c r="K18" s="1724"/>
    </row>
    <row r="19" spans="1:11" ht="12" customHeight="1">
      <c r="A19" s="1725">
        <v>6</v>
      </c>
      <c r="B19" s="1738" t="str">
        <f>'Chấm công công nhân'!L54</f>
        <v>Nàng Phắt</v>
      </c>
      <c r="C19" s="2465" t="s">
        <v>1260</v>
      </c>
      <c r="D19" s="4957"/>
      <c r="E19" s="2466" t="s">
        <v>1027</v>
      </c>
      <c r="F19" s="2466"/>
      <c r="G19" s="2507">
        <f t="shared" si="0"/>
        <v>0.16666666666666666</v>
      </c>
      <c r="H19" s="2469">
        <f t="shared" si="2"/>
        <v>0</v>
      </c>
      <c r="I19" s="2470">
        <v>25000</v>
      </c>
      <c r="J19" s="1727">
        <f t="shared" si="1"/>
        <v>0</v>
      </c>
      <c r="K19" s="1724"/>
    </row>
    <row r="20" spans="1:11" ht="12" customHeight="1">
      <c r="A20" s="1725">
        <v>7</v>
      </c>
      <c r="B20" s="1737" t="str">
        <f>'Chấm công công nhân'!L55</f>
        <v>Nàng May</v>
      </c>
      <c r="C20" s="2465" t="s">
        <v>1260</v>
      </c>
      <c r="D20" s="4957"/>
      <c r="E20" s="2466" t="s">
        <v>1027</v>
      </c>
      <c r="F20" s="2466"/>
      <c r="G20" s="2507">
        <f t="shared" si="0"/>
        <v>0.16666666666666666</v>
      </c>
      <c r="H20" s="2469">
        <f t="shared" si="2"/>
        <v>0</v>
      </c>
      <c r="I20" s="2470">
        <v>25000</v>
      </c>
      <c r="J20" s="1727">
        <f t="shared" si="1"/>
        <v>0</v>
      </c>
      <c r="K20" s="1724"/>
    </row>
    <row r="21" spans="1:11" ht="12" customHeight="1">
      <c r="A21" s="1725">
        <v>8</v>
      </c>
      <c r="B21" s="1738" t="str">
        <f>'Chấm công công nhân'!L56</f>
        <v>Thảo Bênh</v>
      </c>
      <c r="C21" s="2465" t="s">
        <v>1260</v>
      </c>
      <c r="D21" s="4957"/>
      <c r="E21" s="2466" t="s">
        <v>1027</v>
      </c>
      <c r="F21" s="2466"/>
      <c r="G21" s="2507">
        <f t="shared" si="0"/>
        <v>0.16666666666666666</v>
      </c>
      <c r="H21" s="2469">
        <f t="shared" si="2"/>
        <v>0</v>
      </c>
      <c r="I21" s="2470">
        <v>25000</v>
      </c>
      <c r="J21" s="1727">
        <f t="shared" si="1"/>
        <v>0</v>
      </c>
      <c r="K21" s="1724"/>
    </row>
    <row r="22" spans="1:11" ht="12" customHeight="1">
      <c r="A22" s="1725">
        <v>9</v>
      </c>
      <c r="B22" s="1738" t="str">
        <f>'Chấm công công nhân'!L57</f>
        <v>Thảo Đinh</v>
      </c>
      <c r="C22" s="2465" t="s">
        <v>1260</v>
      </c>
      <c r="D22" s="4957"/>
      <c r="E22" s="2466" t="s">
        <v>1027</v>
      </c>
      <c r="F22" s="2466"/>
      <c r="G22" s="2507">
        <f t="shared" si="0"/>
        <v>0.16666666666666666</v>
      </c>
      <c r="H22" s="2469">
        <f t="shared" si="2"/>
        <v>0</v>
      </c>
      <c r="I22" s="2470">
        <v>25000</v>
      </c>
      <c r="J22" s="1727">
        <f t="shared" si="1"/>
        <v>0</v>
      </c>
      <c r="K22" s="1724"/>
    </row>
    <row r="23" spans="1:11" ht="12" customHeight="1">
      <c r="A23" s="1725">
        <v>10</v>
      </c>
      <c r="B23" s="1738" t="str">
        <f>'Chấm công công nhân'!L58</f>
        <v>Thảo Vi</v>
      </c>
      <c r="C23" s="2465" t="s">
        <v>1260</v>
      </c>
      <c r="D23" s="4957"/>
      <c r="E23" s="2466" t="s">
        <v>1027</v>
      </c>
      <c r="F23" s="2466"/>
      <c r="G23" s="2507">
        <f t="shared" si="0"/>
        <v>0.16666666666666666</v>
      </c>
      <c r="H23" s="2469">
        <f t="shared" si="2"/>
        <v>0</v>
      </c>
      <c r="I23" s="2470">
        <v>25000</v>
      </c>
      <c r="J23" s="1727">
        <f t="shared" si="1"/>
        <v>0</v>
      </c>
      <c r="K23" s="1724"/>
    </row>
    <row r="24" spans="1:11" ht="12" customHeight="1">
      <c r="A24" s="1725">
        <v>11</v>
      </c>
      <c r="B24" s="1738" t="str">
        <f>'Chấm công công nhân'!L59</f>
        <v>Thảo Văn</v>
      </c>
      <c r="C24" s="2465" t="s">
        <v>1260</v>
      </c>
      <c r="D24" s="4957"/>
      <c r="E24" s="2466" t="s">
        <v>1027</v>
      </c>
      <c r="F24" s="2466"/>
      <c r="G24" s="2507">
        <f t="shared" si="0"/>
        <v>0.16666666666666666</v>
      </c>
      <c r="H24" s="2469">
        <f t="shared" si="2"/>
        <v>0</v>
      </c>
      <c r="I24" s="2470">
        <v>25000</v>
      </c>
      <c r="J24" s="1727">
        <f t="shared" si="1"/>
        <v>0</v>
      </c>
      <c r="K24" s="1724"/>
    </row>
    <row r="25" spans="1:11" ht="12" customHeight="1">
      <c r="A25" s="1725">
        <v>12</v>
      </c>
      <c r="B25" s="1738" t="str">
        <f>'Chấm công công nhân'!L60</f>
        <v>Nàng Phìn</v>
      </c>
      <c r="C25" s="2465" t="s">
        <v>1260</v>
      </c>
      <c r="D25" s="4957"/>
      <c r="E25" s="2466" t="s">
        <v>1027</v>
      </c>
      <c r="F25" s="2466"/>
      <c r="G25" s="2507">
        <f t="shared" si="0"/>
        <v>0.16666666666666666</v>
      </c>
      <c r="H25" s="2469">
        <f t="shared" si="2"/>
        <v>0</v>
      </c>
      <c r="I25" s="2470">
        <v>25000</v>
      </c>
      <c r="J25" s="1727">
        <f t="shared" si="1"/>
        <v>0</v>
      </c>
      <c r="K25" s="1724"/>
    </row>
    <row r="26" spans="1:11" ht="12" customHeight="1">
      <c r="A26" s="1725">
        <v>13</v>
      </c>
      <c r="B26" s="1738" t="str">
        <f>'Chấm công công nhân'!L61</f>
        <v>Mẹ Sột</v>
      </c>
      <c r="C26" s="2465" t="s">
        <v>1260</v>
      </c>
      <c r="D26" s="4957"/>
      <c r="E26" s="2466" t="s">
        <v>1027</v>
      </c>
      <c r="F26" s="2466"/>
      <c r="G26" s="2507">
        <f t="shared" si="0"/>
        <v>0.16666666666666666</v>
      </c>
      <c r="H26" s="2469">
        <f t="shared" si="2"/>
        <v>0</v>
      </c>
      <c r="I26" s="2470">
        <v>25000</v>
      </c>
      <c r="J26" s="1727">
        <f t="shared" si="1"/>
        <v>0</v>
      </c>
      <c r="K26" s="1724"/>
    </row>
    <row r="27" spans="1:11" ht="12" customHeight="1">
      <c r="A27" s="1725">
        <v>14</v>
      </c>
      <c r="B27" s="1738" t="str">
        <f>'Chấm công công nhân'!L62</f>
        <v>Nàng Heo</v>
      </c>
      <c r="C27" s="2465" t="s">
        <v>1260</v>
      </c>
      <c r="D27" s="4957"/>
      <c r="E27" s="2466" t="s">
        <v>1027</v>
      </c>
      <c r="F27" s="2466"/>
      <c r="G27" s="2507">
        <f t="shared" si="0"/>
        <v>0.16666666666666666</v>
      </c>
      <c r="H27" s="2469">
        <f t="shared" si="2"/>
        <v>0</v>
      </c>
      <c r="I27" s="2470">
        <v>25000</v>
      </c>
      <c r="J27" s="1727">
        <f t="shared" si="1"/>
        <v>0</v>
      </c>
      <c r="K27" s="1724"/>
    </row>
    <row r="28" spans="1:11" ht="12" customHeight="1">
      <c r="A28" s="1725">
        <v>15</v>
      </c>
      <c r="B28" s="1738" t="str">
        <f>'Chấm công công nhân'!L63</f>
        <v>Thảo Chăn Ti</v>
      </c>
      <c r="C28" s="2465" t="s">
        <v>1260</v>
      </c>
      <c r="D28" s="4957"/>
      <c r="E28" s="2466" t="s">
        <v>1027</v>
      </c>
      <c r="F28" s="2466"/>
      <c r="G28" s="2505">
        <f t="shared" si="0"/>
        <v>0.16666666666666666</v>
      </c>
      <c r="H28" s="2508">
        <f t="shared" si="2"/>
        <v>0</v>
      </c>
      <c r="I28" s="2509">
        <v>25000</v>
      </c>
      <c r="J28" s="2506">
        <f t="shared" si="1"/>
        <v>0</v>
      </c>
      <c r="K28" s="1724"/>
    </row>
    <row r="29" spans="1:11" ht="12" customHeight="1">
      <c r="A29" s="1725">
        <v>16</v>
      </c>
      <c r="B29" s="2166" t="s">
        <v>1140</v>
      </c>
      <c r="C29" s="2465"/>
      <c r="D29" s="2674"/>
      <c r="E29" s="2466" t="s">
        <v>1027</v>
      </c>
      <c r="F29" s="2466"/>
      <c r="G29" s="2505">
        <f t="shared" si="0"/>
        <v>0.16666666666666666</v>
      </c>
      <c r="H29" s="2508">
        <f t="shared" si="2"/>
        <v>0</v>
      </c>
      <c r="I29" s="2509">
        <v>25000</v>
      </c>
      <c r="J29" s="2506">
        <f t="shared" si="1"/>
        <v>0</v>
      </c>
      <c r="K29" s="1724"/>
    </row>
    <row r="30" spans="1:11">
      <c r="A30" s="4955"/>
      <c r="B30" s="4955"/>
      <c r="C30" s="4955"/>
      <c r="D30" s="4955"/>
      <c r="E30" s="1724"/>
      <c r="F30" s="2458">
        <f>SUM(F14:F28)</f>
        <v>0</v>
      </c>
      <c r="G30" s="2458"/>
      <c r="H30" s="2288">
        <f>SUM(H14:H28)</f>
        <v>0</v>
      </c>
      <c r="I30" s="2458"/>
      <c r="J30" s="1730">
        <f>SUM(J14:J28)</f>
        <v>0</v>
      </c>
      <c r="K30" s="2458"/>
    </row>
    <row r="31" spans="1:11" ht="15.75">
      <c r="A31" s="1731" t="s">
        <v>1028</v>
      </c>
      <c r="B31" s="1732"/>
      <c r="H31" s="2284"/>
    </row>
    <row r="32" spans="1:11" ht="15.75">
      <c r="A32" s="1733" t="s">
        <v>1029</v>
      </c>
      <c r="B32" s="1734"/>
    </row>
    <row r="33" spans="1:9" ht="15.75">
      <c r="A33" s="1733" t="s">
        <v>1030</v>
      </c>
      <c r="B33" s="1734"/>
    </row>
    <row r="34" spans="1:9" ht="15.75">
      <c r="B34" s="3950" t="s">
        <v>162</v>
      </c>
      <c r="C34" s="3950"/>
      <c r="D34" s="1735"/>
      <c r="E34" s="1735"/>
      <c r="F34" s="1736" t="s">
        <v>1031</v>
      </c>
      <c r="I34" s="1736"/>
    </row>
    <row r="38" spans="1:9">
      <c r="B38" s="4952"/>
      <c r="C38" s="4952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F22" sqref="F22"/>
    </sheetView>
  </sheetViews>
  <sheetFormatPr defaultRowHeight="14.25"/>
  <cols>
    <col min="1" max="1" width="5.125" customWidth="1"/>
    <col min="2" max="2" width="11.75" style="1710" customWidth="1"/>
    <col min="3" max="3" width="13.875" style="1710" customWidth="1"/>
    <col min="4" max="4" width="5.75" customWidth="1"/>
    <col min="5" max="5" width="4.25" customWidth="1"/>
    <col min="6" max="6" width="5.125" style="1706" customWidth="1"/>
    <col min="7" max="7" width="5.625" customWidth="1"/>
    <col min="8" max="8" width="5.875" style="1708" customWidth="1"/>
    <col min="9" max="9" width="7.75" customWidth="1"/>
    <col min="10" max="10" width="9.25" style="1709" customWidth="1"/>
    <col min="11" max="11" width="8.125" customWidth="1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</row>
    <row r="2" spans="1:11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</row>
    <row r="3" spans="1:11" ht="15.75">
      <c r="A3" s="4773" t="s">
        <v>1013</v>
      </c>
      <c r="B3" s="4773"/>
      <c r="C3" s="4773"/>
      <c r="D3" s="4773"/>
      <c r="E3" s="4773"/>
      <c r="F3" s="4773"/>
      <c r="G3" s="4773"/>
      <c r="H3" s="1705"/>
      <c r="I3" s="1706"/>
      <c r="J3" s="1707"/>
      <c r="K3" s="1706"/>
    </row>
    <row r="4" spans="1:11" ht="15.75">
      <c r="A4" s="4480" t="s">
        <v>541</v>
      </c>
      <c r="B4" s="4480"/>
      <c r="C4" s="4480"/>
      <c r="D4" s="4480"/>
      <c r="E4" s="4480"/>
      <c r="F4" s="4480"/>
      <c r="G4" s="4480"/>
    </row>
    <row r="5" spans="1:11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</row>
    <row r="6" spans="1:11">
      <c r="A6" s="1712"/>
      <c r="B6" s="4954" t="s">
        <v>1311</v>
      </c>
      <c r="C6" s="4954"/>
      <c r="D6" s="4954"/>
      <c r="E6" s="4954"/>
      <c r="F6" s="4954"/>
      <c r="G6" s="4954"/>
      <c r="H6" s="4954"/>
      <c r="I6" s="4954"/>
      <c r="J6" s="4954"/>
      <c r="K6" s="4954"/>
    </row>
    <row r="7" spans="1:11">
      <c r="A7" s="1712"/>
      <c r="B7" s="1713" t="s">
        <v>1015</v>
      </c>
      <c r="C7" s="1713"/>
      <c r="D7" s="2713"/>
      <c r="E7" s="2713"/>
      <c r="G7" s="1712"/>
      <c r="H7" s="1715"/>
      <c r="I7" s="1712"/>
      <c r="J7" s="1716"/>
      <c r="K7" s="1712"/>
    </row>
    <row r="8" spans="1:11">
      <c r="A8" s="1712"/>
      <c r="B8" s="1713" t="s">
        <v>1263</v>
      </c>
      <c r="C8" s="1713"/>
      <c r="D8" s="2713"/>
      <c r="E8" s="1712"/>
      <c r="G8" s="1712"/>
      <c r="H8" s="1717" t="s">
        <v>1318</v>
      </c>
      <c r="I8" s="2713"/>
      <c r="J8" s="1716"/>
      <c r="K8" s="1712"/>
    </row>
    <row r="9" spans="1:11">
      <c r="A9" s="1712"/>
      <c r="B9" s="1713" t="s">
        <v>1032</v>
      </c>
      <c r="C9" s="1713"/>
      <c r="D9" s="2713"/>
      <c r="E9" s="1712"/>
      <c r="G9" s="1712"/>
      <c r="H9" s="1717" t="s">
        <v>1017</v>
      </c>
      <c r="I9" s="2713"/>
      <c r="J9" s="1716"/>
      <c r="K9" s="1712"/>
    </row>
    <row r="10" spans="1:11">
      <c r="A10" s="1712"/>
      <c r="B10" s="1295" t="s">
        <v>1018</v>
      </c>
      <c r="D10" s="1712"/>
      <c r="E10" s="1712"/>
      <c r="G10" s="1712"/>
      <c r="H10" s="1715"/>
      <c r="I10" s="1712"/>
      <c r="J10" s="1716"/>
      <c r="K10" s="1712"/>
    </row>
    <row r="11" spans="1:11">
      <c r="A11" s="1712" t="s">
        <v>1019</v>
      </c>
      <c r="D11" s="1712"/>
      <c r="E11" s="1712"/>
      <c r="G11" s="1712"/>
      <c r="H11" s="1715"/>
      <c r="I11" s="1712"/>
      <c r="J11" s="1716"/>
      <c r="K11" s="1712"/>
    </row>
    <row r="12" spans="1:11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20" t="s">
        <v>1024</v>
      </c>
      <c r="K12" s="1721" t="s">
        <v>9</v>
      </c>
    </row>
    <row r="13" spans="1:11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 t="s">
        <v>1026</v>
      </c>
      <c r="K13" s="1724"/>
    </row>
    <row r="14" spans="1:11" ht="12" customHeight="1">
      <c r="A14" s="1725">
        <v>1</v>
      </c>
      <c r="B14" s="1738" t="str">
        <f>'Chấm công công nhân'!L65</f>
        <v>Nàng Phết</v>
      </c>
      <c r="C14" s="2465" t="s">
        <v>1310</v>
      </c>
      <c r="D14" s="4956" t="s">
        <v>1043</v>
      </c>
      <c r="E14" s="2466" t="s">
        <v>1027</v>
      </c>
      <c r="F14" s="2466"/>
      <c r="G14" s="2507">
        <f t="shared" ref="G14:G30" si="0">25000/150000</f>
        <v>0.16666666666666666</v>
      </c>
      <c r="H14" s="2469">
        <f>F14/G14</f>
        <v>0</v>
      </c>
      <c r="I14" s="2470">
        <v>25000</v>
      </c>
      <c r="J14" s="1727">
        <f t="shared" ref="J14:J29" si="1">I14*H14</f>
        <v>0</v>
      </c>
      <c r="K14" s="1724"/>
    </row>
    <row r="15" spans="1:11" ht="12" customHeight="1">
      <c r="A15" s="1725">
        <v>2</v>
      </c>
      <c r="B15" s="1738" t="str">
        <f>'Chấm công công nhân'!L66</f>
        <v>Thảo On</v>
      </c>
      <c r="C15" s="2465" t="s">
        <v>1310</v>
      </c>
      <c r="D15" s="4957"/>
      <c r="E15" s="2466" t="s">
        <v>1027</v>
      </c>
      <c r="F15" s="2466"/>
      <c r="G15" s="2507">
        <f t="shared" si="0"/>
        <v>0.16666666666666666</v>
      </c>
      <c r="H15" s="2469">
        <f t="shared" ref="H15:H30" si="2">F15/G15</f>
        <v>0</v>
      </c>
      <c r="I15" s="2470">
        <v>25000</v>
      </c>
      <c r="J15" s="1727">
        <f t="shared" si="1"/>
        <v>0</v>
      </c>
      <c r="K15" s="1724"/>
    </row>
    <row r="16" spans="1:11" ht="12" customHeight="1">
      <c r="A16" s="1725">
        <v>3</v>
      </c>
      <c r="B16" s="1738" t="str">
        <f>'Chấm công công nhân'!L67</f>
        <v>Thảo Sum</v>
      </c>
      <c r="C16" s="2465" t="s">
        <v>1310</v>
      </c>
      <c r="D16" s="4957"/>
      <c r="E16" s="2466" t="s">
        <v>1027</v>
      </c>
      <c r="F16" s="2466"/>
      <c r="G16" s="2507">
        <f t="shared" si="0"/>
        <v>0.16666666666666666</v>
      </c>
      <c r="H16" s="2469">
        <f t="shared" si="2"/>
        <v>0</v>
      </c>
      <c r="I16" s="2470">
        <v>25000</v>
      </c>
      <c r="J16" s="1727">
        <f t="shared" si="1"/>
        <v>0</v>
      </c>
      <c r="K16" s="1724"/>
    </row>
    <row r="17" spans="1:11" ht="12" customHeight="1">
      <c r="A17" s="1725">
        <v>4</v>
      </c>
      <c r="B17" s="1738" t="str">
        <f>'Chấm công công nhân'!L68</f>
        <v>Cha La</v>
      </c>
      <c r="C17" s="2465" t="s">
        <v>1310</v>
      </c>
      <c r="D17" s="4957"/>
      <c r="E17" s="2466" t="s">
        <v>1027</v>
      </c>
      <c r="F17" s="2466"/>
      <c r="G17" s="2507">
        <f t="shared" si="0"/>
        <v>0.16666666666666666</v>
      </c>
      <c r="H17" s="2469">
        <f t="shared" si="2"/>
        <v>0</v>
      </c>
      <c r="I17" s="2470">
        <v>25000</v>
      </c>
      <c r="J17" s="1727">
        <f t="shared" si="1"/>
        <v>0</v>
      </c>
      <c r="K17" s="1724"/>
    </row>
    <row r="18" spans="1:11" ht="12" customHeight="1">
      <c r="A18" s="1725">
        <v>5</v>
      </c>
      <c r="B18" s="1738" t="str">
        <f>'Chấm công công nhân'!L69</f>
        <v>Nàng Binh</v>
      </c>
      <c r="C18" s="2465" t="s">
        <v>1310</v>
      </c>
      <c r="D18" s="4957"/>
      <c r="E18" s="2466" t="s">
        <v>1027</v>
      </c>
      <c r="F18" s="2466"/>
      <c r="G18" s="2507">
        <f t="shared" si="0"/>
        <v>0.16666666666666666</v>
      </c>
      <c r="H18" s="2469">
        <f t="shared" si="2"/>
        <v>0</v>
      </c>
      <c r="I18" s="2470">
        <v>25000</v>
      </c>
      <c r="J18" s="1727">
        <f t="shared" si="1"/>
        <v>0</v>
      </c>
      <c r="K18" s="1724"/>
    </row>
    <row r="19" spans="1:11" ht="12" customHeight="1">
      <c r="A19" s="1725">
        <v>6</v>
      </c>
      <c r="B19" s="1738">
        <f>'Chấm công công nhân'!L70</f>
        <v>0</v>
      </c>
      <c r="C19" s="2465" t="s">
        <v>1310</v>
      </c>
      <c r="D19" s="4957"/>
      <c r="E19" s="2466" t="s">
        <v>1027</v>
      </c>
      <c r="F19" s="2466"/>
      <c r="G19" s="2507">
        <f t="shared" si="0"/>
        <v>0.16666666666666666</v>
      </c>
      <c r="H19" s="2469">
        <f t="shared" si="2"/>
        <v>0</v>
      </c>
      <c r="I19" s="2470">
        <v>25000</v>
      </c>
      <c r="J19" s="1727">
        <f t="shared" si="1"/>
        <v>0</v>
      </c>
      <c r="K19" s="1724"/>
    </row>
    <row r="20" spans="1:11" ht="12" customHeight="1">
      <c r="A20" s="1725">
        <v>7</v>
      </c>
      <c r="B20" s="1737" t="str">
        <f>'Chấm công công nhân'!L71</f>
        <v>Thảo Bun</v>
      </c>
      <c r="C20" s="2465" t="s">
        <v>1310</v>
      </c>
      <c r="D20" s="4957"/>
      <c r="E20" s="2466" t="s">
        <v>1027</v>
      </c>
      <c r="F20" s="2466"/>
      <c r="G20" s="2507">
        <f t="shared" si="0"/>
        <v>0.16666666666666666</v>
      </c>
      <c r="H20" s="2469">
        <f t="shared" si="2"/>
        <v>0</v>
      </c>
      <c r="I20" s="2470">
        <v>25000</v>
      </c>
      <c r="J20" s="1727">
        <f t="shared" si="1"/>
        <v>0</v>
      </c>
      <c r="K20" s="1724"/>
    </row>
    <row r="21" spans="1:11" ht="12" customHeight="1">
      <c r="A21" s="1725">
        <v>8</v>
      </c>
      <c r="B21" s="1738" t="str">
        <f>'Chấm công công nhân'!L72</f>
        <v>Thảo Nga</v>
      </c>
      <c r="C21" s="2465" t="s">
        <v>1310</v>
      </c>
      <c r="D21" s="4957"/>
      <c r="E21" s="2466" t="s">
        <v>1027</v>
      </c>
      <c r="F21" s="2466"/>
      <c r="G21" s="2507">
        <f t="shared" si="0"/>
        <v>0.16666666666666666</v>
      </c>
      <c r="H21" s="2469">
        <f t="shared" si="2"/>
        <v>0</v>
      </c>
      <c r="I21" s="2470">
        <v>25000</v>
      </c>
      <c r="J21" s="1727">
        <f t="shared" si="1"/>
        <v>0</v>
      </c>
      <c r="K21" s="1724"/>
    </row>
    <row r="22" spans="1:11" ht="12" customHeight="1">
      <c r="A22" s="1725">
        <v>9</v>
      </c>
      <c r="B22" s="1738" t="str">
        <f>'Chấm công công nhân'!L73</f>
        <v>Thảo Tia</v>
      </c>
      <c r="C22" s="2465" t="s">
        <v>1310</v>
      </c>
      <c r="D22" s="4957"/>
      <c r="E22" s="2466" t="s">
        <v>1027</v>
      </c>
      <c r="F22" s="2466"/>
      <c r="G22" s="2507">
        <f t="shared" si="0"/>
        <v>0.16666666666666666</v>
      </c>
      <c r="H22" s="2469">
        <f t="shared" si="2"/>
        <v>0</v>
      </c>
      <c r="I22" s="2470">
        <v>25000</v>
      </c>
      <c r="J22" s="1727">
        <f t="shared" si="1"/>
        <v>0</v>
      </c>
      <c r="K22" s="1724"/>
    </row>
    <row r="23" spans="1:11" ht="12" customHeight="1">
      <c r="A23" s="1725">
        <v>10</v>
      </c>
      <c r="B23" s="1738" t="str">
        <f>'Chấm công công nhân'!L74</f>
        <v>Thảo Nuy</v>
      </c>
      <c r="C23" s="2465" t="s">
        <v>1310</v>
      </c>
      <c r="D23" s="4957"/>
      <c r="E23" s="2466" t="s">
        <v>1027</v>
      </c>
      <c r="F23" s="2466"/>
      <c r="G23" s="2507">
        <f t="shared" si="0"/>
        <v>0.16666666666666666</v>
      </c>
      <c r="H23" s="2469">
        <f t="shared" si="2"/>
        <v>0</v>
      </c>
      <c r="I23" s="2470">
        <v>25000</v>
      </c>
      <c r="J23" s="1727">
        <f t="shared" si="1"/>
        <v>0</v>
      </c>
      <c r="K23" s="1724"/>
    </row>
    <row r="24" spans="1:11" ht="12" customHeight="1">
      <c r="A24" s="1725">
        <v>11</v>
      </c>
      <c r="B24" s="1738" t="str">
        <f>'Chấm công công nhân'!L75</f>
        <v>Thảo Xay</v>
      </c>
      <c r="C24" s="2465" t="s">
        <v>1310</v>
      </c>
      <c r="D24" s="4957"/>
      <c r="E24" s="2466" t="s">
        <v>1027</v>
      </c>
      <c r="F24" s="2466"/>
      <c r="G24" s="2507">
        <f t="shared" si="0"/>
        <v>0.16666666666666666</v>
      </c>
      <c r="H24" s="2469">
        <f t="shared" si="2"/>
        <v>0</v>
      </c>
      <c r="I24" s="2470">
        <v>25000</v>
      </c>
      <c r="J24" s="1727">
        <f t="shared" si="1"/>
        <v>0</v>
      </c>
      <c r="K24" s="1724"/>
    </row>
    <row r="25" spans="1:11" ht="12" customHeight="1">
      <c r="A25" s="1725">
        <v>12</v>
      </c>
      <c r="B25" s="1738" t="str">
        <f>'Chấm công công nhân'!L76</f>
        <v>Nàng Nọi</v>
      </c>
      <c r="C25" s="2465" t="s">
        <v>1310</v>
      </c>
      <c r="D25" s="4957"/>
      <c r="E25" s="2466" t="s">
        <v>1027</v>
      </c>
      <c r="F25" s="2466"/>
      <c r="G25" s="2507">
        <f t="shared" si="0"/>
        <v>0.16666666666666666</v>
      </c>
      <c r="H25" s="2469">
        <f t="shared" si="2"/>
        <v>0</v>
      </c>
      <c r="I25" s="2470">
        <v>25000</v>
      </c>
      <c r="J25" s="1727">
        <f t="shared" si="1"/>
        <v>0</v>
      </c>
      <c r="K25" s="1724"/>
    </row>
    <row r="26" spans="1:11" ht="12" customHeight="1">
      <c r="A26" s="1725">
        <v>13</v>
      </c>
      <c r="B26" s="1738" t="str">
        <f>'Chấm công công nhân'!L77</f>
        <v>Thảo Khon</v>
      </c>
      <c r="C26" s="2465" t="s">
        <v>1310</v>
      </c>
      <c r="D26" s="4957"/>
      <c r="E26" s="2466" t="s">
        <v>1027</v>
      </c>
      <c r="F26" s="2466"/>
      <c r="G26" s="2507">
        <f t="shared" si="0"/>
        <v>0.16666666666666666</v>
      </c>
      <c r="H26" s="2469">
        <f t="shared" si="2"/>
        <v>0</v>
      </c>
      <c r="I26" s="2470">
        <v>25000</v>
      </c>
      <c r="J26" s="1727">
        <f t="shared" si="1"/>
        <v>0</v>
      </c>
      <c r="K26" s="1724"/>
    </row>
    <row r="27" spans="1:11" ht="12" customHeight="1">
      <c r="A27" s="1725">
        <v>14</v>
      </c>
      <c r="B27" s="1738" t="str">
        <f>'Chấm công công nhân'!L78</f>
        <v>Thảo Tưng</v>
      </c>
      <c r="C27" s="2465" t="s">
        <v>1310</v>
      </c>
      <c r="D27" s="4957"/>
      <c r="E27" s="2466" t="s">
        <v>1027</v>
      </c>
      <c r="F27" s="2466"/>
      <c r="G27" s="2507">
        <f t="shared" si="0"/>
        <v>0.16666666666666666</v>
      </c>
      <c r="H27" s="2469">
        <f t="shared" si="2"/>
        <v>0</v>
      </c>
      <c r="I27" s="2470">
        <v>25000</v>
      </c>
      <c r="J27" s="1727">
        <f t="shared" si="1"/>
        <v>0</v>
      </c>
      <c r="K27" s="1724"/>
    </row>
    <row r="28" spans="1:11" ht="12" customHeight="1">
      <c r="A28" s="1725">
        <v>15</v>
      </c>
      <c r="B28" s="1738" t="str">
        <f>'Chấm công công nhân'!L79</f>
        <v>Thảo Bắt</v>
      </c>
      <c r="C28" s="2465" t="s">
        <v>1310</v>
      </c>
      <c r="D28" s="4957"/>
      <c r="E28" s="2466" t="s">
        <v>1027</v>
      </c>
      <c r="F28" s="2466"/>
      <c r="G28" s="2505">
        <f t="shared" si="0"/>
        <v>0.16666666666666666</v>
      </c>
      <c r="H28" s="2508">
        <f t="shared" si="2"/>
        <v>0</v>
      </c>
      <c r="I28" s="2509">
        <v>25000</v>
      </c>
      <c r="J28" s="2506">
        <f t="shared" si="1"/>
        <v>0</v>
      </c>
      <c r="K28" s="1724"/>
    </row>
    <row r="29" spans="1:11" ht="12" customHeight="1">
      <c r="A29" s="1725">
        <v>16</v>
      </c>
      <c r="B29" s="2729" t="str">
        <f>'Chấm công công nhân'!L80</f>
        <v>Thảo Lay</v>
      </c>
      <c r="C29" s="2465" t="s">
        <v>1310</v>
      </c>
      <c r="D29" s="2714"/>
      <c r="E29" s="2466" t="s">
        <v>1027</v>
      </c>
      <c r="F29" s="2466"/>
      <c r="G29" s="2505">
        <f t="shared" si="0"/>
        <v>0.16666666666666666</v>
      </c>
      <c r="H29" s="2508">
        <f t="shared" si="2"/>
        <v>0</v>
      </c>
      <c r="I29" s="2509">
        <v>25000</v>
      </c>
      <c r="J29" s="2506">
        <f t="shared" si="1"/>
        <v>0</v>
      </c>
      <c r="K29" s="1724"/>
    </row>
    <row r="30" spans="1:11" ht="12" customHeight="1">
      <c r="A30" s="1725">
        <v>17</v>
      </c>
      <c r="B30" s="2166" t="s">
        <v>1138</v>
      </c>
      <c r="C30" s="2465"/>
      <c r="D30" s="2714"/>
      <c r="E30" s="2466" t="s">
        <v>1027</v>
      </c>
      <c r="F30" s="2466"/>
      <c r="G30" s="2505">
        <f t="shared" si="0"/>
        <v>0.16666666666666666</v>
      </c>
      <c r="H30" s="2508">
        <f t="shared" si="2"/>
        <v>0</v>
      </c>
      <c r="I30" s="2509">
        <v>25000</v>
      </c>
      <c r="J30" s="2506"/>
      <c r="K30" s="1724"/>
    </row>
    <row r="31" spans="1:11">
      <c r="A31" s="4955"/>
      <c r="B31" s="4955"/>
      <c r="C31" s="4955"/>
      <c r="D31" s="4955"/>
      <c r="E31" s="1724"/>
      <c r="F31" s="2712">
        <f>SUM(F14:F28)</f>
        <v>0</v>
      </c>
      <c r="G31" s="2712"/>
      <c r="H31" s="2288">
        <f>SUM(H14:H28)</f>
        <v>0</v>
      </c>
      <c r="I31" s="2712"/>
      <c r="J31" s="1730">
        <f>SUM(J14:J28)</f>
        <v>0</v>
      </c>
      <c r="K31" s="2712"/>
    </row>
    <row r="32" spans="1:11" ht="15.75">
      <c r="A32" s="1731" t="s">
        <v>1028</v>
      </c>
      <c r="B32" s="1732"/>
      <c r="H32" s="2284"/>
    </row>
    <row r="33" spans="1:9" ht="15.75">
      <c r="A33" s="1733" t="s">
        <v>1029</v>
      </c>
      <c r="B33" s="1734"/>
    </row>
    <row r="34" spans="1:9" ht="15.75">
      <c r="A34" s="1733" t="s">
        <v>1030</v>
      </c>
      <c r="B34" s="1734"/>
    </row>
    <row r="35" spans="1:9" ht="15.75">
      <c r="B35" s="3950" t="s">
        <v>162</v>
      </c>
      <c r="C35" s="3950"/>
      <c r="D35" s="1735"/>
      <c r="E35" s="1735"/>
      <c r="F35" s="1736" t="s">
        <v>1031</v>
      </c>
      <c r="I35" s="1736"/>
    </row>
    <row r="39" spans="1:9">
      <c r="B39" s="4952"/>
      <c r="C39" s="4952"/>
    </row>
  </sheetData>
  <mergeCells count="10">
    <mergeCell ref="A31:D31"/>
    <mergeCell ref="B35:C35"/>
    <mergeCell ref="B39:C39"/>
    <mergeCell ref="A5:J5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18" workbookViewId="0">
      <selection activeCell="C25" sqref="C25"/>
    </sheetView>
  </sheetViews>
  <sheetFormatPr defaultRowHeight="14.25"/>
  <cols>
    <col min="1" max="1" width="5.125" customWidth="1"/>
    <col min="2" max="2" width="10.6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375" customWidth="1"/>
    <col min="8" max="8" width="5.375" style="1708" customWidth="1"/>
    <col min="9" max="9" width="7.375" customWidth="1"/>
    <col min="10" max="10" width="5" hidden="1" customWidth="1"/>
    <col min="11" max="11" width="12.625" style="170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155" t="s">
        <v>1013</v>
      </c>
      <c r="B3" s="4155"/>
      <c r="C3" s="4155"/>
      <c r="D3" s="4155"/>
      <c r="E3" s="4155"/>
      <c r="F3" s="4155"/>
      <c r="G3" s="4155"/>
      <c r="H3" s="1705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G5" s="1711" t="s">
        <v>1014</v>
      </c>
    </row>
    <row r="6" spans="1:12">
      <c r="A6" s="1712"/>
      <c r="B6" s="4954" t="s">
        <v>1259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2459"/>
      <c r="E7" s="2459"/>
      <c r="G7" s="1712"/>
      <c r="H7" s="1715"/>
      <c r="I7" s="1712"/>
      <c r="J7" s="1712"/>
      <c r="K7" s="1716"/>
      <c r="L7" s="1712"/>
    </row>
    <row r="8" spans="1:12">
      <c r="A8" s="1712"/>
      <c r="B8" s="1713" t="s">
        <v>1258</v>
      </c>
      <c r="C8" s="1713"/>
      <c r="D8" s="2459"/>
      <c r="E8" s="1712"/>
      <c r="G8" s="1712"/>
      <c r="H8" s="1717" t="s">
        <v>1016</v>
      </c>
      <c r="I8" s="2459"/>
      <c r="J8" s="2459"/>
      <c r="K8" s="1716"/>
      <c r="L8" s="1712"/>
    </row>
    <row r="9" spans="1:12">
      <c r="A9" s="1712"/>
      <c r="B9" s="1713" t="s">
        <v>1032</v>
      </c>
      <c r="C9" s="1713"/>
      <c r="D9" s="2459"/>
      <c r="E9" s="1712"/>
      <c r="G9" s="1712"/>
      <c r="H9" s="1717" t="s">
        <v>1017</v>
      </c>
      <c r="I9" s="2459"/>
      <c r="J9" s="2459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171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171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18" t="s">
        <v>1023</v>
      </c>
      <c r="K12" s="1720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1026</v>
      </c>
      <c r="L13" s="1724"/>
    </row>
    <row r="14" spans="1:12" ht="12" customHeight="1">
      <c r="A14" s="1725">
        <v>1</v>
      </c>
      <c r="B14" s="1726">
        <f>'Chấm công công nhân'!L12</f>
        <v>0</v>
      </c>
      <c r="C14" s="1720"/>
      <c r="D14" s="4729" t="s">
        <v>1267</v>
      </c>
      <c r="E14" s="1722" t="s">
        <v>1027</v>
      </c>
      <c r="F14" s="1722"/>
      <c r="G14" s="1723">
        <f>1/3</f>
        <v>0.33333333333333331</v>
      </c>
      <c r="H14" s="1723">
        <f>F14/G14</f>
        <v>0</v>
      </c>
      <c r="I14" s="1727">
        <v>25000</v>
      </c>
      <c r="J14" s="1722"/>
      <c r="K14" s="1727">
        <f>I14*H14</f>
        <v>0</v>
      </c>
      <c r="L14" s="1724"/>
    </row>
    <row r="15" spans="1:12" ht="12" customHeight="1">
      <c r="A15" s="1725">
        <v>2</v>
      </c>
      <c r="B15" s="1726" t="str">
        <f>'Chấm công công nhân'!L13</f>
        <v>Vắt Đi</v>
      </c>
      <c r="C15" s="1720" t="s">
        <v>1260</v>
      </c>
      <c r="D15" s="4961"/>
      <c r="E15" s="1722" t="s">
        <v>1027</v>
      </c>
      <c r="F15" s="1722"/>
      <c r="G15" s="1723">
        <f t="shared" ref="G15:G49" si="0">1/3</f>
        <v>0.33333333333333331</v>
      </c>
      <c r="H15" s="1723">
        <f t="shared" ref="H15:H49" si="1">F15/G15</f>
        <v>0</v>
      </c>
      <c r="I15" s="1727">
        <v>25000</v>
      </c>
      <c r="J15" s="1725"/>
      <c r="K15" s="1727">
        <f t="shared" ref="K15:K49" si="2">I15*H15</f>
        <v>0</v>
      </c>
      <c r="L15" s="1724"/>
    </row>
    <row r="16" spans="1:12" ht="12" customHeight="1">
      <c r="A16" s="1725">
        <v>3</v>
      </c>
      <c r="B16" s="1726" t="str">
        <f>'Chấm công công nhân'!L14</f>
        <v>Mẹ Leo</v>
      </c>
      <c r="C16" s="1720" t="s">
        <v>1260</v>
      </c>
      <c r="D16" s="4961"/>
      <c r="E16" s="1722" t="s">
        <v>1027</v>
      </c>
      <c r="F16" s="1722"/>
      <c r="G16" s="1723">
        <f t="shared" si="0"/>
        <v>0.33333333333333331</v>
      </c>
      <c r="H16" s="1723">
        <f t="shared" si="1"/>
        <v>0</v>
      </c>
      <c r="I16" s="1727">
        <v>25000</v>
      </c>
      <c r="J16" s="1725"/>
      <c r="K16" s="1727">
        <f t="shared" si="2"/>
        <v>0</v>
      </c>
      <c r="L16" s="1724"/>
    </row>
    <row r="17" spans="1:12" ht="12" customHeight="1">
      <c r="A17" s="1725">
        <v>4</v>
      </c>
      <c r="B17" s="1726" t="str">
        <f>'Chấm công công nhân'!L15</f>
        <v xml:space="preserve">Thảo Ken </v>
      </c>
      <c r="C17" s="1720" t="s">
        <v>1260</v>
      </c>
      <c r="D17" s="4961"/>
      <c r="E17" s="1722" t="s">
        <v>1027</v>
      </c>
      <c r="F17" s="1722"/>
      <c r="G17" s="1723">
        <f t="shared" si="0"/>
        <v>0.33333333333333331</v>
      </c>
      <c r="H17" s="1723">
        <f t="shared" si="1"/>
        <v>0</v>
      </c>
      <c r="I17" s="1727">
        <v>25000</v>
      </c>
      <c r="J17" s="1725"/>
      <c r="K17" s="1727">
        <f t="shared" si="2"/>
        <v>0</v>
      </c>
      <c r="L17" s="1724"/>
    </row>
    <row r="18" spans="1:12" ht="12" customHeight="1">
      <c r="A18" s="1725">
        <v>5</v>
      </c>
      <c r="B18" s="1726" t="str">
        <f>'Chấm công công nhân'!L16</f>
        <v>Thảo Phút</v>
      </c>
      <c r="C18" s="1720" t="s">
        <v>1260</v>
      </c>
      <c r="D18" s="4961"/>
      <c r="E18" s="1722" t="s">
        <v>1027</v>
      </c>
      <c r="F18" s="1722"/>
      <c r="G18" s="1723">
        <f t="shared" si="0"/>
        <v>0.33333333333333331</v>
      </c>
      <c r="H18" s="1723">
        <f t="shared" si="1"/>
        <v>0</v>
      </c>
      <c r="I18" s="1727">
        <v>25000</v>
      </c>
      <c r="J18" s="1722"/>
      <c r="K18" s="1727">
        <f t="shared" si="2"/>
        <v>0</v>
      </c>
      <c r="L18" s="1724"/>
    </row>
    <row r="19" spans="1:12" ht="12" customHeight="1">
      <c r="A19" s="1725">
        <v>6</v>
      </c>
      <c r="B19" s="1726" t="str">
        <f>'Chấm công công nhân'!L17</f>
        <v>Thảo Mằn</v>
      </c>
      <c r="C19" s="1720" t="s">
        <v>1260</v>
      </c>
      <c r="D19" s="4961"/>
      <c r="E19" s="1722" t="s">
        <v>1027</v>
      </c>
      <c r="F19" s="1722"/>
      <c r="G19" s="1723">
        <f t="shared" si="0"/>
        <v>0.33333333333333331</v>
      </c>
      <c r="H19" s="1723">
        <f t="shared" si="1"/>
        <v>0</v>
      </c>
      <c r="I19" s="1727">
        <v>25000</v>
      </c>
      <c r="J19" s="1722"/>
      <c r="K19" s="1727">
        <f t="shared" si="2"/>
        <v>0</v>
      </c>
      <c r="L19" s="1724"/>
    </row>
    <row r="20" spans="1:12" ht="12" customHeight="1">
      <c r="A20" s="1725">
        <v>7</v>
      </c>
      <c r="B20" s="1726" t="str">
        <f>'Chấm công công nhân'!L18</f>
        <v>Nàng Chay</v>
      </c>
      <c r="C20" s="1720" t="s">
        <v>1260</v>
      </c>
      <c r="D20" s="4961"/>
      <c r="E20" s="1722" t="s">
        <v>1027</v>
      </c>
      <c r="F20" s="1722"/>
      <c r="G20" s="1723">
        <f t="shared" si="0"/>
        <v>0.33333333333333331</v>
      </c>
      <c r="H20" s="1723">
        <f t="shared" si="1"/>
        <v>0</v>
      </c>
      <c r="I20" s="1727">
        <v>25000</v>
      </c>
      <c r="J20" s="1725"/>
      <c r="K20" s="1727">
        <f t="shared" si="2"/>
        <v>0</v>
      </c>
      <c r="L20" s="1724"/>
    </row>
    <row r="21" spans="1:12" ht="12" customHeight="1">
      <c r="A21" s="1725">
        <v>8</v>
      </c>
      <c r="B21" s="1726" t="str">
        <f>'Chấm công công nhân'!L19</f>
        <v>Thảo Sắp</v>
      </c>
      <c r="C21" s="1720" t="s">
        <v>1260</v>
      </c>
      <c r="D21" s="4961"/>
      <c r="E21" s="1722" t="s">
        <v>1027</v>
      </c>
      <c r="F21" s="1722"/>
      <c r="G21" s="1723">
        <f t="shared" si="0"/>
        <v>0.33333333333333331</v>
      </c>
      <c r="H21" s="1723">
        <f t="shared" si="1"/>
        <v>0</v>
      </c>
      <c r="I21" s="1727">
        <v>25000</v>
      </c>
      <c r="J21" s="1725"/>
      <c r="K21" s="1727">
        <f t="shared" si="2"/>
        <v>0</v>
      </c>
      <c r="L21" s="1724"/>
    </row>
    <row r="22" spans="1:12" ht="12" customHeight="1">
      <c r="A22" s="1725">
        <v>9</v>
      </c>
      <c r="B22" s="1726" t="str">
        <f>'Chấm công công nhân'!L20</f>
        <v>Thảo Say</v>
      </c>
      <c r="C22" s="1720" t="s">
        <v>1260</v>
      </c>
      <c r="D22" s="4961"/>
      <c r="E22" s="1722" t="s">
        <v>1027</v>
      </c>
      <c r="F22" s="1722"/>
      <c r="G22" s="1723">
        <f t="shared" si="0"/>
        <v>0.33333333333333331</v>
      </c>
      <c r="H22" s="1723">
        <f t="shared" si="1"/>
        <v>0</v>
      </c>
      <c r="I22" s="1727">
        <v>25000</v>
      </c>
      <c r="J22" s="1725"/>
      <c r="K22" s="1727">
        <f t="shared" si="2"/>
        <v>0</v>
      </c>
      <c r="L22" s="1724"/>
    </row>
    <row r="23" spans="1:12" ht="12" customHeight="1">
      <c r="A23" s="1725">
        <v>10</v>
      </c>
      <c r="B23" s="1726" t="str">
        <f>'Chấm công công nhân'!L21</f>
        <v>Thảo Cợt</v>
      </c>
      <c r="C23" s="1720" t="s">
        <v>1260</v>
      </c>
      <c r="D23" s="4961"/>
      <c r="E23" s="1722" t="s">
        <v>1027</v>
      </c>
      <c r="F23" s="1722"/>
      <c r="G23" s="1723">
        <f t="shared" si="0"/>
        <v>0.33333333333333331</v>
      </c>
      <c r="H23" s="1723">
        <f t="shared" si="1"/>
        <v>0</v>
      </c>
      <c r="I23" s="1727">
        <v>25000</v>
      </c>
      <c r="J23" s="1722"/>
      <c r="K23" s="1727">
        <f t="shared" si="2"/>
        <v>0</v>
      </c>
      <c r="L23" s="1724"/>
    </row>
    <row r="24" spans="1:12" ht="12" customHeight="1">
      <c r="A24" s="1725">
        <v>11</v>
      </c>
      <c r="B24" s="1726" t="str">
        <f>'Chấm công công nhân'!L22</f>
        <v>Thảo Hôm</v>
      </c>
      <c r="C24" s="1720" t="s">
        <v>1260</v>
      </c>
      <c r="D24" s="4961"/>
      <c r="E24" s="1722" t="s">
        <v>1027</v>
      </c>
      <c r="F24" s="1722"/>
      <c r="G24" s="1723">
        <f t="shared" si="0"/>
        <v>0.33333333333333331</v>
      </c>
      <c r="H24" s="1723">
        <f t="shared" si="1"/>
        <v>0</v>
      </c>
      <c r="I24" s="1727">
        <v>25000</v>
      </c>
      <c r="J24" s="1722"/>
      <c r="K24" s="1727">
        <f t="shared" si="2"/>
        <v>0</v>
      </c>
      <c r="L24" s="1724"/>
    </row>
    <row r="25" spans="1:12" ht="12" customHeight="1">
      <c r="A25" s="1725">
        <v>12</v>
      </c>
      <c r="B25" s="1726" t="str">
        <f>'Chấm công công nhân'!L23</f>
        <v xml:space="preserve">Thảo Khăm  </v>
      </c>
      <c r="C25" s="1720" t="s">
        <v>1260</v>
      </c>
      <c r="D25" s="4961"/>
      <c r="E25" s="1722" t="s">
        <v>1027</v>
      </c>
      <c r="F25" s="1722"/>
      <c r="G25" s="1723">
        <f t="shared" si="0"/>
        <v>0.33333333333333331</v>
      </c>
      <c r="H25" s="1723">
        <f t="shared" si="1"/>
        <v>0</v>
      </c>
      <c r="I25" s="1727">
        <v>25000</v>
      </c>
      <c r="J25" s="1725"/>
      <c r="K25" s="1727">
        <f t="shared" si="2"/>
        <v>0</v>
      </c>
      <c r="L25" s="1724"/>
    </row>
    <row r="26" spans="1:12" ht="12" customHeight="1">
      <c r="A26" s="1725">
        <v>13</v>
      </c>
      <c r="B26" s="1726" t="str">
        <f>'Chấm công công nhân'!L24</f>
        <v>Thảo Hăm</v>
      </c>
      <c r="C26" s="1720" t="s">
        <v>1260</v>
      </c>
      <c r="D26" s="4961"/>
      <c r="E26" s="1722" t="s">
        <v>1027</v>
      </c>
      <c r="F26" s="1722"/>
      <c r="G26" s="1723">
        <f t="shared" si="0"/>
        <v>0.33333333333333331</v>
      </c>
      <c r="H26" s="1723">
        <f t="shared" si="1"/>
        <v>0</v>
      </c>
      <c r="I26" s="1727">
        <v>25000</v>
      </c>
      <c r="J26" s="1725"/>
      <c r="K26" s="1727">
        <f t="shared" si="2"/>
        <v>0</v>
      </c>
      <c r="L26" s="1724"/>
    </row>
    <row r="27" spans="1:12" ht="12" customHeight="1">
      <c r="A27" s="1725">
        <v>14</v>
      </c>
      <c r="B27" s="1726" t="str">
        <f>'Chấm công công nhân'!L25</f>
        <v>Nang Lon</v>
      </c>
      <c r="C27" s="1720" t="s">
        <v>1260</v>
      </c>
      <c r="D27" s="4961"/>
      <c r="E27" s="1722" t="s">
        <v>1027</v>
      </c>
      <c r="F27" s="1722"/>
      <c r="G27" s="1723">
        <f t="shared" si="0"/>
        <v>0.33333333333333331</v>
      </c>
      <c r="H27" s="1723">
        <f t="shared" si="1"/>
        <v>0</v>
      </c>
      <c r="I27" s="1727">
        <v>25000</v>
      </c>
      <c r="J27" s="1725"/>
      <c r="K27" s="1727">
        <f t="shared" si="2"/>
        <v>0</v>
      </c>
      <c r="L27" s="1724"/>
    </row>
    <row r="28" spans="1:12" ht="12" customHeight="1">
      <c r="A28" s="1725">
        <v>15</v>
      </c>
      <c r="B28" s="1726" t="str">
        <f>'Chấm công công nhân'!L26</f>
        <v>Thảo Pheng</v>
      </c>
      <c r="C28" s="1720" t="s">
        <v>1260</v>
      </c>
      <c r="D28" s="4961"/>
      <c r="E28" s="1722" t="s">
        <v>1027</v>
      </c>
      <c r="F28" s="1722"/>
      <c r="G28" s="1723">
        <f t="shared" si="0"/>
        <v>0.33333333333333331</v>
      </c>
      <c r="H28" s="1723">
        <f t="shared" si="1"/>
        <v>0</v>
      </c>
      <c r="I28" s="1727">
        <v>25000</v>
      </c>
      <c r="J28" s="1722"/>
      <c r="K28" s="1727">
        <f t="shared" si="2"/>
        <v>0</v>
      </c>
      <c r="L28" s="1724"/>
    </row>
    <row r="29" spans="1:12" ht="12" customHeight="1">
      <c r="A29" s="1725">
        <v>16</v>
      </c>
      <c r="B29" s="1726" t="str">
        <f>'Chấm công công nhân'!L27</f>
        <v>Thảo kok</v>
      </c>
      <c r="C29" s="1720"/>
      <c r="D29" s="4961"/>
      <c r="E29" s="1722" t="s">
        <v>1027</v>
      </c>
      <c r="F29" s="1722"/>
      <c r="G29" s="1723">
        <f t="shared" si="0"/>
        <v>0.33333333333333331</v>
      </c>
      <c r="H29" s="1723">
        <f t="shared" si="1"/>
        <v>0</v>
      </c>
      <c r="I29" s="1727">
        <v>25000</v>
      </c>
      <c r="J29" s="1722"/>
      <c r="K29" s="1727">
        <f t="shared" si="2"/>
        <v>0</v>
      </c>
      <c r="L29" s="1724"/>
    </row>
    <row r="30" spans="1:12" ht="12" customHeight="1">
      <c r="A30" s="1725">
        <v>17</v>
      </c>
      <c r="B30" s="1726" t="str">
        <f>'Chấm công công nhân'!L28</f>
        <v>Nàng Sút Chay</v>
      </c>
      <c r="C30" s="1720" t="s">
        <v>1260</v>
      </c>
      <c r="D30" s="4961"/>
      <c r="E30" s="1722" t="s">
        <v>1027</v>
      </c>
      <c r="F30" s="1722"/>
      <c r="G30" s="1723">
        <f t="shared" si="0"/>
        <v>0.33333333333333331</v>
      </c>
      <c r="H30" s="1723">
        <f t="shared" si="1"/>
        <v>0</v>
      </c>
      <c r="I30" s="1727">
        <v>25000</v>
      </c>
      <c r="J30" s="1725"/>
      <c r="K30" s="1727">
        <f t="shared" si="2"/>
        <v>0</v>
      </c>
      <c r="L30" s="1724"/>
    </row>
    <row r="31" spans="1:12" ht="12" customHeight="1">
      <c r="A31" s="1725">
        <v>18</v>
      </c>
      <c r="B31" s="1726" t="str">
        <f>'Chấm công công nhân'!L29</f>
        <v>Thảo Khăm Phay</v>
      </c>
      <c r="C31" s="1720" t="s">
        <v>1260</v>
      </c>
      <c r="D31" s="4961"/>
      <c r="E31" s="1722" t="s">
        <v>1027</v>
      </c>
      <c r="F31" s="1722"/>
      <c r="G31" s="1723">
        <f t="shared" si="0"/>
        <v>0.33333333333333331</v>
      </c>
      <c r="H31" s="1723">
        <f t="shared" si="1"/>
        <v>0</v>
      </c>
      <c r="I31" s="1727">
        <v>25000</v>
      </c>
      <c r="J31" s="1725"/>
      <c r="K31" s="1727">
        <f t="shared" si="2"/>
        <v>0</v>
      </c>
      <c r="L31" s="1724"/>
    </row>
    <row r="32" spans="1:12" ht="12" customHeight="1">
      <c r="A32" s="1725">
        <v>19</v>
      </c>
      <c r="B32" s="1726" t="str">
        <f>'Chấm công công nhân'!L30</f>
        <v>Thảo Sớm</v>
      </c>
      <c r="C32" s="1720" t="s">
        <v>1260</v>
      </c>
      <c r="D32" s="4961"/>
      <c r="E32" s="1722" t="s">
        <v>1027</v>
      </c>
      <c r="F32" s="1722"/>
      <c r="G32" s="1723">
        <f t="shared" si="0"/>
        <v>0.33333333333333331</v>
      </c>
      <c r="H32" s="1723">
        <f t="shared" si="1"/>
        <v>0</v>
      </c>
      <c r="I32" s="1727">
        <v>25000</v>
      </c>
      <c r="J32" s="1725"/>
      <c r="K32" s="1727">
        <f t="shared" si="2"/>
        <v>0</v>
      </c>
      <c r="L32" s="1724"/>
    </row>
    <row r="33" spans="1:12" ht="12" customHeight="1">
      <c r="A33" s="1725">
        <v>20</v>
      </c>
      <c r="B33" s="1726" t="str">
        <f>'Chấm công công nhân'!L31</f>
        <v>Pha Xúc</v>
      </c>
      <c r="C33" s="1720" t="s">
        <v>1260</v>
      </c>
      <c r="D33" s="4961"/>
      <c r="E33" s="1722" t="s">
        <v>1027</v>
      </c>
      <c r="F33" s="1722"/>
      <c r="G33" s="1723">
        <f t="shared" si="0"/>
        <v>0.33333333333333331</v>
      </c>
      <c r="H33" s="1723">
        <f t="shared" si="1"/>
        <v>0</v>
      </c>
      <c r="I33" s="1727">
        <v>25000</v>
      </c>
      <c r="J33" s="1722"/>
      <c r="K33" s="1727">
        <f t="shared" si="2"/>
        <v>0</v>
      </c>
      <c r="L33" s="1724"/>
    </row>
    <row r="34" spans="1:12" ht="12" customHeight="1">
      <c r="A34" s="1725">
        <v>21</v>
      </c>
      <c r="B34" s="1726" t="str">
        <f>'Chấm công công nhân'!L32</f>
        <v>Nàng Phon</v>
      </c>
      <c r="C34" s="1720" t="s">
        <v>1260</v>
      </c>
      <c r="D34" s="4961"/>
      <c r="E34" s="1722" t="s">
        <v>1027</v>
      </c>
      <c r="F34" s="1722"/>
      <c r="G34" s="1723">
        <f t="shared" si="0"/>
        <v>0.33333333333333331</v>
      </c>
      <c r="H34" s="1723">
        <f t="shared" si="1"/>
        <v>0</v>
      </c>
      <c r="I34" s="1727">
        <v>25000</v>
      </c>
      <c r="J34" s="1722"/>
      <c r="K34" s="1727">
        <f t="shared" si="2"/>
        <v>0</v>
      </c>
      <c r="L34" s="1724"/>
    </row>
    <row r="35" spans="1:12" ht="12" customHeight="1">
      <c r="A35" s="1725">
        <v>22</v>
      </c>
      <c r="B35" s="1726" t="str">
        <f>'Chấm công công nhân'!L33</f>
        <v>Thảo Chăn</v>
      </c>
      <c r="C35" s="1720" t="s">
        <v>1260</v>
      </c>
      <c r="D35" s="4961"/>
      <c r="E35" s="1722" t="s">
        <v>1027</v>
      </c>
      <c r="F35" s="1722"/>
      <c r="G35" s="1723">
        <f t="shared" si="0"/>
        <v>0.33333333333333331</v>
      </c>
      <c r="H35" s="1723">
        <f t="shared" si="1"/>
        <v>0</v>
      </c>
      <c r="I35" s="1727">
        <v>25000</v>
      </c>
      <c r="J35" s="1725"/>
      <c r="K35" s="1727">
        <f t="shared" si="2"/>
        <v>0</v>
      </c>
      <c r="L35" s="1724"/>
    </row>
    <row r="36" spans="1:12" ht="12" customHeight="1">
      <c r="A36" s="1725">
        <v>23</v>
      </c>
      <c r="B36" s="1726" t="str">
        <f>'Chấm công công nhân'!L34</f>
        <v>Thong La</v>
      </c>
      <c r="C36" s="1720" t="s">
        <v>1260</v>
      </c>
      <c r="D36" s="4961"/>
      <c r="E36" s="1722" t="s">
        <v>1027</v>
      </c>
      <c r="F36" s="1722"/>
      <c r="G36" s="1723">
        <f t="shared" si="0"/>
        <v>0.33333333333333331</v>
      </c>
      <c r="H36" s="1723">
        <f t="shared" si="1"/>
        <v>0</v>
      </c>
      <c r="I36" s="1727">
        <v>25000</v>
      </c>
      <c r="J36" s="1725"/>
      <c r="K36" s="1727">
        <f t="shared" si="2"/>
        <v>0</v>
      </c>
      <c r="L36" s="1724"/>
    </row>
    <row r="37" spans="1:12" ht="12" customHeight="1">
      <c r="A37" s="1725">
        <v>24</v>
      </c>
      <c r="B37" s="1726" t="str">
        <f>'Chấm công công nhân'!L35</f>
        <v>Thảo Cum Pha</v>
      </c>
      <c r="C37" s="1720" t="s">
        <v>1260</v>
      </c>
      <c r="D37" s="4961"/>
      <c r="E37" s="1722" t="s">
        <v>1027</v>
      </c>
      <c r="F37" s="1722"/>
      <c r="G37" s="1723">
        <f t="shared" si="0"/>
        <v>0.33333333333333331</v>
      </c>
      <c r="H37" s="1723">
        <f t="shared" si="1"/>
        <v>0</v>
      </c>
      <c r="I37" s="1727">
        <v>25000</v>
      </c>
      <c r="J37" s="1725"/>
      <c r="K37" s="1727">
        <f t="shared" si="2"/>
        <v>0</v>
      </c>
      <c r="L37" s="1724"/>
    </row>
    <row r="38" spans="1:12" ht="12" customHeight="1">
      <c r="A38" s="1725">
        <v>25</v>
      </c>
      <c r="B38" s="1726" t="str">
        <f>'Chấm công công nhân'!L36</f>
        <v>T Ô Vên</v>
      </c>
      <c r="C38" s="1720" t="s">
        <v>1260</v>
      </c>
      <c r="D38" s="4961"/>
      <c r="E38" s="1722" t="s">
        <v>1027</v>
      </c>
      <c r="F38" s="1722"/>
      <c r="G38" s="1723">
        <f t="shared" si="0"/>
        <v>0.33333333333333331</v>
      </c>
      <c r="H38" s="1723">
        <f t="shared" si="1"/>
        <v>0</v>
      </c>
      <c r="I38" s="1727">
        <v>25000</v>
      </c>
      <c r="J38" s="1722"/>
      <c r="K38" s="1727">
        <f t="shared" si="2"/>
        <v>0</v>
      </c>
      <c r="L38" s="1724"/>
    </row>
    <row r="39" spans="1:12" ht="12" customHeight="1">
      <c r="A39" s="1725">
        <v>26</v>
      </c>
      <c r="B39" s="1726" t="str">
        <f>'Chấm công công nhân'!L37</f>
        <v>Nàng Lam</v>
      </c>
      <c r="C39" s="1720" t="s">
        <v>1260</v>
      </c>
      <c r="D39" s="4961"/>
      <c r="E39" s="1722" t="s">
        <v>1027</v>
      </c>
      <c r="F39" s="1722"/>
      <c r="G39" s="1723">
        <f t="shared" si="0"/>
        <v>0.33333333333333331</v>
      </c>
      <c r="H39" s="1723">
        <f t="shared" si="1"/>
        <v>0</v>
      </c>
      <c r="I39" s="1727">
        <v>25000</v>
      </c>
      <c r="J39" s="1722"/>
      <c r="K39" s="1727">
        <f t="shared" si="2"/>
        <v>0</v>
      </c>
      <c r="L39" s="1724"/>
    </row>
    <row r="40" spans="1:12" ht="12" customHeight="1">
      <c r="A40" s="1725">
        <v>27</v>
      </c>
      <c r="B40" s="1726" t="str">
        <f>'Chấm công công nhân'!L38</f>
        <v>Nàng Hđao</v>
      </c>
      <c r="C40" s="1720" t="s">
        <v>1260</v>
      </c>
      <c r="D40" s="4961"/>
      <c r="E40" s="1722" t="s">
        <v>1027</v>
      </c>
      <c r="F40" s="1722"/>
      <c r="G40" s="1723">
        <f t="shared" si="0"/>
        <v>0.33333333333333331</v>
      </c>
      <c r="H40" s="1723">
        <f t="shared" si="1"/>
        <v>0</v>
      </c>
      <c r="I40" s="1727">
        <v>25000</v>
      </c>
      <c r="J40" s="1725"/>
      <c r="K40" s="1727">
        <f t="shared" si="2"/>
        <v>0</v>
      </c>
      <c r="L40" s="1724"/>
    </row>
    <row r="41" spans="1:12" ht="12" customHeight="1">
      <c r="A41" s="1725">
        <v>28</v>
      </c>
      <c r="B41" s="1726" t="str">
        <f>'Chấm công công nhân'!L39</f>
        <v>Thảo Tong</v>
      </c>
      <c r="C41" s="1720" t="s">
        <v>1260</v>
      </c>
      <c r="D41" s="4961"/>
      <c r="E41" s="1722" t="s">
        <v>1027</v>
      </c>
      <c r="F41" s="1722"/>
      <c r="G41" s="1723">
        <f t="shared" si="0"/>
        <v>0.33333333333333331</v>
      </c>
      <c r="H41" s="1723">
        <f t="shared" si="1"/>
        <v>0</v>
      </c>
      <c r="I41" s="1727">
        <v>25000</v>
      </c>
      <c r="J41" s="1725"/>
      <c r="K41" s="1727">
        <f t="shared" si="2"/>
        <v>0</v>
      </c>
      <c r="L41" s="1724"/>
    </row>
    <row r="42" spans="1:12" ht="12" customHeight="1">
      <c r="A42" s="1725">
        <v>29</v>
      </c>
      <c r="B42" s="1726" t="str">
        <f>'Chấm công công nhân'!L40</f>
        <v>Thảo Khốc</v>
      </c>
      <c r="C42" s="1720" t="s">
        <v>1260</v>
      </c>
      <c r="D42" s="4961"/>
      <c r="E42" s="1722" t="s">
        <v>1027</v>
      </c>
      <c r="F42" s="1722"/>
      <c r="G42" s="1723">
        <f t="shared" si="0"/>
        <v>0.33333333333333331</v>
      </c>
      <c r="H42" s="1723">
        <f t="shared" si="1"/>
        <v>0</v>
      </c>
      <c r="I42" s="1727">
        <v>25000</v>
      </c>
      <c r="J42" s="1725"/>
      <c r="K42" s="1727">
        <f t="shared" si="2"/>
        <v>0</v>
      </c>
      <c r="L42" s="1724"/>
    </row>
    <row r="43" spans="1:12" ht="12" customHeight="1">
      <c r="A43" s="1725">
        <v>30</v>
      </c>
      <c r="B43" s="1726" t="str">
        <f>'Chấm công công nhân'!L41</f>
        <v>Thảo Sợt</v>
      </c>
      <c r="C43" s="1720" t="s">
        <v>1260</v>
      </c>
      <c r="D43" s="4961"/>
      <c r="E43" s="1722" t="s">
        <v>1027</v>
      </c>
      <c r="F43" s="1722"/>
      <c r="G43" s="1723">
        <f t="shared" si="0"/>
        <v>0.33333333333333331</v>
      </c>
      <c r="H43" s="1723">
        <f t="shared" si="1"/>
        <v>0</v>
      </c>
      <c r="I43" s="1727">
        <v>25000</v>
      </c>
      <c r="J43" s="1722"/>
      <c r="K43" s="1727">
        <f t="shared" si="2"/>
        <v>0</v>
      </c>
      <c r="L43" s="1724"/>
    </row>
    <row r="44" spans="1:12" ht="12" customHeight="1">
      <c r="A44" s="1725">
        <v>31</v>
      </c>
      <c r="B44" s="1726" t="str">
        <f>'Chấm công công nhân'!L42</f>
        <v>Thảo Văn</v>
      </c>
      <c r="C44" s="1720" t="s">
        <v>1260</v>
      </c>
      <c r="D44" s="4961"/>
      <c r="E44" s="1722" t="s">
        <v>1027</v>
      </c>
      <c r="F44" s="1722"/>
      <c r="G44" s="1723">
        <f t="shared" si="0"/>
        <v>0.33333333333333331</v>
      </c>
      <c r="H44" s="1723">
        <f t="shared" si="1"/>
        <v>0</v>
      </c>
      <c r="I44" s="1727">
        <v>25000</v>
      </c>
      <c r="J44" s="1722"/>
      <c r="K44" s="1727">
        <f t="shared" si="2"/>
        <v>0</v>
      </c>
      <c r="L44" s="1724"/>
    </row>
    <row r="45" spans="1:12" ht="12" customHeight="1">
      <c r="A45" s="1725">
        <v>32</v>
      </c>
      <c r="B45" s="1726" t="str">
        <f>'Chấm công công nhân'!L43</f>
        <v>Nàng Túc</v>
      </c>
      <c r="C45" s="1720" t="s">
        <v>1260</v>
      </c>
      <c r="D45" s="4961"/>
      <c r="E45" s="1722" t="s">
        <v>1027</v>
      </c>
      <c r="F45" s="1722"/>
      <c r="G45" s="1723">
        <f t="shared" si="0"/>
        <v>0.33333333333333331</v>
      </c>
      <c r="H45" s="1723">
        <f t="shared" si="1"/>
        <v>0</v>
      </c>
      <c r="I45" s="1727">
        <v>25000</v>
      </c>
      <c r="J45" s="1722"/>
      <c r="K45" s="1727">
        <f t="shared" si="2"/>
        <v>0</v>
      </c>
      <c r="L45" s="1724"/>
    </row>
    <row r="46" spans="1:12" ht="12" customHeight="1">
      <c r="A46" s="1725">
        <v>33</v>
      </c>
      <c r="B46" s="1726" t="str">
        <f>'Chấm công công nhân'!L44</f>
        <v>Nàng Chon</v>
      </c>
      <c r="C46" s="1720" t="s">
        <v>1260</v>
      </c>
      <c r="D46" s="4961"/>
      <c r="E46" s="1722" t="s">
        <v>1027</v>
      </c>
      <c r="F46" s="1722"/>
      <c r="G46" s="1723">
        <f t="shared" si="0"/>
        <v>0.33333333333333331</v>
      </c>
      <c r="H46" s="1723">
        <f t="shared" si="1"/>
        <v>0</v>
      </c>
      <c r="I46" s="1727">
        <v>25000</v>
      </c>
      <c r="J46" s="1722"/>
      <c r="K46" s="1727">
        <f t="shared" si="2"/>
        <v>0</v>
      </c>
      <c r="L46" s="1724"/>
    </row>
    <row r="47" spans="1:12" ht="12" customHeight="1">
      <c r="A47" s="1725">
        <v>34</v>
      </c>
      <c r="B47" s="1726" t="str">
        <f>'Chấm công công nhân'!L45</f>
        <v>Thảo Hơ Phơ</v>
      </c>
      <c r="C47" s="1720" t="s">
        <v>1260</v>
      </c>
      <c r="D47" s="4961"/>
      <c r="E47" s="1722" t="s">
        <v>1027</v>
      </c>
      <c r="F47" s="1722"/>
      <c r="G47" s="1723">
        <f t="shared" si="0"/>
        <v>0.33333333333333331</v>
      </c>
      <c r="H47" s="1723">
        <f t="shared" si="1"/>
        <v>0</v>
      </c>
      <c r="I47" s="1727">
        <v>25000</v>
      </c>
      <c r="J47" s="1722"/>
      <c r="K47" s="1727">
        <f t="shared" si="2"/>
        <v>0</v>
      </c>
      <c r="L47" s="1724"/>
    </row>
    <row r="48" spans="1:12" ht="12" customHeight="1">
      <c r="A48" s="1725">
        <v>35</v>
      </c>
      <c r="B48" s="1726" t="str">
        <f>'Chấm công công nhân'!L46</f>
        <v>Thảo Phét</v>
      </c>
      <c r="C48" s="1720" t="s">
        <v>1260</v>
      </c>
      <c r="D48" s="4961"/>
      <c r="E48" s="1722" t="s">
        <v>1027</v>
      </c>
      <c r="F48" s="1722"/>
      <c r="G48" s="1723">
        <f t="shared" si="0"/>
        <v>0.33333333333333331</v>
      </c>
      <c r="H48" s="1723">
        <f t="shared" si="1"/>
        <v>0</v>
      </c>
      <c r="I48" s="1727">
        <v>25000</v>
      </c>
      <c r="J48" s="1722"/>
      <c r="K48" s="1727">
        <f t="shared" si="2"/>
        <v>0</v>
      </c>
      <c r="L48" s="1724"/>
    </row>
    <row r="49" spans="1:12" ht="12" customHeight="1">
      <c r="A49" s="1725">
        <v>36</v>
      </c>
      <c r="B49" s="1726" t="str">
        <f>'Chấm công công nhân'!L47</f>
        <v>Hăn</v>
      </c>
      <c r="C49" s="1720" t="s">
        <v>1260</v>
      </c>
      <c r="D49" s="4961"/>
      <c r="E49" s="1722" t="s">
        <v>1027</v>
      </c>
      <c r="F49" s="1722"/>
      <c r="G49" s="1723">
        <f t="shared" si="0"/>
        <v>0.33333333333333331</v>
      </c>
      <c r="H49" s="1723">
        <f t="shared" si="1"/>
        <v>0</v>
      </c>
      <c r="I49" s="1727">
        <v>25000</v>
      </c>
      <c r="J49" s="1722"/>
      <c r="K49" s="1727">
        <f t="shared" si="2"/>
        <v>0</v>
      </c>
      <c r="L49" s="1724"/>
    </row>
    <row r="50" spans="1:12">
      <c r="A50" s="4955"/>
      <c r="B50" s="4955"/>
      <c r="C50" s="4955"/>
      <c r="D50" s="4955"/>
      <c r="E50" s="1724"/>
      <c r="F50" s="2458">
        <f>SUM(F14:F49)</f>
        <v>0</v>
      </c>
      <c r="G50" s="2458"/>
      <c r="H50" s="2288">
        <f>SUM(H14:H49)</f>
        <v>0</v>
      </c>
      <c r="I50" s="2458"/>
      <c r="J50" s="2458">
        <f>SUM(J14:J49)</f>
        <v>0</v>
      </c>
      <c r="K50" s="1730">
        <f>SUM(K14:K49)</f>
        <v>0</v>
      </c>
      <c r="L50" s="2458"/>
    </row>
    <row r="51" spans="1:12" ht="15.75">
      <c r="A51" s="1731" t="s">
        <v>1028</v>
      </c>
      <c r="B51" s="1732"/>
    </row>
    <row r="52" spans="1:12" ht="15.75">
      <c r="A52" s="1733" t="s">
        <v>1029</v>
      </c>
      <c r="B52" s="1734"/>
    </row>
    <row r="53" spans="1:12" ht="15.75">
      <c r="A53" s="1733" t="s">
        <v>1030</v>
      </c>
      <c r="B53" s="1734"/>
    </row>
    <row r="54" spans="1:12" ht="15.75">
      <c r="B54" s="3950" t="s">
        <v>162</v>
      </c>
      <c r="C54" s="3950"/>
      <c r="D54" s="1735"/>
      <c r="E54" s="1735"/>
      <c r="F54" s="1736" t="s">
        <v>1031</v>
      </c>
      <c r="I54" s="1736"/>
      <c r="J54" s="1736"/>
    </row>
    <row r="58" spans="1:12">
      <c r="B58" s="4952"/>
      <c r="C58" s="4952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75" bottom="0.75" header="0.3" footer="0.3"/>
  <pageSetup paperSize="9" orientation="portrait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N22" sqref="N22"/>
    </sheetView>
  </sheetViews>
  <sheetFormatPr defaultRowHeight="14.25"/>
  <cols>
    <col min="1" max="1" width="5.125" customWidth="1"/>
    <col min="2" max="2" width="9.2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4.75" customWidth="1"/>
    <col min="8" max="8" width="5.375" style="1708" customWidth="1"/>
    <col min="9" max="9" width="7.375" customWidth="1"/>
    <col min="10" max="10" width="5" hidden="1" customWidth="1"/>
    <col min="11" max="11" width="12.625" style="1709" customWidth="1"/>
    <col min="12" max="12" width="7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773" t="s">
        <v>1013</v>
      </c>
      <c r="B3" s="4773"/>
      <c r="C3" s="4773"/>
      <c r="D3" s="4773"/>
      <c r="E3" s="4773"/>
      <c r="F3" s="4773"/>
      <c r="G3" s="4773"/>
      <c r="H3" s="1705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B5" s="4953" t="s">
        <v>1014</v>
      </c>
      <c r="C5" s="4953"/>
      <c r="D5" s="4953"/>
      <c r="E5" s="4953"/>
      <c r="F5" s="4953"/>
      <c r="G5" s="4953"/>
      <c r="H5" s="4953"/>
      <c r="I5" s="4953"/>
      <c r="J5" s="4953"/>
      <c r="K5" s="4953"/>
    </row>
    <row r="6" spans="1:12">
      <c r="A6" s="1712"/>
      <c r="B6" s="4954" t="s">
        <v>1570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1714"/>
      <c r="E7" s="1714"/>
      <c r="G7" s="1712"/>
      <c r="H7" s="1715"/>
      <c r="I7" s="1712"/>
      <c r="J7" s="1712"/>
      <c r="K7" s="1716"/>
      <c r="L7" s="1712"/>
    </row>
    <row r="8" spans="1:12">
      <c r="A8" s="1712"/>
      <c r="B8" s="1713" t="s">
        <v>1258</v>
      </c>
      <c r="C8" s="1713"/>
      <c r="D8" s="1714"/>
      <c r="E8" s="1712"/>
      <c r="G8" s="1712"/>
      <c r="H8" s="1717" t="s">
        <v>1016</v>
      </c>
      <c r="I8" s="1714"/>
      <c r="J8" s="1714"/>
      <c r="K8" s="1716"/>
      <c r="L8" s="1712"/>
    </row>
    <row r="9" spans="1:12">
      <c r="A9" s="1712"/>
      <c r="B9" s="1713" t="s">
        <v>1032</v>
      </c>
      <c r="C9" s="1713"/>
      <c r="D9" s="1714"/>
      <c r="E9" s="1712"/>
      <c r="G9" s="1712"/>
      <c r="H9" s="1717" t="s">
        <v>1017</v>
      </c>
      <c r="I9" s="1714"/>
      <c r="J9" s="1714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171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171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18" t="s">
        <v>1023</v>
      </c>
      <c r="K12" s="1718" t="s">
        <v>1024</v>
      </c>
      <c r="L12" s="1721" t="s">
        <v>9</v>
      </c>
    </row>
    <row r="13" spans="1:12" ht="15.75" customHeight="1">
      <c r="A13" s="1722">
        <v>1</v>
      </c>
      <c r="B13" s="1720">
        <v>2</v>
      </c>
      <c r="C13" s="1720">
        <v>3</v>
      </c>
      <c r="D13" s="1722">
        <v>4</v>
      </c>
      <c r="E13" s="1722">
        <v>5</v>
      </c>
      <c r="F13" s="1722">
        <v>6</v>
      </c>
      <c r="G13" s="1722">
        <v>7</v>
      </c>
      <c r="H13" s="1723" t="s">
        <v>1201</v>
      </c>
      <c r="I13" s="1722">
        <v>9</v>
      </c>
      <c r="J13" s="1722">
        <v>9</v>
      </c>
      <c r="K13" s="1722" t="s">
        <v>1026</v>
      </c>
      <c r="L13" s="1724"/>
    </row>
    <row r="14" spans="1:12" ht="12" customHeight="1">
      <c r="A14" s="1725">
        <v>1</v>
      </c>
      <c r="B14" s="1726">
        <f>'Chấm công công nhân'!L12</f>
        <v>0</v>
      </c>
      <c r="C14" s="1720" t="s">
        <v>1571</v>
      </c>
      <c r="D14" s="4729" t="s">
        <v>204</v>
      </c>
      <c r="E14" s="1722" t="s">
        <v>1027</v>
      </c>
      <c r="F14" s="1722"/>
      <c r="G14" s="1723">
        <v>1.25</v>
      </c>
      <c r="H14" s="1723">
        <f>F14/G14</f>
        <v>0</v>
      </c>
      <c r="I14" s="1727">
        <v>25000</v>
      </c>
      <c r="J14" s="1722"/>
      <c r="K14" s="1727">
        <f>I14*H14</f>
        <v>0</v>
      </c>
      <c r="L14" s="1724"/>
    </row>
    <row r="15" spans="1:12" ht="12" customHeight="1">
      <c r="A15" s="1725">
        <v>2</v>
      </c>
      <c r="B15" s="1726" t="str">
        <f>'Chấm công công nhân'!L13</f>
        <v>Vắt Đi</v>
      </c>
      <c r="C15" s="1720" t="s">
        <v>1571</v>
      </c>
      <c r="D15" s="4961"/>
      <c r="E15" s="1722" t="s">
        <v>1027</v>
      </c>
      <c r="F15" s="1722"/>
      <c r="G15" s="1723">
        <v>1.25</v>
      </c>
      <c r="H15" s="1723">
        <f t="shared" ref="H15:H49" si="0">F15/G15</f>
        <v>0</v>
      </c>
      <c r="I15" s="1727">
        <v>25000</v>
      </c>
      <c r="J15" s="1725"/>
      <c r="K15" s="1727">
        <f t="shared" ref="K15:K49" si="1">I15*H15</f>
        <v>0</v>
      </c>
      <c r="L15" s="1724"/>
    </row>
    <row r="16" spans="1:12" ht="12" customHeight="1">
      <c r="A16" s="1725">
        <v>3</v>
      </c>
      <c r="B16" s="1726" t="str">
        <f>'Chấm công công nhân'!L14</f>
        <v>Mẹ Leo</v>
      </c>
      <c r="C16" s="1720" t="s">
        <v>1571</v>
      </c>
      <c r="D16" s="4961"/>
      <c r="E16" s="1722" t="s">
        <v>1027</v>
      </c>
      <c r="F16" s="1722"/>
      <c r="G16" s="1723">
        <v>1.25</v>
      </c>
      <c r="H16" s="1723">
        <f t="shared" si="0"/>
        <v>0</v>
      </c>
      <c r="I16" s="1727">
        <v>25000</v>
      </c>
      <c r="J16" s="1725"/>
      <c r="K16" s="1727">
        <f t="shared" si="1"/>
        <v>0</v>
      </c>
      <c r="L16" s="1724"/>
    </row>
    <row r="17" spans="1:12" ht="12" customHeight="1">
      <c r="A17" s="1725">
        <v>4</v>
      </c>
      <c r="B17" s="1726" t="str">
        <f>'Chấm công công nhân'!L15</f>
        <v xml:space="preserve">Thảo Ken </v>
      </c>
      <c r="C17" s="1720" t="s">
        <v>1571</v>
      </c>
      <c r="D17" s="4961"/>
      <c r="E17" s="1722" t="s">
        <v>1027</v>
      </c>
      <c r="F17" s="1722"/>
      <c r="G17" s="1723">
        <v>1.25</v>
      </c>
      <c r="H17" s="1723">
        <f t="shared" si="0"/>
        <v>0</v>
      </c>
      <c r="I17" s="1727">
        <v>25000</v>
      </c>
      <c r="J17" s="1725"/>
      <c r="K17" s="1727">
        <f t="shared" si="1"/>
        <v>0</v>
      </c>
      <c r="L17" s="1724"/>
    </row>
    <row r="18" spans="1:12" ht="12" customHeight="1">
      <c r="A18" s="1725">
        <v>5</v>
      </c>
      <c r="B18" s="1726" t="str">
        <f>'Chấm công công nhân'!L16</f>
        <v>Thảo Phút</v>
      </c>
      <c r="C18" s="1720" t="s">
        <v>1571</v>
      </c>
      <c r="D18" s="4961"/>
      <c r="E18" s="1722" t="s">
        <v>1027</v>
      </c>
      <c r="F18" s="1722"/>
      <c r="G18" s="1723">
        <v>1.25</v>
      </c>
      <c r="H18" s="1723">
        <f t="shared" si="0"/>
        <v>0</v>
      </c>
      <c r="I18" s="1727">
        <v>25000</v>
      </c>
      <c r="J18" s="1722"/>
      <c r="K18" s="1727">
        <f t="shared" si="1"/>
        <v>0</v>
      </c>
      <c r="L18" s="1724"/>
    </row>
    <row r="19" spans="1:12" ht="12" customHeight="1">
      <c r="A19" s="1725">
        <v>6</v>
      </c>
      <c r="B19" s="1726" t="str">
        <f>'Chấm công công nhân'!L17</f>
        <v>Thảo Mằn</v>
      </c>
      <c r="C19" s="1720" t="s">
        <v>1571</v>
      </c>
      <c r="D19" s="4961"/>
      <c r="E19" s="1722" t="s">
        <v>1027</v>
      </c>
      <c r="F19" s="1722"/>
      <c r="G19" s="1723">
        <v>1.25</v>
      </c>
      <c r="H19" s="1723">
        <f t="shared" si="0"/>
        <v>0</v>
      </c>
      <c r="I19" s="1727">
        <v>25000</v>
      </c>
      <c r="J19" s="1722"/>
      <c r="K19" s="1727">
        <f t="shared" si="1"/>
        <v>0</v>
      </c>
      <c r="L19" s="1724"/>
    </row>
    <row r="20" spans="1:12" ht="12" customHeight="1">
      <c r="A20" s="1725">
        <v>7</v>
      </c>
      <c r="B20" s="1726" t="str">
        <f>'Chấm công công nhân'!L18</f>
        <v>Nàng Chay</v>
      </c>
      <c r="C20" s="1720" t="s">
        <v>1571</v>
      </c>
      <c r="D20" s="4961"/>
      <c r="E20" s="1722" t="s">
        <v>1027</v>
      </c>
      <c r="F20" s="1722"/>
      <c r="G20" s="1723">
        <v>1.25</v>
      </c>
      <c r="H20" s="1723">
        <f t="shared" si="0"/>
        <v>0</v>
      </c>
      <c r="I20" s="1727">
        <v>25000</v>
      </c>
      <c r="J20" s="1725"/>
      <c r="K20" s="1727">
        <f t="shared" si="1"/>
        <v>0</v>
      </c>
      <c r="L20" s="1724"/>
    </row>
    <row r="21" spans="1:12" ht="12" customHeight="1">
      <c r="A21" s="1725">
        <v>8</v>
      </c>
      <c r="B21" s="1726" t="str">
        <f>'Chấm công công nhân'!L19</f>
        <v>Thảo Sắp</v>
      </c>
      <c r="C21" s="1720" t="s">
        <v>1571</v>
      </c>
      <c r="D21" s="4961"/>
      <c r="E21" s="1722" t="s">
        <v>1027</v>
      </c>
      <c r="F21" s="1722"/>
      <c r="G21" s="1723">
        <v>1.25</v>
      </c>
      <c r="H21" s="1723">
        <f t="shared" si="0"/>
        <v>0</v>
      </c>
      <c r="I21" s="1727">
        <v>25000</v>
      </c>
      <c r="J21" s="1725"/>
      <c r="K21" s="1727">
        <f t="shared" si="1"/>
        <v>0</v>
      </c>
      <c r="L21" s="1724"/>
    </row>
    <row r="22" spans="1:12" ht="12" customHeight="1">
      <c r="A22" s="1725">
        <v>9</v>
      </c>
      <c r="B22" s="1726" t="str">
        <f>'Chấm công công nhân'!L20</f>
        <v>Thảo Say</v>
      </c>
      <c r="C22" s="1720" t="s">
        <v>1571</v>
      </c>
      <c r="D22" s="4961"/>
      <c r="E22" s="1722" t="s">
        <v>1027</v>
      </c>
      <c r="F22" s="1722"/>
      <c r="G22" s="1723">
        <v>1.25</v>
      </c>
      <c r="H22" s="1723">
        <f t="shared" si="0"/>
        <v>0</v>
      </c>
      <c r="I22" s="1727">
        <v>25000</v>
      </c>
      <c r="J22" s="1725"/>
      <c r="K22" s="1727">
        <f t="shared" si="1"/>
        <v>0</v>
      </c>
      <c r="L22" s="1724"/>
    </row>
    <row r="23" spans="1:12" ht="12" customHeight="1">
      <c r="A23" s="1725">
        <v>10</v>
      </c>
      <c r="B23" s="1726" t="str">
        <f>'Chấm công công nhân'!L21</f>
        <v>Thảo Cợt</v>
      </c>
      <c r="C23" s="1720" t="s">
        <v>1571</v>
      </c>
      <c r="D23" s="4961"/>
      <c r="E23" s="1722" t="s">
        <v>1027</v>
      </c>
      <c r="F23" s="1722"/>
      <c r="G23" s="1723">
        <v>1.25</v>
      </c>
      <c r="H23" s="1723">
        <f t="shared" si="0"/>
        <v>0</v>
      </c>
      <c r="I23" s="1727">
        <v>25000</v>
      </c>
      <c r="J23" s="1722"/>
      <c r="K23" s="1727">
        <f t="shared" si="1"/>
        <v>0</v>
      </c>
      <c r="L23" s="1724"/>
    </row>
    <row r="24" spans="1:12" ht="12" customHeight="1">
      <c r="A24" s="1725">
        <v>11</v>
      </c>
      <c r="B24" s="1726" t="str">
        <f>'Chấm công công nhân'!L22</f>
        <v>Thảo Hôm</v>
      </c>
      <c r="C24" s="1720" t="s">
        <v>1571</v>
      </c>
      <c r="D24" s="4961"/>
      <c r="E24" s="1722" t="s">
        <v>1027</v>
      </c>
      <c r="F24" s="1722"/>
      <c r="G24" s="1723">
        <v>1.25</v>
      </c>
      <c r="H24" s="1723">
        <f t="shared" si="0"/>
        <v>0</v>
      </c>
      <c r="I24" s="1727">
        <v>25000</v>
      </c>
      <c r="J24" s="1722"/>
      <c r="K24" s="1727">
        <f t="shared" si="1"/>
        <v>0</v>
      </c>
      <c r="L24" s="1724"/>
    </row>
    <row r="25" spans="1:12" ht="12" customHeight="1">
      <c r="A25" s="1725">
        <v>12</v>
      </c>
      <c r="B25" s="1726" t="str">
        <f>'Chấm công công nhân'!L23</f>
        <v xml:space="preserve">Thảo Khăm  </v>
      </c>
      <c r="C25" s="1720" t="s">
        <v>1571</v>
      </c>
      <c r="D25" s="4961"/>
      <c r="E25" s="1722" t="s">
        <v>1027</v>
      </c>
      <c r="F25" s="1722"/>
      <c r="G25" s="1723">
        <v>1.25</v>
      </c>
      <c r="H25" s="1723">
        <f t="shared" si="0"/>
        <v>0</v>
      </c>
      <c r="I25" s="1727">
        <v>25000</v>
      </c>
      <c r="J25" s="1725"/>
      <c r="K25" s="1727">
        <f t="shared" si="1"/>
        <v>0</v>
      </c>
      <c r="L25" s="1724"/>
    </row>
    <row r="26" spans="1:12" ht="12" customHeight="1">
      <c r="A26" s="1725">
        <v>13</v>
      </c>
      <c r="B26" s="1726" t="str">
        <f>'Chấm công công nhân'!L24</f>
        <v>Thảo Hăm</v>
      </c>
      <c r="C26" s="1720" t="s">
        <v>1571</v>
      </c>
      <c r="D26" s="4961"/>
      <c r="E26" s="1722" t="s">
        <v>1027</v>
      </c>
      <c r="F26" s="1722"/>
      <c r="G26" s="1723">
        <v>1.25</v>
      </c>
      <c r="H26" s="1723">
        <f t="shared" si="0"/>
        <v>0</v>
      </c>
      <c r="I26" s="1727">
        <v>25000</v>
      </c>
      <c r="J26" s="1725"/>
      <c r="K26" s="1727">
        <f t="shared" si="1"/>
        <v>0</v>
      </c>
      <c r="L26" s="1724"/>
    </row>
    <row r="27" spans="1:12" ht="12" customHeight="1">
      <c r="A27" s="1725">
        <v>14</v>
      </c>
      <c r="B27" s="1726" t="str">
        <f>'Chấm công công nhân'!L25</f>
        <v>Nang Lon</v>
      </c>
      <c r="C27" s="1720" t="s">
        <v>1571</v>
      </c>
      <c r="D27" s="4961"/>
      <c r="E27" s="1722" t="s">
        <v>1027</v>
      </c>
      <c r="F27" s="1722"/>
      <c r="G27" s="1723">
        <v>1.25</v>
      </c>
      <c r="H27" s="1723">
        <f t="shared" si="0"/>
        <v>0</v>
      </c>
      <c r="I27" s="1727">
        <v>25000</v>
      </c>
      <c r="J27" s="1725"/>
      <c r="K27" s="1727">
        <f t="shared" si="1"/>
        <v>0</v>
      </c>
      <c r="L27" s="1724"/>
    </row>
    <row r="28" spans="1:12" ht="12" customHeight="1">
      <c r="A28" s="1725">
        <v>15</v>
      </c>
      <c r="B28" s="1726" t="str">
        <f>'Chấm công công nhân'!L26</f>
        <v>Thảo Pheng</v>
      </c>
      <c r="C28" s="1720" t="s">
        <v>1571</v>
      </c>
      <c r="D28" s="4961"/>
      <c r="E28" s="1722" t="s">
        <v>1027</v>
      </c>
      <c r="F28" s="1722"/>
      <c r="G28" s="1723">
        <v>1.25</v>
      </c>
      <c r="H28" s="1723">
        <f t="shared" si="0"/>
        <v>0</v>
      </c>
      <c r="I28" s="1727">
        <v>25000</v>
      </c>
      <c r="J28" s="1722"/>
      <c r="K28" s="1727">
        <f t="shared" si="1"/>
        <v>0</v>
      </c>
      <c r="L28" s="1724"/>
    </row>
    <row r="29" spans="1:12" ht="12" customHeight="1">
      <c r="A29" s="1725">
        <v>16</v>
      </c>
      <c r="B29" s="1726" t="str">
        <f>'Chấm công công nhân'!L27</f>
        <v>Thảo kok</v>
      </c>
      <c r="C29" s="1720" t="s">
        <v>1571</v>
      </c>
      <c r="D29" s="4961"/>
      <c r="E29" s="1722" t="s">
        <v>1027</v>
      </c>
      <c r="F29" s="1722"/>
      <c r="G29" s="1723">
        <v>1.25</v>
      </c>
      <c r="H29" s="1723">
        <f t="shared" si="0"/>
        <v>0</v>
      </c>
      <c r="I29" s="1727">
        <v>25000</v>
      </c>
      <c r="J29" s="1722"/>
      <c r="K29" s="1727">
        <f t="shared" si="1"/>
        <v>0</v>
      </c>
      <c r="L29" s="1724"/>
    </row>
    <row r="30" spans="1:12" ht="12" customHeight="1">
      <c r="A30" s="1725">
        <v>17</v>
      </c>
      <c r="B30" s="1726" t="str">
        <f>'Chấm công công nhân'!L28</f>
        <v>Nàng Sút Chay</v>
      </c>
      <c r="C30" s="1720" t="s">
        <v>1571</v>
      </c>
      <c r="D30" s="4961"/>
      <c r="E30" s="1722" t="s">
        <v>1027</v>
      </c>
      <c r="F30" s="1722"/>
      <c r="G30" s="1723">
        <v>1.25</v>
      </c>
      <c r="H30" s="1723">
        <f t="shared" si="0"/>
        <v>0</v>
      </c>
      <c r="I30" s="1727">
        <v>25000</v>
      </c>
      <c r="J30" s="1725"/>
      <c r="K30" s="1727">
        <f t="shared" si="1"/>
        <v>0</v>
      </c>
      <c r="L30" s="1724"/>
    </row>
    <row r="31" spans="1:12" ht="12" customHeight="1">
      <c r="A31" s="1725">
        <v>18</v>
      </c>
      <c r="B31" s="1726" t="str">
        <f>'Chấm công công nhân'!L29</f>
        <v>Thảo Khăm Phay</v>
      </c>
      <c r="C31" s="1720" t="s">
        <v>1571</v>
      </c>
      <c r="D31" s="4961"/>
      <c r="E31" s="1722" t="s">
        <v>1027</v>
      </c>
      <c r="F31" s="1722"/>
      <c r="G31" s="1723">
        <v>1.25</v>
      </c>
      <c r="H31" s="1723">
        <f t="shared" si="0"/>
        <v>0</v>
      </c>
      <c r="I31" s="1727">
        <v>25000</v>
      </c>
      <c r="J31" s="1725"/>
      <c r="K31" s="1727">
        <f t="shared" si="1"/>
        <v>0</v>
      </c>
      <c r="L31" s="1724"/>
    </row>
    <row r="32" spans="1:12" ht="12" customHeight="1">
      <c r="A32" s="1725">
        <v>19</v>
      </c>
      <c r="B32" s="1726" t="str">
        <f>'Chấm công công nhân'!L30</f>
        <v>Thảo Sớm</v>
      </c>
      <c r="C32" s="1720" t="s">
        <v>1571</v>
      </c>
      <c r="D32" s="4961"/>
      <c r="E32" s="1722" t="s">
        <v>1027</v>
      </c>
      <c r="F32" s="1722"/>
      <c r="G32" s="1723">
        <v>1.25</v>
      </c>
      <c r="H32" s="1723">
        <f t="shared" si="0"/>
        <v>0</v>
      </c>
      <c r="I32" s="1727">
        <v>25000</v>
      </c>
      <c r="J32" s="1725"/>
      <c r="K32" s="1727">
        <f t="shared" si="1"/>
        <v>0</v>
      </c>
      <c r="L32" s="1724"/>
    </row>
    <row r="33" spans="1:12" ht="12" customHeight="1">
      <c r="A33" s="1725">
        <v>20</v>
      </c>
      <c r="B33" s="1726" t="str">
        <f>'Chấm công công nhân'!L31</f>
        <v>Pha Xúc</v>
      </c>
      <c r="C33" s="1720" t="s">
        <v>1571</v>
      </c>
      <c r="D33" s="4961"/>
      <c r="E33" s="1722" t="s">
        <v>1027</v>
      </c>
      <c r="F33" s="1722"/>
      <c r="G33" s="1723">
        <v>1.25</v>
      </c>
      <c r="H33" s="1723">
        <f t="shared" si="0"/>
        <v>0</v>
      </c>
      <c r="I33" s="1727">
        <v>25000</v>
      </c>
      <c r="J33" s="1722"/>
      <c r="K33" s="1727">
        <f t="shared" si="1"/>
        <v>0</v>
      </c>
      <c r="L33" s="1724"/>
    </row>
    <row r="34" spans="1:12" ht="12" customHeight="1">
      <c r="A34" s="1725">
        <v>21</v>
      </c>
      <c r="B34" s="1726" t="str">
        <f>'Chấm công công nhân'!L32</f>
        <v>Nàng Phon</v>
      </c>
      <c r="C34" s="1720" t="s">
        <v>1571</v>
      </c>
      <c r="D34" s="4961"/>
      <c r="E34" s="1722" t="s">
        <v>1027</v>
      </c>
      <c r="F34" s="1722"/>
      <c r="G34" s="1723">
        <v>1.25</v>
      </c>
      <c r="H34" s="1723">
        <f t="shared" si="0"/>
        <v>0</v>
      </c>
      <c r="I34" s="1727">
        <v>25000</v>
      </c>
      <c r="J34" s="1722"/>
      <c r="K34" s="1727">
        <f t="shared" si="1"/>
        <v>0</v>
      </c>
      <c r="L34" s="1724"/>
    </row>
    <row r="35" spans="1:12" ht="12" customHeight="1">
      <c r="A35" s="1725">
        <v>22</v>
      </c>
      <c r="B35" s="1726" t="str">
        <f>'Chấm công công nhân'!L33</f>
        <v>Thảo Chăn</v>
      </c>
      <c r="C35" s="1720" t="s">
        <v>1571</v>
      </c>
      <c r="D35" s="4961"/>
      <c r="E35" s="1722" t="s">
        <v>1027</v>
      </c>
      <c r="F35" s="1722"/>
      <c r="G35" s="1723">
        <v>1.25</v>
      </c>
      <c r="H35" s="1723">
        <f t="shared" si="0"/>
        <v>0</v>
      </c>
      <c r="I35" s="1727">
        <v>25000</v>
      </c>
      <c r="J35" s="1725"/>
      <c r="K35" s="1727">
        <f t="shared" si="1"/>
        <v>0</v>
      </c>
      <c r="L35" s="1724"/>
    </row>
    <row r="36" spans="1:12" ht="12" customHeight="1">
      <c r="A36" s="1725">
        <v>23</v>
      </c>
      <c r="B36" s="1726" t="str">
        <f>'Chấm công công nhân'!L34</f>
        <v>Thong La</v>
      </c>
      <c r="C36" s="1720" t="s">
        <v>1571</v>
      </c>
      <c r="D36" s="4961"/>
      <c r="E36" s="1722" t="s">
        <v>1027</v>
      </c>
      <c r="F36" s="1722"/>
      <c r="G36" s="1723">
        <v>1.25</v>
      </c>
      <c r="H36" s="1723">
        <f t="shared" si="0"/>
        <v>0</v>
      </c>
      <c r="I36" s="1727">
        <v>25000</v>
      </c>
      <c r="J36" s="1725"/>
      <c r="K36" s="1727">
        <f t="shared" si="1"/>
        <v>0</v>
      </c>
      <c r="L36" s="1724"/>
    </row>
    <row r="37" spans="1:12" ht="12" customHeight="1">
      <c r="A37" s="1725">
        <v>24</v>
      </c>
      <c r="B37" s="1726" t="str">
        <f>'Chấm công công nhân'!L35</f>
        <v>Thảo Cum Pha</v>
      </c>
      <c r="C37" s="1720" t="s">
        <v>1571</v>
      </c>
      <c r="D37" s="4961"/>
      <c r="E37" s="1722" t="s">
        <v>1027</v>
      </c>
      <c r="F37" s="1722"/>
      <c r="G37" s="1723">
        <v>1.25</v>
      </c>
      <c r="H37" s="1723">
        <f t="shared" si="0"/>
        <v>0</v>
      </c>
      <c r="I37" s="1727">
        <v>25000</v>
      </c>
      <c r="J37" s="1725"/>
      <c r="K37" s="1727">
        <f t="shared" si="1"/>
        <v>0</v>
      </c>
      <c r="L37" s="1724"/>
    </row>
    <row r="38" spans="1:12" ht="12" customHeight="1">
      <c r="A38" s="1725">
        <v>25</v>
      </c>
      <c r="B38" s="1726" t="str">
        <f>'Chấm công công nhân'!L36</f>
        <v>T Ô Vên</v>
      </c>
      <c r="C38" s="1720" t="s">
        <v>1571</v>
      </c>
      <c r="D38" s="4961"/>
      <c r="E38" s="1722" t="s">
        <v>1027</v>
      </c>
      <c r="F38" s="1722"/>
      <c r="G38" s="1723">
        <v>1.25</v>
      </c>
      <c r="H38" s="1723">
        <f t="shared" si="0"/>
        <v>0</v>
      </c>
      <c r="I38" s="1727">
        <v>25000</v>
      </c>
      <c r="J38" s="1722"/>
      <c r="K38" s="1727">
        <f t="shared" si="1"/>
        <v>0</v>
      </c>
      <c r="L38" s="1724"/>
    </row>
    <row r="39" spans="1:12" ht="12" customHeight="1">
      <c r="A39" s="1725">
        <v>26</v>
      </c>
      <c r="B39" s="1726" t="str">
        <f>'Chấm công công nhân'!L37</f>
        <v>Nàng Lam</v>
      </c>
      <c r="C39" s="1720" t="s">
        <v>1571</v>
      </c>
      <c r="D39" s="4961"/>
      <c r="E39" s="1722" t="s">
        <v>1027</v>
      </c>
      <c r="F39" s="1722"/>
      <c r="G39" s="1723">
        <v>1.25</v>
      </c>
      <c r="H39" s="1723">
        <f t="shared" si="0"/>
        <v>0</v>
      </c>
      <c r="I39" s="1727">
        <v>25000</v>
      </c>
      <c r="J39" s="1722"/>
      <c r="K39" s="1727">
        <f t="shared" si="1"/>
        <v>0</v>
      </c>
      <c r="L39" s="1724"/>
    </row>
    <row r="40" spans="1:12" ht="12" customHeight="1">
      <c r="A40" s="1725">
        <v>27</v>
      </c>
      <c r="B40" s="1726" t="str">
        <f>'Chấm công công nhân'!L38</f>
        <v>Nàng Hđao</v>
      </c>
      <c r="C40" s="1720" t="s">
        <v>1571</v>
      </c>
      <c r="D40" s="4961"/>
      <c r="E40" s="1722" t="s">
        <v>1027</v>
      </c>
      <c r="F40" s="1722"/>
      <c r="G40" s="1723">
        <v>1.25</v>
      </c>
      <c r="H40" s="1723">
        <f t="shared" si="0"/>
        <v>0</v>
      </c>
      <c r="I40" s="1727">
        <v>25000</v>
      </c>
      <c r="J40" s="1725"/>
      <c r="K40" s="1727">
        <f t="shared" si="1"/>
        <v>0</v>
      </c>
      <c r="L40" s="1724"/>
    </row>
    <row r="41" spans="1:12" ht="12" customHeight="1">
      <c r="A41" s="1725">
        <v>28</v>
      </c>
      <c r="B41" s="1726" t="str">
        <f>'Chấm công công nhân'!L39</f>
        <v>Thảo Tong</v>
      </c>
      <c r="C41" s="1720" t="s">
        <v>1571</v>
      </c>
      <c r="D41" s="4961"/>
      <c r="E41" s="1722" t="s">
        <v>1027</v>
      </c>
      <c r="F41" s="1722"/>
      <c r="G41" s="1723">
        <v>1.25</v>
      </c>
      <c r="H41" s="1723">
        <f t="shared" si="0"/>
        <v>0</v>
      </c>
      <c r="I41" s="1727">
        <v>25000</v>
      </c>
      <c r="J41" s="1725"/>
      <c r="K41" s="1727">
        <f t="shared" si="1"/>
        <v>0</v>
      </c>
      <c r="L41" s="1724"/>
    </row>
    <row r="42" spans="1:12" ht="12" customHeight="1">
      <c r="A42" s="1725">
        <v>29</v>
      </c>
      <c r="B42" s="1726" t="str">
        <f>'Chấm công công nhân'!L40</f>
        <v>Thảo Khốc</v>
      </c>
      <c r="C42" s="1720" t="s">
        <v>1571</v>
      </c>
      <c r="D42" s="4961"/>
      <c r="E42" s="1722" t="s">
        <v>1027</v>
      </c>
      <c r="F42" s="1722"/>
      <c r="G42" s="1723">
        <v>1.25</v>
      </c>
      <c r="H42" s="1723">
        <f t="shared" si="0"/>
        <v>0</v>
      </c>
      <c r="I42" s="1727">
        <v>25000</v>
      </c>
      <c r="J42" s="1725"/>
      <c r="K42" s="1727">
        <f t="shared" si="1"/>
        <v>0</v>
      </c>
      <c r="L42" s="1724"/>
    </row>
    <row r="43" spans="1:12" ht="13.5" customHeight="1">
      <c r="A43" s="1725">
        <v>30</v>
      </c>
      <c r="B43" s="1726" t="str">
        <f>'Chấm công công nhân'!L41</f>
        <v>Thảo Sợt</v>
      </c>
      <c r="C43" s="1720" t="s">
        <v>1571</v>
      </c>
      <c r="D43" s="4961"/>
      <c r="E43" s="1722" t="s">
        <v>1027</v>
      </c>
      <c r="F43" s="1722"/>
      <c r="G43" s="1723">
        <v>1.25</v>
      </c>
      <c r="H43" s="1723">
        <f t="shared" si="0"/>
        <v>0</v>
      </c>
      <c r="I43" s="1727">
        <v>25000</v>
      </c>
      <c r="J43" s="1722"/>
      <c r="K43" s="1727">
        <f t="shared" si="1"/>
        <v>0</v>
      </c>
      <c r="L43" s="1724"/>
    </row>
    <row r="44" spans="1:12" ht="12" customHeight="1">
      <c r="A44" s="1725">
        <v>31</v>
      </c>
      <c r="B44" s="1726" t="str">
        <f>'Chấm công công nhân'!L42</f>
        <v>Thảo Văn</v>
      </c>
      <c r="C44" s="1720" t="s">
        <v>1571</v>
      </c>
      <c r="D44" s="4961"/>
      <c r="E44" s="1722" t="s">
        <v>1027</v>
      </c>
      <c r="F44" s="1722"/>
      <c r="G44" s="1723">
        <v>1.25</v>
      </c>
      <c r="H44" s="1723">
        <f t="shared" si="0"/>
        <v>0</v>
      </c>
      <c r="I44" s="1727">
        <v>25000</v>
      </c>
      <c r="J44" s="1722"/>
      <c r="K44" s="1727">
        <f t="shared" si="1"/>
        <v>0</v>
      </c>
      <c r="L44" s="1724"/>
    </row>
    <row r="45" spans="1:12" ht="12" customHeight="1">
      <c r="A45" s="1725">
        <v>32</v>
      </c>
      <c r="B45" s="1726" t="str">
        <f>'Chấm công công nhân'!L43</f>
        <v>Nàng Túc</v>
      </c>
      <c r="C45" s="1720" t="s">
        <v>1571</v>
      </c>
      <c r="D45" s="4961"/>
      <c r="E45" s="1722" t="s">
        <v>1027</v>
      </c>
      <c r="F45" s="1722"/>
      <c r="G45" s="1723">
        <v>1.25</v>
      </c>
      <c r="H45" s="1723">
        <f t="shared" si="0"/>
        <v>0</v>
      </c>
      <c r="I45" s="1727">
        <v>25000</v>
      </c>
      <c r="J45" s="1722"/>
      <c r="K45" s="1727">
        <f t="shared" si="1"/>
        <v>0</v>
      </c>
      <c r="L45" s="1724"/>
    </row>
    <row r="46" spans="1:12" ht="12" customHeight="1">
      <c r="A46" s="1725">
        <v>33</v>
      </c>
      <c r="B46" s="1726" t="str">
        <f>'Chấm công công nhân'!L44</f>
        <v>Nàng Chon</v>
      </c>
      <c r="C46" s="1720" t="s">
        <v>1571</v>
      </c>
      <c r="D46" s="4961"/>
      <c r="E46" s="1722" t="s">
        <v>1027</v>
      </c>
      <c r="F46" s="1722"/>
      <c r="G46" s="1723">
        <v>1.25</v>
      </c>
      <c r="H46" s="1723">
        <f t="shared" si="0"/>
        <v>0</v>
      </c>
      <c r="I46" s="1727">
        <v>25000</v>
      </c>
      <c r="J46" s="1722"/>
      <c r="K46" s="1727">
        <f t="shared" si="1"/>
        <v>0</v>
      </c>
      <c r="L46" s="1724"/>
    </row>
    <row r="47" spans="1:12" ht="12" customHeight="1">
      <c r="A47" s="1725">
        <v>34</v>
      </c>
      <c r="B47" s="1726" t="str">
        <f>'Chấm công công nhân'!L45</f>
        <v>Thảo Hơ Phơ</v>
      </c>
      <c r="C47" s="1720" t="s">
        <v>1571</v>
      </c>
      <c r="D47" s="4961"/>
      <c r="E47" s="1722" t="s">
        <v>1027</v>
      </c>
      <c r="F47" s="1722"/>
      <c r="G47" s="1723">
        <v>1.25</v>
      </c>
      <c r="H47" s="1723">
        <f t="shared" si="0"/>
        <v>0</v>
      </c>
      <c r="I47" s="1727">
        <v>25000</v>
      </c>
      <c r="J47" s="1722"/>
      <c r="K47" s="1727">
        <f t="shared" si="1"/>
        <v>0</v>
      </c>
      <c r="L47" s="1724"/>
    </row>
    <row r="48" spans="1:12" ht="12" customHeight="1">
      <c r="A48" s="1725">
        <v>35</v>
      </c>
      <c r="B48" s="1726" t="str">
        <f>'Chấm công công nhân'!L46</f>
        <v>Thảo Phét</v>
      </c>
      <c r="C48" s="1720" t="s">
        <v>1571</v>
      </c>
      <c r="D48" s="4961"/>
      <c r="E48" s="1722" t="s">
        <v>1027</v>
      </c>
      <c r="F48" s="1722"/>
      <c r="G48" s="1723">
        <v>1.25</v>
      </c>
      <c r="H48" s="1723">
        <f t="shared" si="0"/>
        <v>0</v>
      </c>
      <c r="I48" s="1727">
        <v>25000</v>
      </c>
      <c r="J48" s="1722"/>
      <c r="K48" s="1727">
        <f t="shared" si="1"/>
        <v>0</v>
      </c>
      <c r="L48" s="1724"/>
    </row>
    <row r="49" spans="1:12" ht="12" customHeight="1">
      <c r="A49" s="1725">
        <v>36</v>
      </c>
      <c r="B49" s="1726" t="str">
        <f>'Chấm công công nhân'!L47</f>
        <v>Hăn</v>
      </c>
      <c r="C49" s="1720" t="s">
        <v>1571</v>
      </c>
      <c r="D49" s="4961"/>
      <c r="E49" s="1722" t="s">
        <v>1027</v>
      </c>
      <c r="F49" s="1722"/>
      <c r="G49" s="1723">
        <v>1.25</v>
      </c>
      <c r="H49" s="1723">
        <f t="shared" si="0"/>
        <v>0</v>
      </c>
      <c r="I49" s="1727">
        <v>25000</v>
      </c>
      <c r="J49" s="1722"/>
      <c r="K49" s="1727">
        <f t="shared" si="1"/>
        <v>0</v>
      </c>
      <c r="L49" s="1724"/>
    </row>
    <row r="50" spans="1:12">
      <c r="A50" s="4955"/>
      <c r="B50" s="4955"/>
      <c r="C50" s="4955"/>
      <c r="D50" s="4955"/>
      <c r="E50" s="1724"/>
      <c r="F50" s="1728">
        <f>SUM(F14:F49)</f>
        <v>0</v>
      </c>
      <c r="G50" s="1728"/>
      <c r="H50" s="3056">
        <f>SUM(H14:H49)</f>
        <v>0</v>
      </c>
      <c r="I50" s="1728"/>
      <c r="J50" s="1728">
        <f>SUM(J14:J49)</f>
        <v>0</v>
      </c>
      <c r="K50" s="1730">
        <f>SUM(K14:K49)</f>
        <v>0</v>
      </c>
      <c r="L50" s="1728"/>
    </row>
    <row r="51" spans="1:12" ht="15.75">
      <c r="A51" s="1731" t="s">
        <v>1028</v>
      </c>
      <c r="B51" s="1732"/>
    </row>
    <row r="52" spans="1:12" ht="15.75">
      <c r="A52" s="1733" t="s">
        <v>1029</v>
      </c>
      <c r="B52" s="1734"/>
    </row>
    <row r="53" spans="1:12" ht="15.75">
      <c r="A53" s="1733" t="s">
        <v>1030</v>
      </c>
      <c r="B53" s="1734"/>
    </row>
    <row r="54" spans="1:12" ht="15.75">
      <c r="B54" s="3950" t="s">
        <v>162</v>
      </c>
      <c r="C54" s="3950"/>
      <c r="D54" s="1735"/>
      <c r="E54" s="1735"/>
      <c r="F54" s="1736" t="s">
        <v>1031</v>
      </c>
      <c r="I54" s="1736"/>
      <c r="J54" s="1736"/>
    </row>
    <row r="58" spans="1:12">
      <c r="B58" s="4952"/>
      <c r="C58" s="4952"/>
    </row>
  </sheetData>
  <mergeCells count="10">
    <mergeCell ref="A50:D50"/>
    <mergeCell ref="B54:C54"/>
    <mergeCell ref="B58:C58"/>
    <mergeCell ref="A1:L1"/>
    <mergeCell ref="A2:L2"/>
    <mergeCell ref="A3:G3"/>
    <mergeCell ref="A4:G4"/>
    <mergeCell ref="B6:L6"/>
    <mergeCell ref="D14:D49"/>
    <mergeCell ref="B5:K5"/>
  </mergeCells>
  <pageMargins left="0.7" right="0.7" top="0.44" bottom="0.41" header="0.3" footer="0.3"/>
  <pageSetup paperSize="9"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opLeftCell="A4" workbookViewId="0">
      <selection activeCell="F14" sqref="F14:F28"/>
    </sheetView>
  </sheetViews>
  <sheetFormatPr defaultRowHeight="14.25"/>
  <cols>
    <col min="1" max="1" width="5.125" customWidth="1"/>
    <col min="2" max="2" width="10.375" style="1710" customWidth="1"/>
    <col min="3" max="3" width="13.125" style="1710" customWidth="1"/>
    <col min="4" max="4" width="5.75" customWidth="1"/>
    <col min="5" max="5" width="4.25" customWidth="1"/>
    <col min="6" max="6" width="4.75" style="1706" customWidth="1"/>
    <col min="7" max="7" width="5.75" customWidth="1"/>
    <col min="8" max="8" width="4.875" style="1708" customWidth="1"/>
    <col min="9" max="9" width="7.125" customWidth="1"/>
    <col min="10" max="10" width="10.875" style="1709" customWidth="1"/>
    <col min="11" max="11" width="8.125" customWidth="1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</row>
    <row r="2" spans="1:11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</row>
    <row r="3" spans="1:11" ht="15.75">
      <c r="A3" s="4773" t="s">
        <v>1013</v>
      </c>
      <c r="B3" s="4773"/>
      <c r="C3" s="4773"/>
      <c r="D3" s="4773"/>
      <c r="E3" s="4773"/>
      <c r="F3" s="4773"/>
      <c r="G3" s="4773"/>
      <c r="H3" s="1705"/>
      <c r="I3" s="1706"/>
      <c r="J3" s="1707"/>
      <c r="K3" s="1706"/>
    </row>
    <row r="4" spans="1:11" ht="15.75">
      <c r="A4" s="4480" t="s">
        <v>541</v>
      </c>
      <c r="B4" s="4480"/>
      <c r="C4" s="4480"/>
      <c r="D4" s="4480"/>
      <c r="E4" s="4480"/>
      <c r="F4" s="4480"/>
      <c r="G4" s="4480"/>
    </row>
    <row r="5" spans="1:11" ht="21.75">
      <c r="B5" s="4953" t="s">
        <v>1014</v>
      </c>
      <c r="C5" s="4953"/>
      <c r="D5" s="4953"/>
      <c r="E5" s="4953"/>
      <c r="F5" s="4953"/>
      <c r="G5" s="4953"/>
      <c r="H5" s="4953"/>
      <c r="I5" s="4953"/>
      <c r="J5" s="4953"/>
    </row>
    <row r="6" spans="1:11">
      <c r="A6" s="1712"/>
      <c r="B6" s="4954" t="s">
        <v>1570</v>
      </c>
      <c r="C6" s="4954"/>
      <c r="D6" s="4954"/>
      <c r="E6" s="4954"/>
      <c r="F6" s="4954"/>
      <c r="G6" s="4954"/>
      <c r="H6" s="4954"/>
      <c r="I6" s="4954"/>
      <c r="J6" s="4954"/>
      <c r="K6" s="4954"/>
    </row>
    <row r="7" spans="1:11">
      <c r="A7" s="1712"/>
      <c r="B7" s="1713" t="s">
        <v>1015</v>
      </c>
      <c r="C7" s="1713"/>
      <c r="D7" s="1714"/>
      <c r="E7" s="1714"/>
      <c r="G7" s="1712"/>
      <c r="H7" s="1715"/>
      <c r="I7" s="1712"/>
      <c r="J7" s="1716"/>
      <c r="K7" s="1712"/>
    </row>
    <row r="8" spans="1:11">
      <c r="A8" s="1712"/>
      <c r="B8" s="1713" t="s">
        <v>1261</v>
      </c>
      <c r="C8" s="1713"/>
      <c r="D8" s="1714"/>
      <c r="E8" s="1712"/>
      <c r="G8" s="1712"/>
      <c r="H8" s="1717" t="s">
        <v>1262</v>
      </c>
      <c r="I8" s="1714"/>
      <c r="J8" s="1716"/>
      <c r="K8" s="1712"/>
    </row>
    <row r="9" spans="1:11">
      <c r="A9" s="1712"/>
      <c r="B9" s="1713" t="s">
        <v>1032</v>
      </c>
      <c r="C9" s="1713"/>
      <c r="D9" s="1714"/>
      <c r="E9" s="1712"/>
      <c r="G9" s="1712"/>
      <c r="H9" s="1717" t="s">
        <v>1017</v>
      </c>
      <c r="I9" s="1714"/>
      <c r="J9" s="1716"/>
      <c r="K9" s="1712"/>
    </row>
    <row r="10" spans="1:11">
      <c r="A10" s="1712"/>
      <c r="B10" s="1295" t="s">
        <v>1199</v>
      </c>
      <c r="D10" s="1712"/>
      <c r="E10" s="1712"/>
      <c r="G10" s="1712"/>
      <c r="H10" s="1715"/>
      <c r="I10" s="1712"/>
      <c r="J10" s="1716"/>
      <c r="K10" s="1712"/>
    </row>
    <row r="11" spans="1:11">
      <c r="A11" s="1712" t="s">
        <v>1019</v>
      </c>
      <c r="D11" s="1712"/>
      <c r="E11" s="1712"/>
      <c r="G11" s="1712"/>
      <c r="H11" s="1715"/>
      <c r="I11" s="1712"/>
      <c r="J11" s="1716"/>
      <c r="K11" s="1712"/>
    </row>
    <row r="12" spans="1:11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18" t="s">
        <v>1024</v>
      </c>
      <c r="K12" s="1721" t="s">
        <v>9</v>
      </c>
    </row>
    <row r="13" spans="1:11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 t="s">
        <v>1026</v>
      </c>
      <c r="K13" s="1724"/>
    </row>
    <row r="14" spans="1:11" ht="12" customHeight="1">
      <c r="A14" s="1725">
        <v>1</v>
      </c>
      <c r="B14" s="1738" t="str">
        <f>'Chấm công công nhân'!L49</f>
        <v>Thảo Đa Văn</v>
      </c>
      <c r="C14" s="1720" t="s">
        <v>1571</v>
      </c>
      <c r="D14" s="4729" t="s">
        <v>204</v>
      </c>
      <c r="E14" s="1722" t="s">
        <v>1027</v>
      </c>
      <c r="F14" s="1722"/>
      <c r="G14" s="1723">
        <v>1.25</v>
      </c>
      <c r="H14" s="1723">
        <f>F14/G14</f>
        <v>0</v>
      </c>
      <c r="I14" s="1727">
        <v>25000</v>
      </c>
      <c r="J14" s="1727">
        <f t="shared" ref="J14:J28" si="0">I14*H14</f>
        <v>0</v>
      </c>
      <c r="K14" s="1724"/>
    </row>
    <row r="15" spans="1:11" ht="12" customHeight="1">
      <c r="A15" s="1725">
        <v>2</v>
      </c>
      <c r="B15" s="1738">
        <f>'Chấm công công nhân'!L50</f>
        <v>0</v>
      </c>
      <c r="C15" s="1720" t="s">
        <v>1571</v>
      </c>
      <c r="D15" s="4961"/>
      <c r="E15" s="1722" t="s">
        <v>1027</v>
      </c>
      <c r="F15" s="1722"/>
      <c r="G15" s="1723">
        <v>1.25</v>
      </c>
      <c r="H15" s="1723">
        <f t="shared" ref="H15:H28" si="1">F15/G15</f>
        <v>0</v>
      </c>
      <c r="I15" s="1727">
        <v>25000</v>
      </c>
      <c r="J15" s="1727">
        <f t="shared" si="0"/>
        <v>0</v>
      </c>
      <c r="K15" s="1724"/>
    </row>
    <row r="16" spans="1:11" ht="12" customHeight="1">
      <c r="A16" s="1725">
        <v>3</v>
      </c>
      <c r="B16" s="1738" t="str">
        <f>'Chấm công công nhân'!L51</f>
        <v>Thảo Xa Đết</v>
      </c>
      <c r="C16" s="1720" t="s">
        <v>1571</v>
      </c>
      <c r="D16" s="4961"/>
      <c r="E16" s="1722" t="s">
        <v>1027</v>
      </c>
      <c r="F16" s="1722"/>
      <c r="G16" s="1723">
        <v>1.25</v>
      </c>
      <c r="H16" s="1723">
        <f t="shared" si="1"/>
        <v>0</v>
      </c>
      <c r="I16" s="1727">
        <v>25000</v>
      </c>
      <c r="J16" s="1727">
        <f t="shared" si="0"/>
        <v>0</v>
      </c>
      <c r="K16" s="1724"/>
    </row>
    <row r="17" spans="1:11" ht="12" customHeight="1">
      <c r="A17" s="1725">
        <v>4</v>
      </c>
      <c r="B17" s="1738" t="str">
        <f>'Chấm công công nhân'!L52</f>
        <v>Thảo Sột</v>
      </c>
      <c r="C17" s="1720" t="s">
        <v>1571</v>
      </c>
      <c r="D17" s="4961"/>
      <c r="E17" s="1722" t="s">
        <v>1027</v>
      </c>
      <c r="F17" s="1722"/>
      <c r="G17" s="1723">
        <v>1.25</v>
      </c>
      <c r="H17" s="1723">
        <f t="shared" si="1"/>
        <v>0</v>
      </c>
      <c r="I17" s="1727">
        <v>25000</v>
      </c>
      <c r="J17" s="1727">
        <f t="shared" si="0"/>
        <v>0</v>
      </c>
      <c r="K17" s="1724"/>
    </row>
    <row r="18" spans="1:11" ht="12" customHeight="1">
      <c r="A18" s="1725">
        <v>5</v>
      </c>
      <c r="B18" s="1738" t="str">
        <f>'Chấm công công nhân'!L53</f>
        <v>Stoong</v>
      </c>
      <c r="C18" s="1720" t="s">
        <v>1571</v>
      </c>
      <c r="D18" s="4961"/>
      <c r="E18" s="1722" t="s">
        <v>1027</v>
      </c>
      <c r="F18" s="1722"/>
      <c r="G18" s="1723">
        <v>1.25</v>
      </c>
      <c r="H18" s="1723">
        <f t="shared" si="1"/>
        <v>0</v>
      </c>
      <c r="I18" s="1727">
        <v>25000</v>
      </c>
      <c r="J18" s="1727">
        <f t="shared" si="0"/>
        <v>0</v>
      </c>
      <c r="K18" s="1724"/>
    </row>
    <row r="19" spans="1:11" ht="12" customHeight="1">
      <c r="A19" s="1725">
        <v>6</v>
      </c>
      <c r="B19" s="1738" t="str">
        <f>'Chấm công công nhân'!L54</f>
        <v>Nàng Phắt</v>
      </c>
      <c r="C19" s="1720" t="s">
        <v>1571</v>
      </c>
      <c r="D19" s="4961"/>
      <c r="E19" s="1722" t="s">
        <v>1027</v>
      </c>
      <c r="F19" s="1722"/>
      <c r="G19" s="1723">
        <v>1.25</v>
      </c>
      <c r="H19" s="1723">
        <f t="shared" si="1"/>
        <v>0</v>
      </c>
      <c r="I19" s="1727">
        <v>25000</v>
      </c>
      <c r="J19" s="1727">
        <f t="shared" si="0"/>
        <v>0</v>
      </c>
      <c r="K19" s="1724"/>
    </row>
    <row r="20" spans="1:11" ht="12" customHeight="1">
      <c r="A20" s="1725">
        <v>7</v>
      </c>
      <c r="B20" s="3055" t="str">
        <f>'Chấm công công nhân'!L55</f>
        <v>Nàng May</v>
      </c>
      <c r="C20" s="1720" t="s">
        <v>1571</v>
      </c>
      <c r="D20" s="4961"/>
      <c r="E20" s="1722" t="s">
        <v>1027</v>
      </c>
      <c r="F20" s="1722"/>
      <c r="G20" s="1723">
        <v>1.25</v>
      </c>
      <c r="H20" s="1723">
        <f t="shared" si="1"/>
        <v>0</v>
      </c>
      <c r="I20" s="1727">
        <v>25000</v>
      </c>
      <c r="J20" s="1727">
        <f t="shared" si="0"/>
        <v>0</v>
      </c>
      <c r="K20" s="1724"/>
    </row>
    <row r="21" spans="1:11" ht="12" customHeight="1">
      <c r="A21" s="1725">
        <v>8</v>
      </c>
      <c r="B21" s="1738" t="str">
        <f>'Chấm công công nhân'!L56</f>
        <v>Thảo Bênh</v>
      </c>
      <c r="C21" s="1720" t="s">
        <v>1571</v>
      </c>
      <c r="D21" s="4961"/>
      <c r="E21" s="1722" t="s">
        <v>1027</v>
      </c>
      <c r="F21" s="1722"/>
      <c r="G21" s="1723">
        <v>1.25</v>
      </c>
      <c r="H21" s="1723">
        <f t="shared" si="1"/>
        <v>0</v>
      </c>
      <c r="I21" s="1727">
        <v>25000</v>
      </c>
      <c r="J21" s="1727">
        <f t="shared" si="0"/>
        <v>0</v>
      </c>
      <c r="K21" s="1724"/>
    </row>
    <row r="22" spans="1:11" ht="12" customHeight="1">
      <c r="A22" s="1725">
        <v>9</v>
      </c>
      <c r="B22" s="1738" t="str">
        <f>'Chấm công công nhân'!L57</f>
        <v>Thảo Đinh</v>
      </c>
      <c r="C22" s="1720" t="s">
        <v>1571</v>
      </c>
      <c r="D22" s="4961"/>
      <c r="E22" s="1722" t="s">
        <v>1027</v>
      </c>
      <c r="F22" s="1722"/>
      <c r="G22" s="1723">
        <v>1.25</v>
      </c>
      <c r="H22" s="1723">
        <f t="shared" si="1"/>
        <v>0</v>
      </c>
      <c r="I22" s="1727">
        <v>25000</v>
      </c>
      <c r="J22" s="1727">
        <f t="shared" si="0"/>
        <v>0</v>
      </c>
      <c r="K22" s="1724"/>
    </row>
    <row r="23" spans="1:11" ht="12" customHeight="1">
      <c r="A23" s="1725">
        <v>10</v>
      </c>
      <c r="B23" s="1738" t="str">
        <f>'Chấm công công nhân'!L58</f>
        <v>Thảo Vi</v>
      </c>
      <c r="C23" s="1720" t="s">
        <v>1571</v>
      </c>
      <c r="D23" s="4961"/>
      <c r="E23" s="1722" t="s">
        <v>1027</v>
      </c>
      <c r="F23" s="1722"/>
      <c r="G23" s="1723">
        <v>1.25</v>
      </c>
      <c r="H23" s="1723">
        <f t="shared" si="1"/>
        <v>0</v>
      </c>
      <c r="I23" s="1727">
        <v>25000</v>
      </c>
      <c r="J23" s="1727">
        <f t="shared" si="0"/>
        <v>0</v>
      </c>
      <c r="K23" s="1724"/>
    </row>
    <row r="24" spans="1:11" ht="12" customHeight="1">
      <c r="A24" s="1725">
        <v>11</v>
      </c>
      <c r="B24" s="1738" t="str">
        <f>'Chấm công công nhân'!L59</f>
        <v>Thảo Văn</v>
      </c>
      <c r="C24" s="1720" t="s">
        <v>1571</v>
      </c>
      <c r="D24" s="4961"/>
      <c r="E24" s="1722" t="s">
        <v>1027</v>
      </c>
      <c r="F24" s="1722"/>
      <c r="G24" s="1723">
        <v>1.25</v>
      </c>
      <c r="H24" s="1723">
        <f t="shared" si="1"/>
        <v>0</v>
      </c>
      <c r="I24" s="1727">
        <v>25000</v>
      </c>
      <c r="J24" s="1727">
        <f t="shared" si="0"/>
        <v>0</v>
      </c>
      <c r="K24" s="1724"/>
    </row>
    <row r="25" spans="1:11" ht="12" customHeight="1">
      <c r="A25" s="1725">
        <v>12</v>
      </c>
      <c r="B25" s="1738" t="str">
        <f>'Chấm công công nhân'!L60</f>
        <v>Nàng Phìn</v>
      </c>
      <c r="C25" s="1720" t="s">
        <v>1571</v>
      </c>
      <c r="D25" s="4961"/>
      <c r="E25" s="1722" t="s">
        <v>1027</v>
      </c>
      <c r="F25" s="1722"/>
      <c r="G25" s="1723">
        <v>1.25</v>
      </c>
      <c r="H25" s="1723">
        <f t="shared" si="1"/>
        <v>0</v>
      </c>
      <c r="I25" s="1727">
        <v>25000</v>
      </c>
      <c r="J25" s="1727">
        <f t="shared" si="0"/>
        <v>0</v>
      </c>
      <c r="K25" s="1724"/>
    </row>
    <row r="26" spans="1:11" ht="12" customHeight="1">
      <c r="A26" s="1725">
        <v>13</v>
      </c>
      <c r="B26" s="1738" t="str">
        <f>'Chấm công công nhân'!L61</f>
        <v>Mẹ Sột</v>
      </c>
      <c r="C26" s="1720" t="s">
        <v>1571</v>
      </c>
      <c r="D26" s="4961"/>
      <c r="E26" s="1722" t="s">
        <v>1027</v>
      </c>
      <c r="F26" s="1722"/>
      <c r="G26" s="1723">
        <v>1.25</v>
      </c>
      <c r="H26" s="1723">
        <f t="shared" si="1"/>
        <v>0</v>
      </c>
      <c r="I26" s="1727">
        <v>25000</v>
      </c>
      <c r="J26" s="1727">
        <f t="shared" si="0"/>
        <v>0</v>
      </c>
      <c r="K26" s="1724"/>
    </row>
    <row r="27" spans="1:11" ht="12" customHeight="1">
      <c r="A27" s="1725">
        <v>14</v>
      </c>
      <c r="B27" s="1738" t="str">
        <f>'Chấm công công nhân'!L62</f>
        <v>Nàng Heo</v>
      </c>
      <c r="C27" s="1720" t="s">
        <v>1571</v>
      </c>
      <c r="D27" s="4961"/>
      <c r="E27" s="1722" t="s">
        <v>1027</v>
      </c>
      <c r="F27" s="1722"/>
      <c r="G27" s="1723">
        <v>1.25</v>
      </c>
      <c r="H27" s="1723">
        <f t="shared" si="1"/>
        <v>0</v>
      </c>
      <c r="I27" s="1727">
        <v>25000</v>
      </c>
      <c r="J27" s="1727">
        <f t="shared" si="0"/>
        <v>0</v>
      </c>
      <c r="K27" s="1724"/>
    </row>
    <row r="28" spans="1:11" ht="12" customHeight="1">
      <c r="A28" s="1725">
        <v>15</v>
      </c>
      <c r="B28" s="1738" t="str">
        <f>'Chấm công công nhân'!L63</f>
        <v>Thảo Chăn Ti</v>
      </c>
      <c r="C28" s="1720" t="s">
        <v>1571</v>
      </c>
      <c r="D28" s="4961"/>
      <c r="E28" s="1722" t="s">
        <v>1027</v>
      </c>
      <c r="F28" s="1722"/>
      <c r="G28" s="1723">
        <v>1.25</v>
      </c>
      <c r="H28" s="1723">
        <f t="shared" si="1"/>
        <v>0</v>
      </c>
      <c r="I28" s="1727">
        <v>25000</v>
      </c>
      <c r="J28" s="1727">
        <f t="shared" si="0"/>
        <v>0</v>
      </c>
      <c r="K28" s="1724"/>
    </row>
    <row r="29" spans="1:11">
      <c r="A29" s="4955"/>
      <c r="B29" s="4955"/>
      <c r="C29" s="4955"/>
      <c r="D29" s="4955"/>
      <c r="E29" s="1724"/>
      <c r="F29" s="1728">
        <f>SUM(F14:F28)</f>
        <v>0</v>
      </c>
      <c r="G29" s="1728"/>
      <c r="H29" s="1729">
        <f>SUM(H14:H28)</f>
        <v>0</v>
      </c>
      <c r="I29" s="1728"/>
      <c r="J29" s="1730">
        <f>SUM(J14:J28)</f>
        <v>0</v>
      </c>
      <c r="K29" s="1728"/>
    </row>
    <row r="30" spans="1:11" ht="15.75">
      <c r="A30" s="1731" t="s">
        <v>1028</v>
      </c>
      <c r="B30" s="1732"/>
    </row>
    <row r="31" spans="1:11" ht="15.75">
      <c r="A31" s="1733" t="s">
        <v>1029</v>
      </c>
      <c r="B31" s="1734"/>
    </row>
    <row r="32" spans="1:11" ht="15.75">
      <c r="A32" s="1733" t="s">
        <v>1030</v>
      </c>
      <c r="B32" s="1734"/>
    </row>
    <row r="33" spans="2:9" ht="15.75">
      <c r="B33" s="3950" t="s">
        <v>162</v>
      </c>
      <c r="C33" s="3950"/>
      <c r="D33" s="1735"/>
      <c r="E33" s="1735"/>
      <c r="F33" s="1736" t="s">
        <v>1031</v>
      </c>
      <c r="I33" s="1736"/>
    </row>
    <row r="37" spans="2:9">
      <c r="B37" s="4952"/>
      <c r="C37" s="4952"/>
    </row>
  </sheetData>
  <mergeCells count="10">
    <mergeCell ref="B37:C37"/>
    <mergeCell ref="A29:D29"/>
    <mergeCell ref="B33:C33"/>
    <mergeCell ref="A1:K1"/>
    <mergeCell ref="A2:K2"/>
    <mergeCell ref="A3:G3"/>
    <mergeCell ref="A4:G4"/>
    <mergeCell ref="B6:K6"/>
    <mergeCell ref="D14:D28"/>
    <mergeCell ref="B5:J5"/>
  </mergeCells>
  <pageMargins left="0.7" right="0.7" top="0.75" bottom="0.75" header="0.3" footer="0.3"/>
  <pageSetup paperSize="9"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F14" sqref="F14:F27"/>
    </sheetView>
  </sheetViews>
  <sheetFormatPr defaultRowHeight="14.25"/>
  <cols>
    <col min="1" max="1" width="5.125" customWidth="1"/>
    <col min="2" max="2" width="11.75" style="1710" customWidth="1"/>
    <col min="3" max="3" width="13.875" style="1710" customWidth="1"/>
    <col min="4" max="4" width="5.75" customWidth="1"/>
    <col min="5" max="5" width="4.25" customWidth="1"/>
    <col min="6" max="6" width="5" style="1706" customWidth="1"/>
    <col min="7" max="7" width="5" customWidth="1"/>
    <col min="8" max="8" width="4.875" style="1708" customWidth="1"/>
    <col min="9" max="9" width="7.375" customWidth="1"/>
    <col min="10" max="10" width="5" hidden="1" customWidth="1"/>
    <col min="11" max="11" width="10.375" style="1709" customWidth="1"/>
  </cols>
  <sheetData>
    <row r="1" spans="1:12" ht="15.75">
      <c r="A1" s="4155" t="s">
        <v>165</v>
      </c>
      <c r="B1" s="4155"/>
      <c r="C1" s="4155"/>
      <c r="D1" s="4155"/>
      <c r="E1" s="4155"/>
      <c r="F1" s="4155"/>
      <c r="G1" s="4155"/>
      <c r="H1" s="4155"/>
      <c r="I1" s="4155"/>
      <c r="J1" s="4155"/>
      <c r="K1" s="4155"/>
      <c r="L1" s="4155"/>
    </row>
    <row r="2" spans="1:12" ht="15.75">
      <c r="A2" s="4480" t="s">
        <v>1012</v>
      </c>
      <c r="B2" s="4480"/>
      <c r="C2" s="4480"/>
      <c r="D2" s="4480"/>
      <c r="E2" s="4480"/>
      <c r="F2" s="4480"/>
      <c r="G2" s="4480"/>
      <c r="H2" s="4480"/>
      <c r="I2" s="4480"/>
      <c r="J2" s="4480"/>
      <c r="K2" s="4480"/>
      <c r="L2" s="4480"/>
    </row>
    <row r="3" spans="1:12" ht="15.75">
      <c r="A3" s="4773" t="s">
        <v>1013</v>
      </c>
      <c r="B3" s="4773"/>
      <c r="C3" s="4773"/>
      <c r="D3" s="4773"/>
      <c r="E3" s="4773"/>
      <c r="F3" s="4773"/>
      <c r="G3" s="4773"/>
      <c r="H3" s="1705"/>
      <c r="I3" s="1706"/>
      <c r="J3" s="1706"/>
      <c r="K3" s="1707"/>
      <c r="L3" s="1706"/>
    </row>
    <row r="4" spans="1:12" ht="15.75">
      <c r="A4" s="4480" t="s">
        <v>541</v>
      </c>
      <c r="B4" s="4480"/>
      <c r="C4" s="4480"/>
      <c r="D4" s="4480"/>
      <c r="E4" s="4480"/>
      <c r="F4" s="4480"/>
      <c r="G4" s="4480"/>
    </row>
    <row r="5" spans="1:12" ht="21.75">
      <c r="A5" s="4953" t="s">
        <v>1014</v>
      </c>
      <c r="B5" s="4953"/>
      <c r="C5" s="4953"/>
      <c r="D5" s="4953"/>
      <c r="E5" s="4953"/>
      <c r="F5" s="4953"/>
      <c r="G5" s="4953"/>
      <c r="H5" s="4953"/>
      <c r="I5" s="4953"/>
      <c r="J5" s="4953"/>
      <c r="K5" s="4953"/>
      <c r="L5" s="4953"/>
    </row>
    <row r="6" spans="1:12">
      <c r="A6" s="1712"/>
      <c r="B6" s="4954" t="s">
        <v>1570</v>
      </c>
      <c r="C6" s="4954"/>
      <c r="D6" s="4954"/>
      <c r="E6" s="4954"/>
      <c r="F6" s="4954"/>
      <c r="G6" s="4954"/>
      <c r="H6" s="4954"/>
      <c r="I6" s="4954"/>
      <c r="J6" s="4954"/>
      <c r="K6" s="4954"/>
      <c r="L6" s="4954"/>
    </row>
    <row r="7" spans="1:12">
      <c r="A7" s="1712"/>
      <c r="B7" s="1713" t="s">
        <v>1015</v>
      </c>
      <c r="C7" s="1713"/>
      <c r="D7" s="1714"/>
      <c r="E7" s="1714"/>
      <c r="G7" s="1712"/>
      <c r="H7" s="1715"/>
      <c r="I7" s="1712"/>
      <c r="J7" s="1712"/>
      <c r="K7" s="1716"/>
      <c r="L7" s="1712"/>
    </row>
    <row r="8" spans="1:12">
      <c r="A8" s="1712"/>
      <c r="B8" s="1713" t="s">
        <v>1263</v>
      </c>
      <c r="C8" s="1713"/>
      <c r="D8" s="1714"/>
      <c r="E8" s="1712"/>
      <c r="G8" s="1712"/>
      <c r="H8" s="1717" t="s">
        <v>1033</v>
      </c>
      <c r="I8" s="1714"/>
      <c r="J8" s="1714"/>
      <c r="K8" s="1716"/>
      <c r="L8" s="1712"/>
    </row>
    <row r="9" spans="1:12">
      <c r="A9" s="1712"/>
      <c r="B9" s="1713" t="s">
        <v>1032</v>
      </c>
      <c r="C9" s="1713"/>
      <c r="D9" s="1714"/>
      <c r="E9" s="1712"/>
      <c r="G9" s="1712"/>
      <c r="H9" s="1717" t="s">
        <v>1017</v>
      </c>
      <c r="I9" s="1714"/>
      <c r="J9" s="1714"/>
      <c r="K9" s="1716"/>
      <c r="L9" s="1712"/>
    </row>
    <row r="10" spans="1:12">
      <c r="A10" s="1712"/>
      <c r="B10" s="1295" t="s">
        <v>1199</v>
      </c>
      <c r="D10" s="1712"/>
      <c r="E10" s="1712"/>
      <c r="G10" s="1712"/>
      <c r="H10" s="1715"/>
      <c r="I10" s="1712"/>
      <c r="J10" s="1712"/>
      <c r="K10" s="1716"/>
      <c r="L10" s="1712"/>
    </row>
    <row r="11" spans="1:12">
      <c r="A11" s="1712" t="s">
        <v>1019</v>
      </c>
      <c r="D11" s="1712"/>
      <c r="E11" s="1712"/>
      <c r="G11" s="1712"/>
      <c r="H11" s="1715"/>
      <c r="I11" s="1712"/>
      <c r="J11" s="1712"/>
      <c r="K11" s="1716"/>
      <c r="L11" s="1712"/>
    </row>
    <row r="12" spans="1:12" ht="61.5" customHeight="1">
      <c r="A12" s="1718" t="s">
        <v>1</v>
      </c>
      <c r="B12" s="1718" t="s">
        <v>20</v>
      </c>
      <c r="C12" s="1718" t="s">
        <v>1020</v>
      </c>
      <c r="D12" s="1718" t="s">
        <v>810</v>
      </c>
      <c r="E12" s="1718" t="s">
        <v>7</v>
      </c>
      <c r="F12" s="1718" t="s">
        <v>1021</v>
      </c>
      <c r="G12" s="1718" t="s">
        <v>361</v>
      </c>
      <c r="H12" s="1719" t="s">
        <v>47</v>
      </c>
      <c r="I12" s="1718" t="s">
        <v>1022</v>
      </c>
      <c r="J12" s="1718" t="s">
        <v>1023</v>
      </c>
      <c r="K12" s="1720" t="s">
        <v>1024</v>
      </c>
      <c r="L12" s="1721" t="s">
        <v>9</v>
      </c>
    </row>
    <row r="13" spans="1:12" ht="15.75" customHeight="1">
      <c r="A13" s="1722">
        <v>1</v>
      </c>
      <c r="B13" s="1720"/>
      <c r="C13" s="1720">
        <v>2</v>
      </c>
      <c r="D13" s="1722">
        <v>3</v>
      </c>
      <c r="E13" s="1722">
        <v>4</v>
      </c>
      <c r="F13" s="1722">
        <v>5</v>
      </c>
      <c r="G13" s="1722">
        <v>6</v>
      </c>
      <c r="H13" s="1723" t="s">
        <v>1025</v>
      </c>
      <c r="I13" s="1722">
        <v>8</v>
      </c>
      <c r="J13" s="1722">
        <v>9</v>
      </c>
      <c r="K13" s="1722" t="s">
        <v>1026</v>
      </c>
      <c r="L13" s="1724"/>
    </row>
    <row r="14" spans="1:12" ht="12" customHeight="1">
      <c r="A14" s="1725">
        <v>1</v>
      </c>
      <c r="B14" s="1726" t="str">
        <f>'Chấm công công nhân'!L65</f>
        <v>Nàng Phết</v>
      </c>
      <c r="C14" s="1720" t="s">
        <v>1571</v>
      </c>
      <c r="D14" s="4729" t="s">
        <v>204</v>
      </c>
      <c r="E14" s="1722" t="s">
        <v>1027</v>
      </c>
      <c r="F14" s="1722"/>
      <c r="G14" s="1723">
        <v>1.25</v>
      </c>
      <c r="H14" s="1723">
        <f>F14/G14</f>
        <v>0</v>
      </c>
      <c r="I14" s="1727">
        <v>25000</v>
      </c>
      <c r="J14" s="1722"/>
      <c r="K14" s="1727">
        <f>I14*H14</f>
        <v>0</v>
      </c>
      <c r="L14" s="1724"/>
    </row>
    <row r="15" spans="1:12" ht="12" customHeight="1">
      <c r="A15" s="1725">
        <v>2</v>
      </c>
      <c r="B15" s="1726" t="str">
        <f>'Chấm công công nhân'!L66</f>
        <v>Thảo On</v>
      </c>
      <c r="C15" s="1720" t="s">
        <v>1571</v>
      </c>
      <c r="D15" s="4961"/>
      <c r="E15" s="1722" t="s">
        <v>1027</v>
      </c>
      <c r="F15" s="1722"/>
      <c r="G15" s="1723">
        <v>1.25</v>
      </c>
      <c r="H15" s="1723">
        <f t="shared" ref="H15:H29" si="0">F15/G15</f>
        <v>0</v>
      </c>
      <c r="I15" s="1727">
        <v>25000</v>
      </c>
      <c r="J15" s="1725"/>
      <c r="K15" s="1727">
        <f t="shared" ref="K15:K29" si="1">I15*H15</f>
        <v>0</v>
      </c>
      <c r="L15" s="1724"/>
    </row>
    <row r="16" spans="1:12" ht="12" customHeight="1">
      <c r="A16" s="1725">
        <v>3</v>
      </c>
      <c r="B16" s="1726" t="str">
        <f>'Chấm công công nhân'!L67</f>
        <v>Thảo Sum</v>
      </c>
      <c r="C16" s="1720" t="s">
        <v>1571</v>
      </c>
      <c r="D16" s="4961"/>
      <c r="E16" s="1722" t="s">
        <v>1027</v>
      </c>
      <c r="F16" s="1722"/>
      <c r="G16" s="1723">
        <v>1.25</v>
      </c>
      <c r="H16" s="1723">
        <f t="shared" si="0"/>
        <v>0</v>
      </c>
      <c r="I16" s="1727">
        <v>25000</v>
      </c>
      <c r="J16" s="1725"/>
      <c r="K16" s="1727">
        <f t="shared" si="1"/>
        <v>0</v>
      </c>
      <c r="L16" s="1724"/>
    </row>
    <row r="17" spans="1:12" ht="12" customHeight="1">
      <c r="A17" s="1725">
        <v>4</v>
      </c>
      <c r="B17" s="1726" t="str">
        <f>'Chấm công công nhân'!L68</f>
        <v>Cha La</v>
      </c>
      <c r="C17" s="1720" t="s">
        <v>1571</v>
      </c>
      <c r="D17" s="4961"/>
      <c r="E17" s="1722" t="s">
        <v>1027</v>
      </c>
      <c r="F17" s="1722"/>
      <c r="G17" s="1723">
        <v>1.25</v>
      </c>
      <c r="H17" s="1723">
        <f t="shared" si="0"/>
        <v>0</v>
      </c>
      <c r="I17" s="1727">
        <v>25000</v>
      </c>
      <c r="J17" s="1725"/>
      <c r="K17" s="1727">
        <f t="shared" si="1"/>
        <v>0</v>
      </c>
      <c r="L17" s="1724"/>
    </row>
    <row r="18" spans="1:12" ht="12" customHeight="1">
      <c r="A18" s="1725">
        <v>5</v>
      </c>
      <c r="B18" s="1726" t="str">
        <f>'Chấm công công nhân'!L69</f>
        <v>Nàng Binh</v>
      </c>
      <c r="C18" s="1720" t="s">
        <v>1571</v>
      </c>
      <c r="D18" s="4961"/>
      <c r="E18" s="1722" t="s">
        <v>1027</v>
      </c>
      <c r="F18" s="1722"/>
      <c r="G18" s="1723">
        <v>1.25</v>
      </c>
      <c r="H18" s="1723">
        <f t="shared" si="0"/>
        <v>0</v>
      </c>
      <c r="I18" s="1727">
        <v>25000</v>
      </c>
      <c r="J18" s="1722"/>
      <c r="K18" s="1727">
        <f t="shared" si="1"/>
        <v>0</v>
      </c>
      <c r="L18" s="1724"/>
    </row>
    <row r="19" spans="1:12" ht="13.5" customHeight="1">
      <c r="A19" s="1725">
        <v>6</v>
      </c>
      <c r="B19" s="1726">
        <f>'Chấm công công nhân'!L70</f>
        <v>0</v>
      </c>
      <c r="C19" s="1720" t="s">
        <v>1571</v>
      </c>
      <c r="D19" s="4961"/>
      <c r="E19" s="1722" t="s">
        <v>1027</v>
      </c>
      <c r="F19" s="1722"/>
      <c r="G19" s="1723">
        <v>1.25</v>
      </c>
      <c r="H19" s="1723">
        <f t="shared" si="0"/>
        <v>0</v>
      </c>
      <c r="I19" s="1727">
        <v>25000</v>
      </c>
      <c r="J19" s="1722"/>
      <c r="K19" s="1727">
        <f t="shared" si="1"/>
        <v>0</v>
      </c>
      <c r="L19" s="1724"/>
    </row>
    <row r="20" spans="1:12" ht="12" customHeight="1">
      <c r="A20" s="1725">
        <v>7</v>
      </c>
      <c r="B20" s="1726" t="str">
        <f>'Chấm công công nhân'!L71</f>
        <v>Thảo Bun</v>
      </c>
      <c r="C20" s="1720" t="s">
        <v>1571</v>
      </c>
      <c r="D20" s="4961"/>
      <c r="E20" s="1722" t="s">
        <v>1027</v>
      </c>
      <c r="F20" s="1722"/>
      <c r="G20" s="1723">
        <v>1.25</v>
      </c>
      <c r="H20" s="1723">
        <f t="shared" si="0"/>
        <v>0</v>
      </c>
      <c r="I20" s="1727">
        <v>25000</v>
      </c>
      <c r="J20" s="1725"/>
      <c r="K20" s="1727">
        <f t="shared" si="1"/>
        <v>0</v>
      </c>
      <c r="L20" s="1724"/>
    </row>
    <row r="21" spans="1:12" ht="12" customHeight="1">
      <c r="A21" s="1725">
        <v>8</v>
      </c>
      <c r="B21" s="1726" t="str">
        <f>'Chấm công công nhân'!L72</f>
        <v>Thảo Nga</v>
      </c>
      <c r="C21" s="1720" t="s">
        <v>1571</v>
      </c>
      <c r="D21" s="4961"/>
      <c r="E21" s="1722" t="s">
        <v>1027</v>
      </c>
      <c r="F21" s="1722"/>
      <c r="G21" s="1723">
        <v>1.25</v>
      </c>
      <c r="H21" s="1723">
        <f t="shared" si="0"/>
        <v>0</v>
      </c>
      <c r="I21" s="1727">
        <v>25000</v>
      </c>
      <c r="J21" s="1725"/>
      <c r="K21" s="1727">
        <f t="shared" si="1"/>
        <v>0</v>
      </c>
      <c r="L21" s="1724"/>
    </row>
    <row r="22" spans="1:12" ht="12" customHeight="1">
      <c r="A22" s="1725">
        <v>9</v>
      </c>
      <c r="B22" s="1726" t="str">
        <f>'Chấm công công nhân'!L73</f>
        <v>Thảo Tia</v>
      </c>
      <c r="C22" s="1720" t="s">
        <v>1571</v>
      </c>
      <c r="D22" s="4961"/>
      <c r="E22" s="1722" t="s">
        <v>1027</v>
      </c>
      <c r="F22" s="1722"/>
      <c r="G22" s="1723">
        <v>1.25</v>
      </c>
      <c r="H22" s="1723">
        <f t="shared" si="0"/>
        <v>0</v>
      </c>
      <c r="I22" s="1727">
        <v>25000</v>
      </c>
      <c r="J22" s="1725"/>
      <c r="K22" s="1727">
        <f t="shared" si="1"/>
        <v>0</v>
      </c>
      <c r="L22" s="1724"/>
    </row>
    <row r="23" spans="1:12" ht="12" customHeight="1">
      <c r="A23" s="1725">
        <v>10</v>
      </c>
      <c r="B23" s="1726" t="str">
        <f>'Chấm công công nhân'!L74</f>
        <v>Thảo Nuy</v>
      </c>
      <c r="C23" s="1720" t="s">
        <v>1571</v>
      </c>
      <c r="D23" s="4961"/>
      <c r="E23" s="1722" t="s">
        <v>1027</v>
      </c>
      <c r="F23" s="1722"/>
      <c r="G23" s="1723">
        <v>1.25</v>
      </c>
      <c r="H23" s="1723">
        <f t="shared" si="0"/>
        <v>0</v>
      </c>
      <c r="I23" s="1727">
        <v>25000</v>
      </c>
      <c r="J23" s="1722"/>
      <c r="K23" s="1727">
        <f t="shared" si="1"/>
        <v>0</v>
      </c>
      <c r="L23" s="1724"/>
    </row>
    <row r="24" spans="1:12" ht="12" customHeight="1">
      <c r="A24" s="1725">
        <v>11</v>
      </c>
      <c r="B24" s="1726" t="str">
        <f>'Chấm công công nhân'!L75</f>
        <v>Thảo Xay</v>
      </c>
      <c r="C24" s="1720" t="s">
        <v>1571</v>
      </c>
      <c r="D24" s="4961"/>
      <c r="E24" s="1722" t="s">
        <v>1027</v>
      </c>
      <c r="F24" s="1722"/>
      <c r="G24" s="1723">
        <v>1.25</v>
      </c>
      <c r="H24" s="1723">
        <f t="shared" si="0"/>
        <v>0</v>
      </c>
      <c r="I24" s="1727">
        <v>25000</v>
      </c>
      <c r="J24" s="1722"/>
      <c r="K24" s="1727">
        <f t="shared" si="1"/>
        <v>0</v>
      </c>
      <c r="L24" s="1724"/>
    </row>
    <row r="25" spans="1:12" ht="12" customHeight="1">
      <c r="A25" s="1725">
        <v>12</v>
      </c>
      <c r="B25" s="1726" t="str">
        <f>'Chấm công công nhân'!L76</f>
        <v>Nàng Nọi</v>
      </c>
      <c r="C25" s="1720" t="s">
        <v>1571</v>
      </c>
      <c r="D25" s="4961"/>
      <c r="E25" s="1722" t="s">
        <v>1027</v>
      </c>
      <c r="F25" s="1722"/>
      <c r="G25" s="1723">
        <v>1.25</v>
      </c>
      <c r="H25" s="1723">
        <f t="shared" si="0"/>
        <v>0</v>
      </c>
      <c r="I25" s="1727">
        <v>25000</v>
      </c>
      <c r="J25" s="1725"/>
      <c r="K25" s="1727">
        <f t="shared" si="1"/>
        <v>0</v>
      </c>
      <c r="L25" s="1724"/>
    </row>
    <row r="26" spans="1:12" ht="12" customHeight="1">
      <c r="A26" s="1725">
        <v>13</v>
      </c>
      <c r="B26" s="1726" t="str">
        <f>'Chấm công công nhân'!L77</f>
        <v>Thảo Khon</v>
      </c>
      <c r="C26" s="1720" t="s">
        <v>1571</v>
      </c>
      <c r="D26" s="4961"/>
      <c r="E26" s="1722" t="s">
        <v>1027</v>
      </c>
      <c r="F26" s="1722"/>
      <c r="G26" s="1723">
        <v>1.25</v>
      </c>
      <c r="H26" s="1723">
        <f t="shared" si="0"/>
        <v>0</v>
      </c>
      <c r="I26" s="1727">
        <v>25000</v>
      </c>
      <c r="J26" s="1725"/>
      <c r="K26" s="1727">
        <f t="shared" si="1"/>
        <v>0</v>
      </c>
      <c r="L26" s="1724"/>
    </row>
    <row r="27" spans="1:12" ht="12" customHeight="1">
      <c r="A27" s="1725">
        <v>14</v>
      </c>
      <c r="B27" s="1726" t="str">
        <f>'Chấm công công nhân'!L78</f>
        <v>Thảo Tưng</v>
      </c>
      <c r="C27" s="1720" t="s">
        <v>1571</v>
      </c>
      <c r="D27" s="4961"/>
      <c r="E27" s="1722" t="s">
        <v>1027</v>
      </c>
      <c r="F27" s="1722"/>
      <c r="G27" s="1723">
        <v>1.25</v>
      </c>
      <c r="H27" s="1723">
        <f t="shared" si="0"/>
        <v>0</v>
      </c>
      <c r="I27" s="1727">
        <v>25000</v>
      </c>
      <c r="J27" s="1725"/>
      <c r="K27" s="1727">
        <f t="shared" si="1"/>
        <v>0</v>
      </c>
      <c r="L27" s="1724"/>
    </row>
    <row r="28" spans="1:12" ht="12" customHeight="1">
      <c r="A28" s="1725">
        <v>15</v>
      </c>
      <c r="B28" s="1726" t="str">
        <f>'Chấm công công nhân'!L79</f>
        <v>Thảo Bắt</v>
      </c>
      <c r="C28" s="1720" t="s">
        <v>1571</v>
      </c>
      <c r="D28" s="4961"/>
      <c r="E28" s="1722" t="s">
        <v>1027</v>
      </c>
      <c r="F28" s="1722"/>
      <c r="G28" s="1723">
        <v>1.25</v>
      </c>
      <c r="H28" s="1723">
        <f t="shared" si="0"/>
        <v>0</v>
      </c>
      <c r="I28" s="1727">
        <v>25000</v>
      </c>
      <c r="J28" s="1725"/>
      <c r="K28" s="1727">
        <f t="shared" si="1"/>
        <v>0</v>
      </c>
      <c r="L28" s="1724"/>
    </row>
    <row r="29" spans="1:12" ht="12" hidden="1" customHeight="1">
      <c r="A29" s="1725">
        <v>16</v>
      </c>
      <c r="B29" s="1726" t="str">
        <f>'Chấm công công nhân'!L80</f>
        <v>Thảo Lay</v>
      </c>
      <c r="C29" s="1720" t="s">
        <v>1545</v>
      </c>
      <c r="D29" s="4961"/>
      <c r="E29" s="1722" t="s">
        <v>1027</v>
      </c>
      <c r="F29" s="1722"/>
      <c r="G29" s="1723">
        <v>1.25</v>
      </c>
      <c r="H29" s="1723">
        <f t="shared" si="0"/>
        <v>0</v>
      </c>
      <c r="I29" s="1727">
        <v>25000</v>
      </c>
      <c r="J29" s="1722"/>
      <c r="K29" s="1727">
        <f t="shared" si="1"/>
        <v>0</v>
      </c>
      <c r="L29" s="1724"/>
    </row>
    <row r="30" spans="1:12">
      <c r="A30" s="4955"/>
      <c r="B30" s="4955"/>
      <c r="C30" s="4955"/>
      <c r="D30" s="4955"/>
      <c r="E30" s="1724"/>
      <c r="F30" s="1728">
        <f>SUM(F14:F29)</f>
        <v>0</v>
      </c>
      <c r="G30" s="1728"/>
      <c r="H30" s="1729">
        <f>SUM(H14:H29)</f>
        <v>0</v>
      </c>
      <c r="I30" s="1728"/>
      <c r="J30" s="1728">
        <f>SUM(J14:J29)</f>
        <v>0</v>
      </c>
      <c r="K30" s="1730">
        <f>SUM(K14:K29)</f>
        <v>0</v>
      </c>
      <c r="L30" s="1728"/>
    </row>
    <row r="31" spans="1:12" ht="15.75">
      <c r="A31" s="1731" t="s">
        <v>1028</v>
      </c>
      <c r="B31" s="1732"/>
    </row>
    <row r="32" spans="1:12" ht="15.75">
      <c r="A32" s="1733" t="s">
        <v>1029</v>
      </c>
      <c r="B32" s="1734"/>
    </row>
    <row r="33" spans="1:10" ht="15.75">
      <c r="A33" s="1733" t="s">
        <v>1030</v>
      </c>
      <c r="B33" s="1734"/>
    </row>
    <row r="34" spans="1:10" ht="15.75">
      <c r="B34" s="3950" t="s">
        <v>162</v>
      </c>
      <c r="C34" s="3950"/>
      <c r="D34" s="1735"/>
      <c r="E34" s="1735"/>
      <c r="F34" s="1736" t="s">
        <v>1031</v>
      </c>
      <c r="I34" s="1736"/>
      <c r="J34" s="1736"/>
    </row>
    <row r="38" spans="1:10">
      <c r="B38" s="4952"/>
      <c r="C38" s="4952"/>
    </row>
  </sheetData>
  <mergeCells count="10">
    <mergeCell ref="A30:D30"/>
    <mergeCell ref="B34:C34"/>
    <mergeCell ref="B38:C38"/>
    <mergeCell ref="A1:L1"/>
    <mergeCell ref="A2:L2"/>
    <mergeCell ref="A3:G3"/>
    <mergeCell ref="A4:G4"/>
    <mergeCell ref="B6:L6"/>
    <mergeCell ref="D14:D29"/>
    <mergeCell ref="A5:L5"/>
  </mergeCells>
  <pageMargins left="0.64" right="0.5" top="0.75" bottom="0.75" header="0.33" footer="0.3"/>
  <pageSetup paperSize="9"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6"/>
  <sheetViews>
    <sheetView topLeftCell="A74" workbookViewId="0">
      <selection activeCell="A77" sqref="A1:XFD1048576"/>
    </sheetView>
  </sheetViews>
  <sheetFormatPr defaultColWidth="9.25" defaultRowHeight="12.75"/>
  <cols>
    <col min="1" max="1" width="4.125" style="1879" customWidth="1"/>
    <col min="2" max="2" width="12.625" style="1879" customWidth="1"/>
    <col min="3" max="5" width="2.375" style="1879" customWidth="1"/>
    <col min="6" max="6" width="4.25" style="1879" customWidth="1"/>
    <col min="7" max="7" width="4.625" style="1879" customWidth="1"/>
    <col min="8" max="8" width="4.25" style="1879" customWidth="1"/>
    <col min="9" max="9" width="5" style="1879" customWidth="1"/>
    <col min="10" max="10" width="3.75" style="1879" customWidth="1"/>
    <col min="11" max="13" width="4.875" style="1879" customWidth="1"/>
    <col min="14" max="14" width="5.375" style="1879" customWidth="1"/>
    <col min="15" max="18" width="4.875" style="1879" customWidth="1"/>
    <col min="19" max="20" width="5.375" style="1879" customWidth="1"/>
    <col min="21" max="21" width="6.625" style="1879" customWidth="1"/>
    <col min="22" max="22" width="9" style="1879" customWidth="1"/>
    <col min="23" max="23" width="8.125" style="1879" customWidth="1"/>
    <col min="24" max="16384" width="9.25" style="1879"/>
  </cols>
  <sheetData>
    <row r="1" spans="1:26" s="1878" customFormat="1" ht="15.75">
      <c r="A1" s="1877" t="s">
        <v>574</v>
      </c>
      <c r="B1" s="1877"/>
      <c r="C1" s="1877"/>
      <c r="D1" s="1877"/>
      <c r="E1" s="1877"/>
      <c r="F1" s="1877"/>
      <c r="G1" s="1877"/>
      <c r="P1" s="4963" t="s">
        <v>165</v>
      </c>
      <c r="Q1" s="4963"/>
      <c r="R1" s="4963"/>
      <c r="S1" s="4963"/>
      <c r="T1" s="4963"/>
      <c r="U1" s="4963"/>
      <c r="V1" s="4963"/>
      <c r="W1" s="4963"/>
    </row>
    <row r="2" spans="1:26" ht="15.75">
      <c r="A2" s="4963" t="s">
        <v>1105</v>
      </c>
      <c r="B2" s="4963"/>
      <c r="C2" s="4963"/>
      <c r="D2" s="4963"/>
      <c r="E2" s="4963"/>
      <c r="F2" s="4963"/>
      <c r="G2" s="4963"/>
      <c r="H2" s="4963"/>
      <c r="I2" s="4963"/>
      <c r="P2" s="4963" t="s">
        <v>171</v>
      </c>
      <c r="Q2" s="4963"/>
      <c r="R2" s="4963"/>
      <c r="S2" s="4963"/>
      <c r="T2" s="4963"/>
      <c r="U2" s="4963"/>
      <c r="V2" s="4963"/>
      <c r="W2" s="4963"/>
    </row>
    <row r="3" spans="1:26" ht="15.75">
      <c r="A3" s="4963" t="s">
        <v>321</v>
      </c>
      <c r="B3" s="4963"/>
      <c r="C3" s="4963"/>
      <c r="D3" s="4963"/>
      <c r="E3" s="4963"/>
      <c r="F3" s="4963"/>
      <c r="G3" s="4963"/>
    </row>
    <row r="4" spans="1:26" ht="9" customHeight="1">
      <c r="A4" s="1880"/>
      <c r="B4" s="1880"/>
      <c r="C4" s="1880"/>
      <c r="D4" s="1880"/>
      <c r="E4" s="1880"/>
    </row>
    <row r="5" spans="1:26" ht="18.75">
      <c r="A5" s="4964" t="s">
        <v>1115</v>
      </c>
      <c r="B5" s="4964"/>
      <c r="C5" s="4964"/>
      <c r="D5" s="4964"/>
      <c r="E5" s="4964"/>
      <c r="F5" s="4964"/>
      <c r="G5" s="4964"/>
      <c r="H5" s="4964"/>
      <c r="I5" s="4964"/>
      <c r="J5" s="4964"/>
      <c r="K5" s="4964"/>
      <c r="L5" s="4964"/>
      <c r="M5" s="4964"/>
      <c r="N5" s="4964"/>
      <c r="O5" s="4964"/>
      <c r="P5" s="4964"/>
      <c r="Q5" s="4964"/>
      <c r="R5" s="4964"/>
      <c r="S5" s="4964"/>
      <c r="T5" s="4964"/>
      <c r="U5" s="4964"/>
      <c r="V5" s="4964"/>
      <c r="W5" s="4964"/>
    </row>
    <row r="6" spans="1:26" ht="21" customHeight="1">
      <c r="V6" s="4965"/>
      <c r="W6" s="4965"/>
    </row>
    <row r="7" spans="1:26" ht="17.25" customHeight="1">
      <c r="A7" s="4980" t="s">
        <v>19</v>
      </c>
      <c r="B7" s="4980" t="s">
        <v>1107</v>
      </c>
      <c r="C7" s="4983" t="s">
        <v>116</v>
      </c>
      <c r="D7" s="4984"/>
      <c r="E7" s="4984"/>
      <c r="F7" s="4989" t="s">
        <v>117</v>
      </c>
      <c r="G7" s="4989"/>
      <c r="H7" s="4989"/>
      <c r="I7" s="4989"/>
      <c r="J7" s="4989"/>
      <c r="K7" s="4989"/>
      <c r="L7" s="4989"/>
      <c r="M7" s="4989"/>
      <c r="N7" s="4989"/>
      <c r="O7" s="4989"/>
      <c r="P7" s="4989"/>
      <c r="Q7" s="4989"/>
      <c r="R7" s="4989"/>
      <c r="S7" s="4989"/>
      <c r="T7" s="4989"/>
      <c r="U7" s="4989"/>
      <c r="V7" s="4990"/>
      <c r="W7" s="4972" t="s">
        <v>118</v>
      </c>
      <c r="Z7" s="1881"/>
    </row>
    <row r="8" spans="1:26" ht="16.5">
      <c r="A8" s="4981"/>
      <c r="B8" s="4981"/>
      <c r="C8" s="4985"/>
      <c r="D8" s="4986"/>
      <c r="E8" s="4986"/>
      <c r="F8" s="4975" t="s">
        <v>119</v>
      </c>
      <c r="G8" s="4976" t="s">
        <v>120</v>
      </c>
      <c r="H8" s="4976"/>
      <c r="I8" s="4976" t="s">
        <v>121</v>
      </c>
      <c r="J8" s="4976"/>
      <c r="K8" s="4976" t="s">
        <v>122</v>
      </c>
      <c r="L8" s="4976"/>
      <c r="M8" s="4976"/>
      <c r="N8" s="4976" t="s">
        <v>123</v>
      </c>
      <c r="O8" s="4976"/>
      <c r="P8" s="4976"/>
      <c r="Q8" s="4976"/>
      <c r="R8" s="4975" t="s">
        <v>124</v>
      </c>
      <c r="S8" s="4975" t="s">
        <v>125</v>
      </c>
      <c r="T8" s="4975" t="s">
        <v>126</v>
      </c>
      <c r="U8" s="4975" t="s">
        <v>127</v>
      </c>
      <c r="V8" s="4977" t="s">
        <v>128</v>
      </c>
      <c r="W8" s="4973"/>
      <c r="Z8" s="1882"/>
    </row>
    <row r="9" spans="1:26" ht="57.75" customHeight="1">
      <c r="A9" s="4981"/>
      <c r="B9" s="4981"/>
      <c r="C9" s="4985"/>
      <c r="D9" s="4986"/>
      <c r="E9" s="4986"/>
      <c r="F9" s="4975"/>
      <c r="G9" s="1883" t="s">
        <v>129</v>
      </c>
      <c r="H9" s="1883" t="s">
        <v>130</v>
      </c>
      <c r="I9" s="1884" t="s">
        <v>129</v>
      </c>
      <c r="J9" s="1883" t="s">
        <v>130</v>
      </c>
      <c r="K9" s="1883" t="s">
        <v>131</v>
      </c>
      <c r="L9" s="1883" t="s">
        <v>132</v>
      </c>
      <c r="M9" s="1883" t="s">
        <v>133</v>
      </c>
      <c r="N9" s="1883" t="s">
        <v>134</v>
      </c>
      <c r="O9" s="1884" t="s">
        <v>135</v>
      </c>
      <c r="P9" s="1883" t="s">
        <v>136</v>
      </c>
      <c r="Q9" s="1883" t="s">
        <v>137</v>
      </c>
      <c r="R9" s="4975"/>
      <c r="S9" s="4975"/>
      <c r="T9" s="4975"/>
      <c r="U9" s="4975"/>
      <c r="V9" s="4977"/>
      <c r="W9" s="4973"/>
      <c r="Z9" s="1885"/>
    </row>
    <row r="10" spans="1:26" ht="23.25" customHeight="1">
      <c r="A10" s="4982"/>
      <c r="B10" s="4982"/>
      <c r="C10" s="4987"/>
      <c r="D10" s="4988"/>
      <c r="E10" s="4988"/>
      <c r="F10" s="1907" t="s">
        <v>138</v>
      </c>
      <c r="G10" s="1908" t="s">
        <v>139</v>
      </c>
      <c r="H10" s="1908" t="s">
        <v>139</v>
      </c>
      <c r="I10" s="1908" t="s">
        <v>140</v>
      </c>
      <c r="J10" s="1908" t="s">
        <v>140</v>
      </c>
      <c r="K10" s="1908" t="s">
        <v>141</v>
      </c>
      <c r="L10" s="1907"/>
      <c r="M10" s="1907" t="s">
        <v>142</v>
      </c>
      <c r="N10" s="1909"/>
      <c r="O10" s="1910"/>
      <c r="P10" s="1911" t="s">
        <v>143</v>
      </c>
      <c r="Q10" s="1911"/>
      <c r="R10" s="1912" t="s">
        <v>144</v>
      </c>
      <c r="S10" s="1909"/>
      <c r="T10" s="1913" t="s">
        <v>145</v>
      </c>
      <c r="U10" s="1911"/>
      <c r="V10" s="1914"/>
      <c r="W10" s="4973"/>
    </row>
    <row r="11" spans="1:26" ht="18" customHeight="1">
      <c r="A11" s="4978" t="s">
        <v>146</v>
      </c>
      <c r="B11" s="4979"/>
      <c r="C11" s="1925" t="s">
        <v>147</v>
      </c>
      <c r="D11" s="1926" t="s">
        <v>148</v>
      </c>
      <c r="E11" s="1926" t="s">
        <v>149</v>
      </c>
      <c r="F11" s="1927">
        <v>1</v>
      </c>
      <c r="G11" s="1927">
        <v>4</v>
      </c>
      <c r="H11" s="1927">
        <v>2</v>
      </c>
      <c r="I11" s="1927">
        <v>5</v>
      </c>
      <c r="J11" s="1927">
        <v>3</v>
      </c>
      <c r="K11" s="1927">
        <v>3</v>
      </c>
      <c r="L11" s="1927">
        <v>2</v>
      </c>
      <c r="M11" s="1927">
        <v>5</v>
      </c>
      <c r="N11" s="1927">
        <v>1</v>
      </c>
      <c r="O11" s="1927">
        <v>2</v>
      </c>
      <c r="P11" s="1927">
        <v>1</v>
      </c>
      <c r="Q11" s="1927">
        <v>1</v>
      </c>
      <c r="R11" s="1927">
        <v>3</v>
      </c>
      <c r="S11" s="1927">
        <v>5</v>
      </c>
      <c r="T11" s="1927">
        <v>2</v>
      </c>
      <c r="U11" s="1927">
        <v>2</v>
      </c>
      <c r="V11" s="1928">
        <v>2</v>
      </c>
      <c r="W11" s="4974"/>
    </row>
    <row r="12" spans="1:26" ht="17.25" customHeight="1">
      <c r="A12" s="4966">
        <v>1</v>
      </c>
      <c r="B12" s="4966">
        <f>'kt1'!B14</f>
        <v>0</v>
      </c>
      <c r="C12" s="1922"/>
      <c r="D12" s="1903"/>
      <c r="E12" s="1903"/>
      <c r="F12" s="1904"/>
      <c r="G12" s="1904"/>
      <c r="H12" s="1904"/>
      <c r="I12" s="1904"/>
      <c r="J12" s="1904"/>
      <c r="K12" s="1904"/>
      <c r="L12" s="1904"/>
      <c r="M12" s="1904"/>
      <c r="N12" s="1904"/>
      <c r="O12" s="1904"/>
      <c r="P12" s="1904"/>
      <c r="Q12" s="1904"/>
      <c r="R12" s="1904"/>
      <c r="S12" s="1904"/>
      <c r="T12" s="1904"/>
      <c r="U12" s="1904"/>
      <c r="V12" s="1916"/>
      <c r="W12" s="4969"/>
    </row>
    <row r="13" spans="1:26" ht="17.25" customHeight="1">
      <c r="A13" s="4967"/>
      <c r="B13" s="4967"/>
      <c r="C13" s="1923"/>
      <c r="D13" s="1886"/>
      <c r="E13" s="1886"/>
      <c r="F13" s="1887"/>
      <c r="G13" s="1887"/>
      <c r="H13" s="1887"/>
      <c r="I13" s="1887"/>
      <c r="J13" s="1887"/>
      <c r="K13" s="1887"/>
      <c r="L13" s="1887"/>
      <c r="M13" s="1887"/>
      <c r="N13" s="1887"/>
      <c r="O13" s="1887"/>
      <c r="P13" s="1887"/>
      <c r="Q13" s="1887"/>
      <c r="R13" s="1887"/>
      <c r="S13" s="1887"/>
      <c r="T13" s="1887"/>
      <c r="U13" s="1887"/>
      <c r="V13" s="1917"/>
      <c r="W13" s="4970"/>
    </row>
    <row r="14" spans="1:26" ht="17.25" customHeight="1">
      <c r="A14" s="4967"/>
      <c r="B14" s="4967"/>
      <c r="C14" s="1923"/>
      <c r="D14" s="1886"/>
      <c r="E14" s="1886"/>
      <c r="F14" s="1887"/>
      <c r="G14" s="1887"/>
      <c r="H14" s="1887"/>
      <c r="I14" s="1887"/>
      <c r="J14" s="1887"/>
      <c r="K14" s="1887"/>
      <c r="L14" s="1887"/>
      <c r="M14" s="1887"/>
      <c r="N14" s="1887"/>
      <c r="O14" s="1887"/>
      <c r="P14" s="1887"/>
      <c r="Q14" s="1887"/>
      <c r="R14" s="1887"/>
      <c r="S14" s="1887"/>
      <c r="T14" s="1887"/>
      <c r="U14" s="1887"/>
      <c r="V14" s="1917"/>
      <c r="W14" s="4970"/>
    </row>
    <row r="15" spans="1:26" ht="17.25" customHeight="1">
      <c r="A15" s="4967"/>
      <c r="B15" s="4967"/>
      <c r="C15" s="1923"/>
      <c r="D15" s="1886"/>
      <c r="E15" s="1886"/>
      <c r="F15" s="1887"/>
      <c r="G15" s="1887"/>
      <c r="H15" s="1887"/>
      <c r="I15" s="1887"/>
      <c r="J15" s="1887"/>
      <c r="K15" s="1887"/>
      <c r="L15" s="1887"/>
      <c r="M15" s="1887"/>
      <c r="N15" s="1887"/>
      <c r="O15" s="1887"/>
      <c r="P15" s="1887"/>
      <c r="Q15" s="1887"/>
      <c r="R15" s="1887"/>
      <c r="S15" s="1887"/>
      <c r="T15" s="1887"/>
      <c r="U15" s="1887"/>
      <c r="V15" s="1917"/>
      <c r="W15" s="4970"/>
    </row>
    <row r="16" spans="1:26" ht="17.25" customHeight="1">
      <c r="A16" s="4968"/>
      <c r="B16" s="4968"/>
      <c r="C16" s="1924"/>
      <c r="D16" s="1901"/>
      <c r="E16" s="1901"/>
      <c r="F16" s="1902"/>
      <c r="G16" s="1902"/>
      <c r="H16" s="1902"/>
      <c r="I16" s="1902"/>
      <c r="J16" s="1902"/>
      <c r="K16" s="1902"/>
      <c r="L16" s="1902"/>
      <c r="M16" s="1902"/>
      <c r="N16" s="1902"/>
      <c r="O16" s="1902"/>
      <c r="P16" s="1902"/>
      <c r="Q16" s="1902"/>
      <c r="R16" s="1902"/>
      <c r="S16" s="1902"/>
      <c r="T16" s="1902"/>
      <c r="U16" s="1902"/>
      <c r="V16" s="1918"/>
      <c r="W16" s="4971"/>
    </row>
    <row r="17" spans="1:23" ht="17.25" customHeight="1">
      <c r="A17" s="4966">
        <v>2</v>
      </c>
      <c r="B17" s="4966" t="str">
        <f>'kt1'!B15</f>
        <v>Vắt Đi</v>
      </c>
      <c r="C17" s="1922"/>
      <c r="D17" s="1903"/>
      <c r="E17" s="1903"/>
      <c r="F17" s="1904"/>
      <c r="G17" s="1904"/>
      <c r="H17" s="1904"/>
      <c r="I17" s="1904"/>
      <c r="J17" s="1904"/>
      <c r="K17" s="1904"/>
      <c r="L17" s="1904"/>
      <c r="M17" s="1904"/>
      <c r="N17" s="1904"/>
      <c r="O17" s="1904"/>
      <c r="P17" s="1904"/>
      <c r="Q17" s="1904"/>
      <c r="R17" s="1904"/>
      <c r="S17" s="1904"/>
      <c r="T17" s="1904"/>
      <c r="U17" s="1904"/>
      <c r="V17" s="1916"/>
      <c r="W17" s="4969"/>
    </row>
    <row r="18" spans="1:23" ht="17.25" customHeight="1">
      <c r="A18" s="4967"/>
      <c r="B18" s="4967"/>
      <c r="C18" s="1923"/>
      <c r="D18" s="1886"/>
      <c r="E18" s="1886"/>
      <c r="F18" s="1887"/>
      <c r="G18" s="1887"/>
      <c r="H18" s="1887"/>
      <c r="I18" s="1887"/>
      <c r="J18" s="1887"/>
      <c r="K18" s="1887"/>
      <c r="L18" s="1887"/>
      <c r="M18" s="1887"/>
      <c r="N18" s="1887"/>
      <c r="O18" s="1887"/>
      <c r="P18" s="1887"/>
      <c r="Q18" s="1887"/>
      <c r="R18" s="1887"/>
      <c r="S18" s="1887"/>
      <c r="T18" s="1887"/>
      <c r="U18" s="1887"/>
      <c r="V18" s="1917"/>
      <c r="W18" s="4970"/>
    </row>
    <row r="19" spans="1:23" ht="17.25" customHeight="1">
      <c r="A19" s="4967"/>
      <c r="B19" s="4967"/>
      <c r="C19" s="1923"/>
      <c r="D19" s="1886"/>
      <c r="E19" s="1886"/>
      <c r="F19" s="1887"/>
      <c r="G19" s="1887"/>
      <c r="H19" s="1887"/>
      <c r="I19" s="1887"/>
      <c r="J19" s="1887"/>
      <c r="K19" s="1887"/>
      <c r="L19" s="1887"/>
      <c r="M19" s="1887"/>
      <c r="N19" s="1887"/>
      <c r="O19" s="1887"/>
      <c r="P19" s="1887"/>
      <c r="Q19" s="1887"/>
      <c r="R19" s="1887"/>
      <c r="S19" s="1887"/>
      <c r="T19" s="1887"/>
      <c r="U19" s="1887"/>
      <c r="V19" s="1917"/>
      <c r="W19" s="4970"/>
    </row>
    <row r="20" spans="1:23" ht="17.25" customHeight="1">
      <c r="A20" s="4967"/>
      <c r="B20" s="4967"/>
      <c r="C20" s="1923"/>
      <c r="D20" s="1886"/>
      <c r="E20" s="1886"/>
      <c r="F20" s="1887"/>
      <c r="G20" s="1887"/>
      <c r="H20" s="1887"/>
      <c r="I20" s="1887"/>
      <c r="J20" s="1887"/>
      <c r="K20" s="1887"/>
      <c r="L20" s="1887"/>
      <c r="M20" s="1887"/>
      <c r="N20" s="1887"/>
      <c r="O20" s="1887"/>
      <c r="P20" s="1887"/>
      <c r="Q20" s="1887"/>
      <c r="R20" s="1887"/>
      <c r="S20" s="1887"/>
      <c r="T20" s="1887"/>
      <c r="U20" s="1887"/>
      <c r="V20" s="1917"/>
      <c r="W20" s="4970"/>
    </row>
    <row r="21" spans="1:23" ht="17.25" customHeight="1">
      <c r="A21" s="4968"/>
      <c r="B21" s="4968"/>
      <c r="C21" s="1924"/>
      <c r="D21" s="1901"/>
      <c r="E21" s="1901"/>
      <c r="F21" s="1902"/>
      <c r="G21" s="1902"/>
      <c r="H21" s="1902"/>
      <c r="I21" s="1902"/>
      <c r="J21" s="1902"/>
      <c r="K21" s="1902"/>
      <c r="L21" s="1902"/>
      <c r="M21" s="1902"/>
      <c r="N21" s="1902"/>
      <c r="O21" s="1902"/>
      <c r="P21" s="1902"/>
      <c r="Q21" s="1902"/>
      <c r="R21" s="1902"/>
      <c r="S21" s="1902"/>
      <c r="T21" s="1902"/>
      <c r="U21" s="1902"/>
      <c r="V21" s="1918"/>
      <c r="W21" s="4971"/>
    </row>
    <row r="22" spans="1:23" ht="21" customHeight="1">
      <c r="A22" s="4966">
        <v>3</v>
      </c>
      <c r="B22" s="4966" t="str">
        <f>'kt1'!B16</f>
        <v>Mẹ Leo</v>
      </c>
      <c r="C22" s="1922"/>
      <c r="D22" s="1903"/>
      <c r="E22" s="1903"/>
      <c r="F22" s="1904"/>
      <c r="G22" s="1904"/>
      <c r="H22" s="1904"/>
      <c r="I22" s="1904"/>
      <c r="J22" s="1904"/>
      <c r="K22" s="1904"/>
      <c r="L22" s="1904"/>
      <c r="M22" s="1904"/>
      <c r="N22" s="1904"/>
      <c r="O22" s="1904"/>
      <c r="P22" s="1904"/>
      <c r="Q22" s="1904"/>
      <c r="R22" s="1904"/>
      <c r="S22" s="1904"/>
      <c r="T22" s="1904"/>
      <c r="U22" s="1904"/>
      <c r="V22" s="1916"/>
      <c r="W22" s="4969"/>
    </row>
    <row r="23" spans="1:23" ht="21" customHeight="1">
      <c r="A23" s="4967"/>
      <c r="B23" s="4967"/>
      <c r="C23" s="1923"/>
      <c r="D23" s="1886"/>
      <c r="E23" s="1886"/>
      <c r="F23" s="1887"/>
      <c r="G23" s="1887"/>
      <c r="H23" s="1887"/>
      <c r="I23" s="1887"/>
      <c r="J23" s="1887"/>
      <c r="K23" s="1887"/>
      <c r="L23" s="1887"/>
      <c r="M23" s="1887"/>
      <c r="N23" s="1887"/>
      <c r="O23" s="1887"/>
      <c r="P23" s="1887"/>
      <c r="Q23" s="1887"/>
      <c r="R23" s="1887"/>
      <c r="S23" s="1887"/>
      <c r="T23" s="1887"/>
      <c r="U23" s="1887"/>
      <c r="V23" s="1917"/>
      <c r="W23" s="4970"/>
    </row>
    <row r="24" spans="1:23" ht="21" customHeight="1">
      <c r="A24" s="4967"/>
      <c r="B24" s="4967"/>
      <c r="C24" s="1923"/>
      <c r="D24" s="1886"/>
      <c r="E24" s="1886"/>
      <c r="F24" s="1887"/>
      <c r="G24" s="1887"/>
      <c r="H24" s="1887"/>
      <c r="I24" s="1887"/>
      <c r="J24" s="1887"/>
      <c r="K24" s="1887"/>
      <c r="L24" s="1887"/>
      <c r="M24" s="1887"/>
      <c r="N24" s="1887"/>
      <c r="O24" s="1887"/>
      <c r="P24" s="1887"/>
      <c r="Q24" s="1887"/>
      <c r="R24" s="1887"/>
      <c r="S24" s="1887"/>
      <c r="T24" s="1887"/>
      <c r="U24" s="1887"/>
      <c r="V24" s="1917"/>
      <c r="W24" s="4970"/>
    </row>
    <row r="25" spans="1:23" ht="21" customHeight="1">
      <c r="A25" s="4967"/>
      <c r="B25" s="4967"/>
      <c r="C25" s="1923"/>
      <c r="D25" s="1886"/>
      <c r="E25" s="1886"/>
      <c r="F25" s="1887"/>
      <c r="G25" s="1887"/>
      <c r="H25" s="1887"/>
      <c r="I25" s="1887"/>
      <c r="J25" s="1887"/>
      <c r="K25" s="1887"/>
      <c r="L25" s="1887"/>
      <c r="M25" s="1887"/>
      <c r="N25" s="1887"/>
      <c r="O25" s="1887"/>
      <c r="P25" s="1887"/>
      <c r="Q25" s="1887"/>
      <c r="R25" s="1887"/>
      <c r="S25" s="1887"/>
      <c r="T25" s="1887"/>
      <c r="U25" s="1887"/>
      <c r="V25" s="1917"/>
      <c r="W25" s="4970"/>
    </row>
    <row r="26" spans="1:23" ht="21" customHeight="1">
      <c r="A26" s="4968"/>
      <c r="B26" s="4968"/>
      <c r="C26" s="1924"/>
      <c r="D26" s="1901"/>
      <c r="E26" s="1901"/>
      <c r="F26" s="1902"/>
      <c r="G26" s="1902"/>
      <c r="H26" s="1902"/>
      <c r="I26" s="1902"/>
      <c r="J26" s="1902"/>
      <c r="K26" s="1902"/>
      <c r="L26" s="1902"/>
      <c r="M26" s="1902"/>
      <c r="N26" s="1902"/>
      <c r="O26" s="1902"/>
      <c r="P26" s="1902"/>
      <c r="Q26" s="1902"/>
      <c r="R26" s="1902"/>
      <c r="S26" s="1902"/>
      <c r="T26" s="1902"/>
      <c r="U26" s="1902"/>
      <c r="V26" s="1918"/>
      <c r="W26" s="4971"/>
    </row>
    <row r="27" spans="1:23" ht="19.5" hidden="1" customHeight="1">
      <c r="A27" s="4966">
        <v>4</v>
      </c>
      <c r="B27" s="4966" t="str">
        <f>'kt1'!B17</f>
        <v xml:space="preserve">Thảo Ken </v>
      </c>
      <c r="C27" s="1922"/>
      <c r="D27" s="1903"/>
      <c r="E27" s="1903"/>
      <c r="F27" s="1904"/>
      <c r="G27" s="1904"/>
      <c r="H27" s="1904"/>
      <c r="I27" s="1904"/>
      <c r="J27" s="1904"/>
      <c r="K27" s="1904"/>
      <c r="L27" s="1904"/>
      <c r="M27" s="1904"/>
      <c r="N27" s="1904"/>
      <c r="O27" s="1904"/>
      <c r="P27" s="1904"/>
      <c r="Q27" s="1904"/>
      <c r="R27" s="1904"/>
      <c r="S27" s="1904"/>
      <c r="T27" s="1904"/>
      <c r="U27" s="1904"/>
      <c r="V27" s="1916"/>
      <c r="W27" s="4969"/>
    </row>
    <row r="28" spans="1:23" ht="19.5" hidden="1" customHeight="1">
      <c r="A28" s="4967"/>
      <c r="B28" s="4967"/>
      <c r="C28" s="1923"/>
      <c r="D28" s="1886"/>
      <c r="E28" s="1886"/>
      <c r="F28" s="1887"/>
      <c r="G28" s="1887"/>
      <c r="H28" s="1887"/>
      <c r="I28" s="1887"/>
      <c r="J28" s="1887"/>
      <c r="K28" s="1887"/>
      <c r="L28" s="1887"/>
      <c r="M28" s="1887"/>
      <c r="N28" s="1887"/>
      <c r="O28" s="1887"/>
      <c r="P28" s="1887"/>
      <c r="Q28" s="1887"/>
      <c r="R28" s="1887"/>
      <c r="S28" s="1887"/>
      <c r="T28" s="1887"/>
      <c r="U28" s="1887"/>
      <c r="V28" s="1917"/>
      <c r="W28" s="4970"/>
    </row>
    <row r="29" spans="1:23" ht="19.5" hidden="1" customHeight="1">
      <c r="A29" s="4967"/>
      <c r="B29" s="4967"/>
      <c r="C29" s="1923"/>
      <c r="D29" s="1886"/>
      <c r="E29" s="1886"/>
      <c r="F29" s="1887"/>
      <c r="G29" s="1887"/>
      <c r="H29" s="1887"/>
      <c r="I29" s="1887"/>
      <c r="J29" s="1887"/>
      <c r="K29" s="1887"/>
      <c r="L29" s="1887"/>
      <c r="M29" s="1887"/>
      <c r="N29" s="1887"/>
      <c r="O29" s="1887"/>
      <c r="P29" s="1887"/>
      <c r="Q29" s="1887"/>
      <c r="R29" s="1887"/>
      <c r="S29" s="1887"/>
      <c r="T29" s="1887"/>
      <c r="U29" s="1887"/>
      <c r="V29" s="1917"/>
      <c r="W29" s="4970"/>
    </row>
    <row r="30" spans="1:23" ht="19.5" hidden="1" customHeight="1">
      <c r="A30" s="4967"/>
      <c r="B30" s="4967"/>
      <c r="C30" s="1923"/>
      <c r="D30" s="1886"/>
      <c r="E30" s="1886"/>
      <c r="F30" s="1887"/>
      <c r="G30" s="1887"/>
      <c r="H30" s="1887"/>
      <c r="I30" s="1887"/>
      <c r="J30" s="1887"/>
      <c r="K30" s="1887"/>
      <c r="L30" s="1887"/>
      <c r="M30" s="1887"/>
      <c r="N30" s="1887"/>
      <c r="O30" s="1887"/>
      <c r="P30" s="1887"/>
      <c r="Q30" s="1887"/>
      <c r="R30" s="1887"/>
      <c r="S30" s="1887"/>
      <c r="T30" s="1887"/>
      <c r="U30" s="1887"/>
      <c r="V30" s="1917"/>
      <c r="W30" s="4970"/>
    </row>
    <row r="31" spans="1:23" ht="19.5" hidden="1" customHeight="1">
      <c r="A31" s="4968"/>
      <c r="B31" s="4968"/>
      <c r="C31" s="1924"/>
      <c r="D31" s="1901"/>
      <c r="E31" s="1901"/>
      <c r="F31" s="1902"/>
      <c r="G31" s="1902"/>
      <c r="H31" s="1902"/>
      <c r="I31" s="1902"/>
      <c r="J31" s="1902"/>
      <c r="K31" s="1902"/>
      <c r="L31" s="1902"/>
      <c r="M31" s="1902"/>
      <c r="N31" s="1902"/>
      <c r="O31" s="1902"/>
      <c r="P31" s="1902"/>
      <c r="Q31" s="1902"/>
      <c r="R31" s="1902"/>
      <c r="S31" s="1902"/>
      <c r="T31" s="1902"/>
      <c r="U31" s="1902"/>
      <c r="V31" s="1918"/>
      <c r="W31" s="4971"/>
    </row>
    <row r="32" spans="1:23" ht="17.25" customHeight="1">
      <c r="A32" s="4966">
        <v>5</v>
      </c>
      <c r="B32" s="4966" t="str">
        <f>'kt1'!B18</f>
        <v>Thảo Phút</v>
      </c>
      <c r="C32" s="1922"/>
      <c r="D32" s="1903"/>
      <c r="E32" s="1903"/>
      <c r="F32" s="1904"/>
      <c r="G32" s="1904"/>
      <c r="H32" s="1904"/>
      <c r="I32" s="1904"/>
      <c r="J32" s="1904"/>
      <c r="K32" s="1904"/>
      <c r="L32" s="1904"/>
      <c r="M32" s="1904"/>
      <c r="N32" s="1904"/>
      <c r="O32" s="1904"/>
      <c r="P32" s="1904"/>
      <c r="Q32" s="1904"/>
      <c r="R32" s="1904"/>
      <c r="S32" s="1904"/>
      <c r="T32" s="1904"/>
      <c r="U32" s="1904"/>
      <c r="V32" s="1916"/>
      <c r="W32" s="4969"/>
    </row>
    <row r="33" spans="1:23" ht="17.25" customHeight="1">
      <c r="A33" s="4967"/>
      <c r="B33" s="4967"/>
      <c r="C33" s="1923"/>
      <c r="D33" s="1886"/>
      <c r="E33" s="1886"/>
      <c r="F33" s="1887"/>
      <c r="G33" s="1887"/>
      <c r="H33" s="1887"/>
      <c r="I33" s="1887"/>
      <c r="J33" s="1887"/>
      <c r="K33" s="1887"/>
      <c r="L33" s="1887"/>
      <c r="M33" s="1887"/>
      <c r="N33" s="1887"/>
      <c r="O33" s="1887"/>
      <c r="P33" s="1887"/>
      <c r="Q33" s="1887"/>
      <c r="R33" s="1887"/>
      <c r="S33" s="1887"/>
      <c r="T33" s="1887"/>
      <c r="U33" s="1887"/>
      <c r="V33" s="1917"/>
      <c r="W33" s="4970"/>
    </row>
    <row r="34" spans="1:23" ht="17.25" customHeight="1">
      <c r="A34" s="4967"/>
      <c r="B34" s="4967"/>
      <c r="C34" s="1923"/>
      <c r="D34" s="1886"/>
      <c r="E34" s="1886"/>
      <c r="F34" s="1887"/>
      <c r="G34" s="1887"/>
      <c r="H34" s="1887"/>
      <c r="I34" s="1887"/>
      <c r="J34" s="1887"/>
      <c r="K34" s="1887"/>
      <c r="L34" s="1887"/>
      <c r="M34" s="1887"/>
      <c r="N34" s="1887"/>
      <c r="O34" s="1887"/>
      <c r="P34" s="1887"/>
      <c r="Q34" s="1887"/>
      <c r="R34" s="1887"/>
      <c r="S34" s="1887"/>
      <c r="T34" s="1887"/>
      <c r="U34" s="1887"/>
      <c r="V34" s="1917"/>
      <c r="W34" s="4970"/>
    </row>
    <row r="35" spans="1:23" ht="17.25" customHeight="1">
      <c r="A35" s="4967"/>
      <c r="B35" s="4967"/>
      <c r="C35" s="1923"/>
      <c r="D35" s="1886"/>
      <c r="E35" s="1886"/>
      <c r="F35" s="1887"/>
      <c r="G35" s="1887"/>
      <c r="H35" s="1887"/>
      <c r="I35" s="1887"/>
      <c r="J35" s="1887"/>
      <c r="K35" s="1887"/>
      <c r="L35" s="1887"/>
      <c r="M35" s="1887"/>
      <c r="N35" s="1887"/>
      <c r="O35" s="1887"/>
      <c r="P35" s="1887"/>
      <c r="Q35" s="1887"/>
      <c r="R35" s="1887"/>
      <c r="S35" s="1887"/>
      <c r="T35" s="1887"/>
      <c r="U35" s="1887"/>
      <c r="V35" s="1917"/>
      <c r="W35" s="4970"/>
    </row>
    <row r="36" spans="1:23" ht="17.25" customHeight="1">
      <c r="A36" s="4968"/>
      <c r="B36" s="4968"/>
      <c r="C36" s="1924"/>
      <c r="D36" s="1901"/>
      <c r="E36" s="1901"/>
      <c r="F36" s="1902"/>
      <c r="G36" s="1902"/>
      <c r="H36" s="1902"/>
      <c r="I36" s="1902"/>
      <c r="J36" s="1902"/>
      <c r="K36" s="1902"/>
      <c r="L36" s="1902"/>
      <c r="M36" s="1902"/>
      <c r="N36" s="1902"/>
      <c r="O36" s="1902"/>
      <c r="P36" s="1902"/>
      <c r="Q36" s="1902"/>
      <c r="R36" s="1902"/>
      <c r="S36" s="1902"/>
      <c r="T36" s="1902"/>
      <c r="U36" s="1902"/>
      <c r="V36" s="1918"/>
      <c r="W36" s="4971"/>
    </row>
    <row r="37" spans="1:23" ht="18.75" customHeight="1">
      <c r="A37" s="4966">
        <v>6</v>
      </c>
      <c r="B37" s="4966" t="str">
        <f>'kt1'!B19</f>
        <v>Thảo Mằn</v>
      </c>
      <c r="C37" s="1922"/>
      <c r="D37" s="1903"/>
      <c r="E37" s="1903"/>
      <c r="F37" s="1904"/>
      <c r="G37" s="1904"/>
      <c r="H37" s="1904"/>
      <c r="I37" s="1904"/>
      <c r="J37" s="1904"/>
      <c r="K37" s="1904"/>
      <c r="L37" s="1904"/>
      <c r="M37" s="1904"/>
      <c r="N37" s="1904"/>
      <c r="O37" s="1904"/>
      <c r="P37" s="1904"/>
      <c r="Q37" s="1904"/>
      <c r="R37" s="1904"/>
      <c r="S37" s="1904"/>
      <c r="T37" s="1904"/>
      <c r="U37" s="1904"/>
      <c r="V37" s="1919"/>
      <c r="W37" s="4969"/>
    </row>
    <row r="38" spans="1:23" ht="18.75" customHeight="1">
      <c r="A38" s="4967"/>
      <c r="B38" s="4967"/>
      <c r="C38" s="1923"/>
      <c r="D38" s="1886"/>
      <c r="E38" s="1886"/>
      <c r="F38" s="1887"/>
      <c r="G38" s="1887"/>
      <c r="H38" s="1887"/>
      <c r="I38" s="1887"/>
      <c r="J38" s="1887"/>
      <c r="K38" s="1887"/>
      <c r="L38" s="1887"/>
      <c r="M38" s="1887"/>
      <c r="N38" s="1887"/>
      <c r="O38" s="1887"/>
      <c r="P38" s="1887"/>
      <c r="Q38" s="1887"/>
      <c r="R38" s="1887"/>
      <c r="S38" s="1887"/>
      <c r="T38" s="1887"/>
      <c r="U38" s="1887"/>
      <c r="V38" s="1920"/>
      <c r="W38" s="4970"/>
    </row>
    <row r="39" spans="1:23" ht="18.75" customHeight="1">
      <c r="A39" s="4967"/>
      <c r="B39" s="4967"/>
      <c r="C39" s="1923"/>
      <c r="D39" s="1886"/>
      <c r="E39" s="1886"/>
      <c r="F39" s="1887"/>
      <c r="G39" s="1887"/>
      <c r="H39" s="1887"/>
      <c r="I39" s="1887"/>
      <c r="J39" s="1887"/>
      <c r="K39" s="1887"/>
      <c r="L39" s="1887"/>
      <c r="M39" s="1887"/>
      <c r="N39" s="1887"/>
      <c r="O39" s="1887"/>
      <c r="P39" s="1887"/>
      <c r="Q39" s="1887"/>
      <c r="R39" s="1887"/>
      <c r="S39" s="1887"/>
      <c r="T39" s="1887"/>
      <c r="U39" s="1887"/>
      <c r="V39" s="1920"/>
      <c r="W39" s="4970"/>
    </row>
    <row r="40" spans="1:23" ht="18.75" customHeight="1">
      <c r="A40" s="4967"/>
      <c r="B40" s="4967"/>
      <c r="C40" s="1923"/>
      <c r="D40" s="1886"/>
      <c r="E40" s="1886"/>
      <c r="F40" s="1887"/>
      <c r="G40" s="1887"/>
      <c r="H40" s="1887"/>
      <c r="I40" s="1887"/>
      <c r="J40" s="1887"/>
      <c r="K40" s="1887"/>
      <c r="L40" s="1887"/>
      <c r="M40" s="1887"/>
      <c r="N40" s="1887"/>
      <c r="O40" s="1887"/>
      <c r="P40" s="1887"/>
      <c r="Q40" s="1887"/>
      <c r="R40" s="1887"/>
      <c r="S40" s="1887"/>
      <c r="T40" s="1887"/>
      <c r="U40" s="1887"/>
      <c r="V40" s="1920"/>
      <c r="W40" s="4970"/>
    </row>
    <row r="41" spans="1:23" ht="18.75" customHeight="1">
      <c r="A41" s="4968"/>
      <c r="B41" s="4968"/>
      <c r="C41" s="1924"/>
      <c r="D41" s="1901"/>
      <c r="E41" s="1901"/>
      <c r="F41" s="1902"/>
      <c r="G41" s="1902"/>
      <c r="H41" s="1902"/>
      <c r="I41" s="1902"/>
      <c r="J41" s="1902"/>
      <c r="K41" s="1902"/>
      <c r="L41" s="1902"/>
      <c r="M41" s="1902"/>
      <c r="N41" s="1902"/>
      <c r="O41" s="1902"/>
      <c r="P41" s="1902"/>
      <c r="Q41" s="1902"/>
      <c r="R41" s="1902"/>
      <c r="S41" s="1902"/>
      <c r="T41" s="1902"/>
      <c r="U41" s="1902"/>
      <c r="V41" s="1921"/>
      <c r="W41" s="4971"/>
    </row>
    <row r="42" spans="1:23" ht="18" customHeight="1">
      <c r="A42" s="4966">
        <v>7</v>
      </c>
      <c r="B42" s="4966" t="str">
        <f>'kt1'!B20</f>
        <v>Nàng Chay</v>
      </c>
      <c r="C42" s="1922"/>
      <c r="D42" s="1903"/>
      <c r="E42" s="1903"/>
      <c r="F42" s="1904"/>
      <c r="G42" s="1904"/>
      <c r="H42" s="1904"/>
      <c r="I42" s="1904"/>
      <c r="J42" s="1904"/>
      <c r="K42" s="1904"/>
      <c r="L42" s="1904"/>
      <c r="M42" s="1904"/>
      <c r="N42" s="1904"/>
      <c r="O42" s="1904"/>
      <c r="P42" s="1904"/>
      <c r="Q42" s="1904"/>
      <c r="R42" s="1904"/>
      <c r="S42" s="1904"/>
      <c r="T42" s="1904"/>
      <c r="U42" s="1904"/>
      <c r="V42" s="1916"/>
      <c r="W42" s="4969"/>
    </row>
    <row r="43" spans="1:23" ht="18" customHeight="1">
      <c r="A43" s="4967"/>
      <c r="B43" s="4967"/>
      <c r="C43" s="1923"/>
      <c r="D43" s="1886"/>
      <c r="E43" s="1886"/>
      <c r="F43" s="1887"/>
      <c r="G43" s="1887"/>
      <c r="H43" s="1887"/>
      <c r="I43" s="1887"/>
      <c r="J43" s="1887"/>
      <c r="K43" s="1887"/>
      <c r="L43" s="1887"/>
      <c r="M43" s="1887"/>
      <c r="N43" s="1887"/>
      <c r="O43" s="1887"/>
      <c r="P43" s="1887"/>
      <c r="Q43" s="1887"/>
      <c r="R43" s="1887"/>
      <c r="S43" s="1887"/>
      <c r="T43" s="1887"/>
      <c r="U43" s="1887"/>
      <c r="V43" s="1917"/>
      <c r="W43" s="4970"/>
    </row>
    <row r="44" spans="1:23" ht="18" customHeight="1">
      <c r="A44" s="4967"/>
      <c r="B44" s="4967"/>
      <c r="C44" s="1923"/>
      <c r="D44" s="1886"/>
      <c r="E44" s="1886"/>
      <c r="F44" s="1887"/>
      <c r="G44" s="1887"/>
      <c r="H44" s="1887"/>
      <c r="I44" s="1887"/>
      <c r="J44" s="1887"/>
      <c r="K44" s="1887"/>
      <c r="L44" s="1887"/>
      <c r="M44" s="1887"/>
      <c r="N44" s="1887"/>
      <c r="O44" s="1887"/>
      <c r="P44" s="1887"/>
      <c r="Q44" s="1887"/>
      <c r="R44" s="1887"/>
      <c r="S44" s="1887"/>
      <c r="T44" s="1887"/>
      <c r="U44" s="1887"/>
      <c r="V44" s="1917"/>
      <c r="W44" s="4970"/>
    </row>
    <row r="45" spans="1:23" ht="18" customHeight="1">
      <c r="A45" s="4967"/>
      <c r="B45" s="4967"/>
      <c r="C45" s="1923"/>
      <c r="D45" s="1886"/>
      <c r="E45" s="1886"/>
      <c r="F45" s="1887"/>
      <c r="G45" s="1887"/>
      <c r="H45" s="1887"/>
      <c r="I45" s="1887"/>
      <c r="J45" s="1887"/>
      <c r="K45" s="1887"/>
      <c r="L45" s="1887"/>
      <c r="M45" s="1887"/>
      <c r="N45" s="1887"/>
      <c r="O45" s="1887"/>
      <c r="P45" s="1887"/>
      <c r="Q45" s="1887"/>
      <c r="R45" s="1887"/>
      <c r="S45" s="1887"/>
      <c r="T45" s="1887"/>
      <c r="U45" s="1887"/>
      <c r="V45" s="1917"/>
      <c r="W45" s="4970"/>
    </row>
    <row r="46" spans="1:23" ht="18" customHeight="1">
      <c r="A46" s="4968"/>
      <c r="B46" s="4968"/>
      <c r="C46" s="1924"/>
      <c r="D46" s="1901"/>
      <c r="E46" s="1901"/>
      <c r="F46" s="1902"/>
      <c r="G46" s="1902"/>
      <c r="H46" s="1902"/>
      <c r="I46" s="1902"/>
      <c r="J46" s="1902"/>
      <c r="K46" s="1902"/>
      <c r="L46" s="1902"/>
      <c r="M46" s="1902"/>
      <c r="N46" s="1902"/>
      <c r="O46" s="1902"/>
      <c r="P46" s="1902"/>
      <c r="Q46" s="1902"/>
      <c r="R46" s="1902"/>
      <c r="S46" s="1902"/>
      <c r="T46" s="1902"/>
      <c r="U46" s="1902"/>
      <c r="V46" s="1918"/>
      <c r="W46" s="4971"/>
    </row>
    <row r="47" spans="1:23" ht="18" customHeight="1">
      <c r="A47" s="4966">
        <v>8</v>
      </c>
      <c r="B47" s="4966" t="str">
        <f>'kt1'!B21</f>
        <v>Thảo Sắp</v>
      </c>
      <c r="C47" s="1922"/>
      <c r="D47" s="1903"/>
      <c r="E47" s="1903"/>
      <c r="F47" s="1904"/>
      <c r="G47" s="1904"/>
      <c r="H47" s="1904"/>
      <c r="I47" s="1904"/>
      <c r="J47" s="1904"/>
      <c r="K47" s="1904"/>
      <c r="L47" s="1904"/>
      <c r="M47" s="1904"/>
      <c r="N47" s="1904"/>
      <c r="O47" s="1904"/>
      <c r="P47" s="1904"/>
      <c r="Q47" s="1904"/>
      <c r="R47" s="1904"/>
      <c r="S47" s="1904"/>
      <c r="T47" s="1904"/>
      <c r="U47" s="1904"/>
      <c r="V47" s="1916"/>
      <c r="W47" s="4969"/>
    </row>
    <row r="48" spans="1:23" ht="18" customHeight="1">
      <c r="A48" s="4967"/>
      <c r="B48" s="4967"/>
      <c r="C48" s="1923"/>
      <c r="D48" s="1886"/>
      <c r="E48" s="1886"/>
      <c r="F48" s="1887"/>
      <c r="G48" s="1887"/>
      <c r="H48" s="1887"/>
      <c r="I48" s="1887"/>
      <c r="J48" s="1887"/>
      <c r="K48" s="1887"/>
      <c r="L48" s="1887"/>
      <c r="M48" s="1887"/>
      <c r="N48" s="1887"/>
      <c r="O48" s="1887"/>
      <c r="P48" s="1887"/>
      <c r="Q48" s="1887"/>
      <c r="R48" s="1887"/>
      <c r="S48" s="1887"/>
      <c r="T48" s="1887"/>
      <c r="U48" s="1887"/>
      <c r="V48" s="1917"/>
      <c r="W48" s="4970"/>
    </row>
    <row r="49" spans="1:23" ht="18" customHeight="1">
      <c r="A49" s="4967"/>
      <c r="B49" s="4967"/>
      <c r="C49" s="1923"/>
      <c r="D49" s="1886"/>
      <c r="E49" s="1886"/>
      <c r="F49" s="1887"/>
      <c r="G49" s="1887"/>
      <c r="H49" s="1887"/>
      <c r="I49" s="1887"/>
      <c r="J49" s="1887"/>
      <c r="K49" s="1887"/>
      <c r="L49" s="1887"/>
      <c r="M49" s="1887"/>
      <c r="N49" s="1887"/>
      <c r="O49" s="1887"/>
      <c r="P49" s="1887"/>
      <c r="Q49" s="1887"/>
      <c r="R49" s="1887"/>
      <c r="S49" s="1887"/>
      <c r="T49" s="1887"/>
      <c r="U49" s="1887"/>
      <c r="V49" s="1917"/>
      <c r="W49" s="4970"/>
    </row>
    <row r="50" spans="1:23" ht="18" customHeight="1">
      <c r="A50" s="4967"/>
      <c r="B50" s="4967"/>
      <c r="C50" s="1923"/>
      <c r="D50" s="1886"/>
      <c r="E50" s="1886"/>
      <c r="F50" s="1887"/>
      <c r="G50" s="1887"/>
      <c r="H50" s="1887"/>
      <c r="I50" s="1887"/>
      <c r="J50" s="1887"/>
      <c r="K50" s="1887"/>
      <c r="L50" s="1887"/>
      <c r="M50" s="1887"/>
      <c r="N50" s="1887"/>
      <c r="O50" s="1887"/>
      <c r="P50" s="1887"/>
      <c r="Q50" s="1887"/>
      <c r="R50" s="1887"/>
      <c r="S50" s="1887"/>
      <c r="T50" s="1887"/>
      <c r="U50" s="1887"/>
      <c r="V50" s="1917"/>
      <c r="W50" s="4970"/>
    </row>
    <row r="51" spans="1:23" ht="18" customHeight="1">
      <c r="A51" s="4968"/>
      <c r="B51" s="4968"/>
      <c r="C51" s="1924"/>
      <c r="D51" s="1901"/>
      <c r="E51" s="1901"/>
      <c r="F51" s="1902"/>
      <c r="G51" s="1902"/>
      <c r="H51" s="1902"/>
      <c r="I51" s="1902"/>
      <c r="J51" s="1902"/>
      <c r="K51" s="1902"/>
      <c r="L51" s="1902"/>
      <c r="M51" s="1902"/>
      <c r="N51" s="1902"/>
      <c r="O51" s="1902"/>
      <c r="P51" s="1902"/>
      <c r="Q51" s="1902"/>
      <c r="R51" s="1902"/>
      <c r="S51" s="1902"/>
      <c r="T51" s="1902"/>
      <c r="U51" s="1902"/>
      <c r="V51" s="1918"/>
      <c r="W51" s="4971"/>
    </row>
    <row r="52" spans="1:23" ht="15" customHeight="1">
      <c r="A52" s="4966">
        <v>9</v>
      </c>
      <c r="B52" s="4966" t="str">
        <f>'kt1'!B22</f>
        <v>Thảo Say</v>
      </c>
      <c r="C52" s="1922"/>
      <c r="D52" s="1903"/>
      <c r="E52" s="1903"/>
      <c r="F52" s="1904"/>
      <c r="G52" s="1904"/>
      <c r="H52" s="1904"/>
      <c r="I52" s="1904"/>
      <c r="J52" s="1904"/>
      <c r="K52" s="1904"/>
      <c r="L52" s="1904"/>
      <c r="M52" s="1904"/>
      <c r="N52" s="1904"/>
      <c r="O52" s="1904"/>
      <c r="P52" s="1904"/>
      <c r="Q52" s="1904"/>
      <c r="R52" s="1904"/>
      <c r="S52" s="1904"/>
      <c r="T52" s="1904"/>
      <c r="U52" s="1904"/>
      <c r="V52" s="1916"/>
      <c r="W52" s="4969"/>
    </row>
    <row r="53" spans="1:23" ht="15" customHeight="1">
      <c r="A53" s="4967"/>
      <c r="B53" s="4967"/>
      <c r="C53" s="1923"/>
      <c r="D53" s="1886"/>
      <c r="E53" s="1886"/>
      <c r="F53" s="1887"/>
      <c r="G53" s="1887"/>
      <c r="H53" s="1887"/>
      <c r="I53" s="1887"/>
      <c r="J53" s="1887"/>
      <c r="K53" s="1887"/>
      <c r="L53" s="1887"/>
      <c r="M53" s="1887"/>
      <c r="N53" s="1887"/>
      <c r="O53" s="1887"/>
      <c r="P53" s="1887"/>
      <c r="Q53" s="1887"/>
      <c r="R53" s="1887"/>
      <c r="S53" s="1887"/>
      <c r="T53" s="1887"/>
      <c r="U53" s="1887"/>
      <c r="V53" s="1917"/>
      <c r="W53" s="4970"/>
    </row>
    <row r="54" spans="1:23" ht="15" customHeight="1">
      <c r="A54" s="4967"/>
      <c r="B54" s="4967"/>
      <c r="C54" s="1923"/>
      <c r="D54" s="1886"/>
      <c r="E54" s="1886"/>
      <c r="F54" s="1887"/>
      <c r="G54" s="1887"/>
      <c r="H54" s="1887"/>
      <c r="I54" s="1887"/>
      <c r="J54" s="1887"/>
      <c r="K54" s="1887"/>
      <c r="L54" s="1887"/>
      <c r="M54" s="1887"/>
      <c r="N54" s="1887"/>
      <c r="O54" s="1887"/>
      <c r="P54" s="1887"/>
      <c r="Q54" s="1887"/>
      <c r="R54" s="1887"/>
      <c r="S54" s="1887"/>
      <c r="T54" s="1887"/>
      <c r="U54" s="1887"/>
      <c r="V54" s="1917"/>
      <c r="W54" s="4970"/>
    </row>
    <row r="55" spans="1:23" ht="15" customHeight="1">
      <c r="A55" s="4967"/>
      <c r="B55" s="4967"/>
      <c r="C55" s="1923"/>
      <c r="D55" s="1886"/>
      <c r="E55" s="1886"/>
      <c r="F55" s="1887"/>
      <c r="G55" s="1887"/>
      <c r="H55" s="1887"/>
      <c r="I55" s="1887"/>
      <c r="J55" s="1887"/>
      <c r="K55" s="1887"/>
      <c r="L55" s="1887"/>
      <c r="M55" s="1887"/>
      <c r="N55" s="1887"/>
      <c r="O55" s="1887"/>
      <c r="P55" s="1887"/>
      <c r="Q55" s="1887"/>
      <c r="R55" s="1887"/>
      <c r="S55" s="1887"/>
      <c r="T55" s="1887"/>
      <c r="U55" s="1887"/>
      <c r="V55" s="1917"/>
      <c r="W55" s="4970"/>
    </row>
    <row r="56" spans="1:23" ht="15" customHeight="1">
      <c r="A56" s="4968"/>
      <c r="B56" s="4968"/>
      <c r="C56" s="1924"/>
      <c r="D56" s="1901"/>
      <c r="E56" s="1901"/>
      <c r="F56" s="1902"/>
      <c r="G56" s="1902"/>
      <c r="H56" s="1902"/>
      <c r="I56" s="1902"/>
      <c r="J56" s="1902"/>
      <c r="K56" s="1902"/>
      <c r="L56" s="1902"/>
      <c r="M56" s="1902"/>
      <c r="N56" s="1902"/>
      <c r="O56" s="1902"/>
      <c r="P56" s="1902"/>
      <c r="Q56" s="1902"/>
      <c r="R56" s="1902"/>
      <c r="S56" s="1902"/>
      <c r="T56" s="1902"/>
      <c r="U56" s="1902"/>
      <c r="V56" s="1918"/>
      <c r="W56" s="4971"/>
    </row>
    <row r="57" spans="1:23" ht="17.25" customHeight="1">
      <c r="A57" s="4966">
        <v>10</v>
      </c>
      <c r="B57" s="4966" t="str">
        <f>'kt1'!B23</f>
        <v>Thảo Cợt</v>
      </c>
      <c r="C57" s="1922"/>
      <c r="D57" s="1903"/>
      <c r="E57" s="1903"/>
      <c r="F57" s="1904"/>
      <c r="G57" s="1904"/>
      <c r="H57" s="1904"/>
      <c r="I57" s="1904"/>
      <c r="J57" s="1904"/>
      <c r="K57" s="1904"/>
      <c r="L57" s="1904"/>
      <c r="M57" s="1904"/>
      <c r="N57" s="1904"/>
      <c r="O57" s="1904"/>
      <c r="P57" s="1904"/>
      <c r="Q57" s="1904"/>
      <c r="R57" s="1904"/>
      <c r="S57" s="1904"/>
      <c r="T57" s="1904"/>
      <c r="U57" s="1904"/>
      <c r="V57" s="1916"/>
      <c r="W57" s="4969"/>
    </row>
    <row r="58" spans="1:23" ht="17.25" customHeight="1">
      <c r="A58" s="4967"/>
      <c r="B58" s="4967"/>
      <c r="C58" s="1923"/>
      <c r="D58" s="1886"/>
      <c r="E58" s="1886"/>
      <c r="F58" s="1887"/>
      <c r="G58" s="1887"/>
      <c r="H58" s="1887"/>
      <c r="I58" s="1887"/>
      <c r="J58" s="1887"/>
      <c r="K58" s="1887"/>
      <c r="L58" s="1887"/>
      <c r="M58" s="1887"/>
      <c r="N58" s="1887"/>
      <c r="O58" s="1887"/>
      <c r="P58" s="1887"/>
      <c r="Q58" s="1887"/>
      <c r="R58" s="1887"/>
      <c r="S58" s="1887"/>
      <c r="T58" s="1887"/>
      <c r="U58" s="1887"/>
      <c r="V58" s="1917"/>
      <c r="W58" s="4970"/>
    </row>
    <row r="59" spans="1:23" ht="17.25" customHeight="1">
      <c r="A59" s="4967"/>
      <c r="B59" s="4967"/>
      <c r="C59" s="1923"/>
      <c r="D59" s="1886"/>
      <c r="E59" s="1886"/>
      <c r="F59" s="1887"/>
      <c r="G59" s="1887"/>
      <c r="H59" s="1887"/>
      <c r="I59" s="1887"/>
      <c r="J59" s="1887"/>
      <c r="K59" s="1887"/>
      <c r="L59" s="1887"/>
      <c r="M59" s="1887"/>
      <c r="N59" s="1887"/>
      <c r="O59" s="1887"/>
      <c r="P59" s="1887"/>
      <c r="Q59" s="1887"/>
      <c r="R59" s="1887"/>
      <c r="S59" s="1887"/>
      <c r="T59" s="1887"/>
      <c r="U59" s="1887"/>
      <c r="V59" s="1917"/>
      <c r="W59" s="4970"/>
    </row>
    <row r="60" spans="1:23" ht="17.25" customHeight="1">
      <c r="A60" s="4967"/>
      <c r="B60" s="4967"/>
      <c r="C60" s="1923"/>
      <c r="D60" s="1886"/>
      <c r="E60" s="1886"/>
      <c r="F60" s="1887"/>
      <c r="G60" s="1887"/>
      <c r="H60" s="1887"/>
      <c r="I60" s="1887"/>
      <c r="J60" s="1887"/>
      <c r="K60" s="1887"/>
      <c r="L60" s="1887"/>
      <c r="M60" s="1887"/>
      <c r="N60" s="1887"/>
      <c r="O60" s="1887"/>
      <c r="P60" s="1887"/>
      <c r="Q60" s="1887"/>
      <c r="R60" s="1887"/>
      <c r="S60" s="1887"/>
      <c r="T60" s="1887"/>
      <c r="U60" s="1887"/>
      <c r="V60" s="1917"/>
      <c r="W60" s="4970"/>
    </row>
    <row r="61" spans="1:23" ht="17.25" customHeight="1">
      <c r="A61" s="4968"/>
      <c r="B61" s="4968"/>
      <c r="C61" s="1924"/>
      <c r="D61" s="1901"/>
      <c r="E61" s="1901"/>
      <c r="F61" s="1902"/>
      <c r="G61" s="1902"/>
      <c r="H61" s="1902"/>
      <c r="I61" s="1902"/>
      <c r="J61" s="1902"/>
      <c r="K61" s="1902"/>
      <c r="L61" s="1902"/>
      <c r="M61" s="1902"/>
      <c r="N61" s="1902"/>
      <c r="O61" s="1902"/>
      <c r="P61" s="1902"/>
      <c r="Q61" s="1902"/>
      <c r="R61" s="1902"/>
      <c r="S61" s="1902"/>
      <c r="T61" s="1902"/>
      <c r="U61" s="1902"/>
      <c r="V61" s="1918"/>
      <c r="W61" s="4971"/>
    </row>
    <row r="62" spans="1:23" ht="21" customHeight="1">
      <c r="A62" s="4966">
        <v>11</v>
      </c>
      <c r="B62" s="4966" t="str">
        <f>'kt1'!B24</f>
        <v>Thảo Hôm</v>
      </c>
      <c r="C62" s="1922"/>
      <c r="D62" s="1903"/>
      <c r="E62" s="1903"/>
      <c r="F62" s="1904"/>
      <c r="G62" s="1904"/>
      <c r="H62" s="1904"/>
      <c r="I62" s="1904"/>
      <c r="J62" s="1904"/>
      <c r="K62" s="1904"/>
      <c r="L62" s="1904"/>
      <c r="M62" s="1904"/>
      <c r="N62" s="1904"/>
      <c r="O62" s="1904"/>
      <c r="P62" s="1904"/>
      <c r="Q62" s="1904"/>
      <c r="R62" s="1904"/>
      <c r="S62" s="1904"/>
      <c r="T62" s="1904"/>
      <c r="U62" s="1904"/>
      <c r="V62" s="1916"/>
      <c r="W62" s="4969"/>
    </row>
    <row r="63" spans="1:23" ht="21" customHeight="1">
      <c r="A63" s="4967"/>
      <c r="B63" s="4967"/>
      <c r="C63" s="1923"/>
      <c r="D63" s="1886"/>
      <c r="E63" s="1886"/>
      <c r="F63" s="1887"/>
      <c r="G63" s="1887"/>
      <c r="H63" s="1887"/>
      <c r="I63" s="1887"/>
      <c r="J63" s="1887"/>
      <c r="K63" s="1887"/>
      <c r="L63" s="1887"/>
      <c r="M63" s="1887"/>
      <c r="N63" s="1887"/>
      <c r="O63" s="1887"/>
      <c r="P63" s="1887"/>
      <c r="Q63" s="1887"/>
      <c r="R63" s="1887"/>
      <c r="S63" s="1887"/>
      <c r="T63" s="1887"/>
      <c r="U63" s="1887"/>
      <c r="V63" s="1917"/>
      <c r="W63" s="4970"/>
    </row>
    <row r="64" spans="1:23" ht="21" customHeight="1">
      <c r="A64" s="4967"/>
      <c r="B64" s="4967"/>
      <c r="C64" s="1923"/>
      <c r="D64" s="1886"/>
      <c r="E64" s="1886"/>
      <c r="F64" s="1887"/>
      <c r="G64" s="1887"/>
      <c r="H64" s="1887"/>
      <c r="I64" s="1887"/>
      <c r="J64" s="1887"/>
      <c r="K64" s="1887"/>
      <c r="L64" s="1887"/>
      <c r="M64" s="1887"/>
      <c r="N64" s="1887"/>
      <c r="O64" s="1887"/>
      <c r="P64" s="1887"/>
      <c r="Q64" s="1887"/>
      <c r="R64" s="1887"/>
      <c r="S64" s="1887"/>
      <c r="T64" s="1887"/>
      <c r="U64" s="1887"/>
      <c r="V64" s="1917"/>
      <c r="W64" s="4970"/>
    </row>
    <row r="65" spans="1:23" ht="21" customHeight="1">
      <c r="A65" s="4967"/>
      <c r="B65" s="4967"/>
      <c r="C65" s="1923"/>
      <c r="D65" s="1886"/>
      <c r="E65" s="1886"/>
      <c r="F65" s="1887"/>
      <c r="G65" s="1887"/>
      <c r="H65" s="1887"/>
      <c r="I65" s="1887"/>
      <c r="J65" s="1887"/>
      <c r="K65" s="1887"/>
      <c r="L65" s="1887"/>
      <c r="M65" s="1887"/>
      <c r="N65" s="1887"/>
      <c r="O65" s="1887"/>
      <c r="P65" s="1887"/>
      <c r="Q65" s="1887"/>
      <c r="R65" s="1887"/>
      <c r="S65" s="1887"/>
      <c r="T65" s="1887"/>
      <c r="U65" s="1887"/>
      <c r="V65" s="1917"/>
      <c r="W65" s="4970"/>
    </row>
    <row r="66" spans="1:23" ht="21" customHeight="1">
      <c r="A66" s="4968"/>
      <c r="B66" s="4968"/>
      <c r="C66" s="1924"/>
      <c r="D66" s="1901"/>
      <c r="E66" s="1901"/>
      <c r="F66" s="1902"/>
      <c r="G66" s="1902"/>
      <c r="H66" s="1902"/>
      <c r="I66" s="1902"/>
      <c r="J66" s="1902"/>
      <c r="K66" s="1902"/>
      <c r="L66" s="1902"/>
      <c r="M66" s="1902"/>
      <c r="N66" s="1902"/>
      <c r="O66" s="1902"/>
      <c r="P66" s="1902"/>
      <c r="Q66" s="1902"/>
      <c r="R66" s="1902"/>
      <c r="S66" s="1902"/>
      <c r="T66" s="1902"/>
      <c r="U66" s="1902"/>
      <c r="V66" s="1918"/>
      <c r="W66" s="4971"/>
    </row>
    <row r="67" spans="1:23" ht="21" customHeight="1">
      <c r="A67" s="4966">
        <v>12</v>
      </c>
      <c r="B67" s="4966" t="str">
        <f>'kt1'!B25</f>
        <v xml:space="preserve">Thảo Khăm  </v>
      </c>
      <c r="C67" s="1922"/>
      <c r="D67" s="1903"/>
      <c r="E67" s="1903"/>
      <c r="F67" s="1904"/>
      <c r="G67" s="1904"/>
      <c r="H67" s="1904"/>
      <c r="I67" s="1904"/>
      <c r="J67" s="1904"/>
      <c r="K67" s="1904"/>
      <c r="L67" s="1904"/>
      <c r="M67" s="1904"/>
      <c r="N67" s="1904"/>
      <c r="O67" s="1904"/>
      <c r="P67" s="1904"/>
      <c r="Q67" s="1904"/>
      <c r="R67" s="1904"/>
      <c r="S67" s="1904"/>
      <c r="T67" s="1904"/>
      <c r="U67" s="1904"/>
      <c r="V67" s="1916"/>
      <c r="W67" s="4969"/>
    </row>
    <row r="68" spans="1:23" ht="21" customHeight="1">
      <c r="A68" s="4967"/>
      <c r="B68" s="4967"/>
      <c r="C68" s="1923"/>
      <c r="D68" s="1886"/>
      <c r="E68" s="1886"/>
      <c r="F68" s="1887"/>
      <c r="G68" s="1887"/>
      <c r="H68" s="1887"/>
      <c r="I68" s="1887"/>
      <c r="J68" s="1887"/>
      <c r="K68" s="1887"/>
      <c r="L68" s="1887"/>
      <c r="M68" s="1887"/>
      <c r="N68" s="1887"/>
      <c r="O68" s="1887"/>
      <c r="P68" s="1887"/>
      <c r="Q68" s="1887"/>
      <c r="R68" s="1887"/>
      <c r="S68" s="1887"/>
      <c r="T68" s="1887"/>
      <c r="U68" s="1887"/>
      <c r="V68" s="1917"/>
      <c r="W68" s="4970"/>
    </row>
    <row r="69" spans="1:23" ht="21" customHeight="1">
      <c r="A69" s="4967"/>
      <c r="B69" s="4967"/>
      <c r="C69" s="1923"/>
      <c r="D69" s="1886"/>
      <c r="E69" s="1886"/>
      <c r="F69" s="1887"/>
      <c r="G69" s="1887"/>
      <c r="H69" s="1887"/>
      <c r="I69" s="1887"/>
      <c r="J69" s="1887"/>
      <c r="K69" s="1887"/>
      <c r="L69" s="1887"/>
      <c r="M69" s="1887"/>
      <c r="N69" s="1887"/>
      <c r="O69" s="1887"/>
      <c r="P69" s="1887"/>
      <c r="Q69" s="1887"/>
      <c r="R69" s="1887"/>
      <c r="S69" s="1887"/>
      <c r="T69" s="1887"/>
      <c r="U69" s="1887"/>
      <c r="V69" s="1917"/>
      <c r="W69" s="4970"/>
    </row>
    <row r="70" spans="1:23" ht="21" customHeight="1">
      <c r="A70" s="4967"/>
      <c r="B70" s="4967"/>
      <c r="C70" s="1923"/>
      <c r="D70" s="1886"/>
      <c r="E70" s="1886"/>
      <c r="F70" s="1887"/>
      <c r="G70" s="1887"/>
      <c r="H70" s="1887"/>
      <c r="I70" s="1887"/>
      <c r="J70" s="1887"/>
      <c r="K70" s="1887"/>
      <c r="L70" s="1887"/>
      <c r="M70" s="1887"/>
      <c r="N70" s="1887"/>
      <c r="O70" s="1887"/>
      <c r="P70" s="1887"/>
      <c r="Q70" s="1887"/>
      <c r="R70" s="1887"/>
      <c r="S70" s="1887"/>
      <c r="T70" s="1887"/>
      <c r="U70" s="1887"/>
      <c r="V70" s="1917"/>
      <c r="W70" s="4970"/>
    </row>
    <row r="71" spans="1:23" ht="22.5" customHeight="1">
      <c r="A71" s="4968"/>
      <c r="B71" s="4968"/>
      <c r="C71" s="1924"/>
      <c r="D71" s="1901"/>
      <c r="E71" s="1901"/>
      <c r="F71" s="1902"/>
      <c r="G71" s="1902"/>
      <c r="H71" s="1902"/>
      <c r="I71" s="1902"/>
      <c r="J71" s="1902"/>
      <c r="K71" s="1902"/>
      <c r="L71" s="1902"/>
      <c r="M71" s="1902"/>
      <c r="N71" s="1902"/>
      <c r="O71" s="1902"/>
      <c r="P71" s="1902"/>
      <c r="Q71" s="1902"/>
      <c r="R71" s="1902"/>
      <c r="S71" s="1902"/>
      <c r="T71" s="1902"/>
      <c r="U71" s="1902"/>
      <c r="V71" s="1918"/>
      <c r="W71" s="4971"/>
    </row>
    <row r="72" spans="1:23" ht="22.5" customHeight="1">
      <c r="A72" s="4966">
        <v>13</v>
      </c>
      <c r="B72" s="4966" t="str">
        <f>'kt1'!B26</f>
        <v>Thảo Hăm</v>
      </c>
      <c r="C72" s="1922"/>
      <c r="D72" s="1903"/>
      <c r="E72" s="1903"/>
      <c r="F72" s="1904"/>
      <c r="G72" s="1904"/>
      <c r="H72" s="1904"/>
      <c r="I72" s="1904"/>
      <c r="J72" s="1904"/>
      <c r="K72" s="1904"/>
      <c r="L72" s="1904"/>
      <c r="M72" s="1904"/>
      <c r="N72" s="1904"/>
      <c r="O72" s="1904"/>
      <c r="P72" s="1904"/>
      <c r="Q72" s="1904"/>
      <c r="R72" s="1904"/>
      <c r="S72" s="1904"/>
      <c r="T72" s="1904"/>
      <c r="U72" s="1904"/>
      <c r="V72" s="1916"/>
      <c r="W72" s="4969"/>
    </row>
    <row r="73" spans="1:23" ht="22.5" customHeight="1">
      <c r="A73" s="4967"/>
      <c r="B73" s="4967"/>
      <c r="C73" s="1923"/>
      <c r="D73" s="1886"/>
      <c r="E73" s="1886"/>
      <c r="F73" s="1887"/>
      <c r="G73" s="1887"/>
      <c r="H73" s="1887"/>
      <c r="I73" s="1887"/>
      <c r="J73" s="1887"/>
      <c r="K73" s="1887"/>
      <c r="L73" s="1887"/>
      <c r="M73" s="1887"/>
      <c r="N73" s="1887"/>
      <c r="O73" s="1887"/>
      <c r="P73" s="1887"/>
      <c r="Q73" s="1887"/>
      <c r="R73" s="1887"/>
      <c r="S73" s="1887"/>
      <c r="T73" s="1887"/>
      <c r="U73" s="1887"/>
      <c r="V73" s="1917"/>
      <c r="W73" s="4970"/>
    </row>
    <row r="74" spans="1:23" ht="22.5" customHeight="1">
      <c r="A74" s="4967"/>
      <c r="B74" s="4967"/>
      <c r="C74" s="1923"/>
      <c r="D74" s="1886"/>
      <c r="E74" s="1886"/>
      <c r="F74" s="1887"/>
      <c r="G74" s="1887"/>
      <c r="H74" s="1887"/>
      <c r="I74" s="1887"/>
      <c r="J74" s="1887"/>
      <c r="K74" s="1887"/>
      <c r="L74" s="1887"/>
      <c r="M74" s="1887"/>
      <c r="N74" s="1887"/>
      <c r="O74" s="1887"/>
      <c r="P74" s="1887"/>
      <c r="Q74" s="1887"/>
      <c r="R74" s="1887"/>
      <c r="S74" s="1887"/>
      <c r="T74" s="1887"/>
      <c r="U74" s="1887"/>
      <c r="V74" s="1917"/>
      <c r="W74" s="4970"/>
    </row>
    <row r="75" spans="1:23" ht="22.5" customHeight="1">
      <c r="A75" s="4967"/>
      <c r="B75" s="4967"/>
      <c r="C75" s="1923"/>
      <c r="D75" s="1886"/>
      <c r="E75" s="1886"/>
      <c r="F75" s="1887"/>
      <c r="G75" s="1887"/>
      <c r="H75" s="1887"/>
      <c r="I75" s="1887"/>
      <c r="J75" s="1887"/>
      <c r="K75" s="1887"/>
      <c r="L75" s="1887"/>
      <c r="M75" s="1887"/>
      <c r="N75" s="1887"/>
      <c r="O75" s="1887"/>
      <c r="P75" s="1887"/>
      <c r="Q75" s="1887"/>
      <c r="R75" s="1887"/>
      <c r="S75" s="1887"/>
      <c r="T75" s="1887"/>
      <c r="U75" s="1887"/>
      <c r="V75" s="1917"/>
      <c r="W75" s="4970"/>
    </row>
    <row r="76" spans="1:23" ht="22.5" customHeight="1">
      <c r="A76" s="4968"/>
      <c r="B76" s="4968"/>
      <c r="C76" s="1924"/>
      <c r="D76" s="1901"/>
      <c r="E76" s="1901"/>
      <c r="F76" s="1902"/>
      <c r="G76" s="1902"/>
      <c r="H76" s="1902"/>
      <c r="I76" s="1902"/>
      <c r="J76" s="1902"/>
      <c r="K76" s="1902"/>
      <c r="L76" s="1902"/>
      <c r="M76" s="1902"/>
      <c r="N76" s="1902"/>
      <c r="O76" s="1902"/>
      <c r="P76" s="1902"/>
      <c r="Q76" s="1902"/>
      <c r="R76" s="1902"/>
      <c r="S76" s="1902"/>
      <c r="T76" s="1902"/>
      <c r="U76" s="1902"/>
      <c r="V76" s="1918"/>
      <c r="W76" s="4971"/>
    </row>
    <row r="77" spans="1:23" ht="28.5" customHeight="1">
      <c r="A77" s="4966">
        <v>14</v>
      </c>
      <c r="B77" s="4966" t="str">
        <f>'kt1'!B27</f>
        <v>Nang Lon</v>
      </c>
      <c r="C77" s="1922"/>
      <c r="D77" s="1903"/>
      <c r="E77" s="1903"/>
      <c r="F77" s="1904"/>
      <c r="G77" s="1904"/>
      <c r="H77" s="1904"/>
      <c r="I77" s="1904"/>
      <c r="J77" s="1904"/>
      <c r="K77" s="1904"/>
      <c r="L77" s="1904"/>
      <c r="M77" s="1904"/>
      <c r="N77" s="1904"/>
      <c r="O77" s="1904"/>
      <c r="P77" s="1904"/>
      <c r="Q77" s="1904"/>
      <c r="R77" s="1904"/>
      <c r="S77" s="1904"/>
      <c r="T77" s="1904"/>
      <c r="U77" s="1904"/>
      <c r="V77" s="1916"/>
      <c r="W77" s="4969"/>
    </row>
    <row r="78" spans="1:23" ht="28.5" customHeight="1">
      <c r="A78" s="4967"/>
      <c r="B78" s="4967"/>
      <c r="C78" s="1923"/>
      <c r="D78" s="1886"/>
      <c r="E78" s="1886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917"/>
      <c r="W78" s="4970"/>
    </row>
    <row r="79" spans="1:23" ht="28.5" customHeight="1">
      <c r="A79" s="4967"/>
      <c r="B79" s="4967"/>
      <c r="C79" s="1923"/>
      <c r="D79" s="1886"/>
      <c r="E79" s="1886"/>
      <c r="F79" s="1887"/>
      <c r="G79" s="1887"/>
      <c r="H79" s="1887"/>
      <c r="I79" s="1887"/>
      <c r="J79" s="1887"/>
      <c r="K79" s="1887"/>
      <c r="L79" s="1887"/>
      <c r="M79" s="1887"/>
      <c r="N79" s="1887"/>
      <c r="O79" s="1887"/>
      <c r="P79" s="1887"/>
      <c r="Q79" s="1887"/>
      <c r="R79" s="1887"/>
      <c r="S79" s="1887"/>
      <c r="T79" s="1887"/>
      <c r="U79" s="1887"/>
      <c r="V79" s="1917"/>
      <c r="W79" s="4970"/>
    </row>
    <row r="80" spans="1:23" ht="28.5" customHeight="1">
      <c r="A80" s="4967"/>
      <c r="B80" s="4967"/>
      <c r="C80" s="1923"/>
      <c r="D80" s="1886"/>
      <c r="E80" s="1886"/>
      <c r="F80" s="1887"/>
      <c r="G80" s="1887"/>
      <c r="H80" s="1887"/>
      <c r="I80" s="1887"/>
      <c r="J80" s="1887"/>
      <c r="K80" s="1887"/>
      <c r="L80" s="1887"/>
      <c r="M80" s="1887"/>
      <c r="N80" s="1887"/>
      <c r="O80" s="1887"/>
      <c r="P80" s="1887"/>
      <c r="Q80" s="1887"/>
      <c r="R80" s="1887"/>
      <c r="S80" s="1887"/>
      <c r="T80" s="1887"/>
      <c r="U80" s="1887"/>
      <c r="V80" s="1917"/>
      <c r="W80" s="4970"/>
    </row>
    <row r="81" spans="1:23" ht="28.5" customHeight="1">
      <c r="A81" s="4968"/>
      <c r="B81" s="4968"/>
      <c r="C81" s="1924"/>
      <c r="D81" s="1901"/>
      <c r="E81" s="1901"/>
      <c r="F81" s="1902"/>
      <c r="G81" s="1902"/>
      <c r="H81" s="1902"/>
      <c r="I81" s="1902"/>
      <c r="J81" s="1902"/>
      <c r="K81" s="1902"/>
      <c r="L81" s="1902"/>
      <c r="M81" s="1902"/>
      <c r="N81" s="1902"/>
      <c r="O81" s="1902"/>
      <c r="P81" s="1902"/>
      <c r="Q81" s="1902"/>
      <c r="R81" s="1902"/>
      <c r="S81" s="1902"/>
      <c r="T81" s="1902"/>
      <c r="U81" s="1902"/>
      <c r="V81" s="1918"/>
      <c r="W81" s="4971"/>
    </row>
    <row r="82" spans="1:23" ht="21" customHeight="1">
      <c r="A82" s="4966">
        <v>15</v>
      </c>
      <c r="B82" s="4966" t="str">
        <f>'kt1'!B28</f>
        <v>Thảo Pheng</v>
      </c>
      <c r="C82" s="1922"/>
      <c r="D82" s="1903"/>
      <c r="E82" s="1903"/>
      <c r="F82" s="1904"/>
      <c r="G82" s="1904"/>
      <c r="H82" s="1904"/>
      <c r="I82" s="1904"/>
      <c r="J82" s="1904"/>
      <c r="K82" s="1904"/>
      <c r="L82" s="1904"/>
      <c r="M82" s="1904"/>
      <c r="N82" s="1904"/>
      <c r="O82" s="1904"/>
      <c r="P82" s="1904"/>
      <c r="Q82" s="1904"/>
      <c r="R82" s="1904"/>
      <c r="S82" s="1904"/>
      <c r="T82" s="1904"/>
      <c r="U82" s="1904"/>
      <c r="V82" s="1916"/>
      <c r="W82" s="4969"/>
    </row>
    <row r="83" spans="1:23" ht="21" customHeight="1">
      <c r="A83" s="4967"/>
      <c r="B83" s="4967"/>
      <c r="C83" s="1923"/>
      <c r="D83" s="1886"/>
      <c r="E83" s="1886"/>
      <c r="F83" s="1887"/>
      <c r="G83" s="1887"/>
      <c r="H83" s="1887"/>
      <c r="I83" s="1887"/>
      <c r="J83" s="1887"/>
      <c r="K83" s="1887"/>
      <c r="L83" s="1887"/>
      <c r="M83" s="1887"/>
      <c r="N83" s="1887"/>
      <c r="O83" s="1887"/>
      <c r="P83" s="1887"/>
      <c r="Q83" s="1887"/>
      <c r="R83" s="1887"/>
      <c r="S83" s="1887"/>
      <c r="T83" s="1887"/>
      <c r="U83" s="1887"/>
      <c r="V83" s="1917"/>
      <c r="W83" s="4970"/>
    </row>
    <row r="84" spans="1:23" ht="21" customHeight="1">
      <c r="A84" s="4967"/>
      <c r="B84" s="4967"/>
      <c r="C84" s="1923"/>
      <c r="D84" s="1886"/>
      <c r="E84" s="1886"/>
      <c r="F84" s="1887"/>
      <c r="G84" s="1887"/>
      <c r="H84" s="1887"/>
      <c r="I84" s="1887"/>
      <c r="J84" s="1887"/>
      <c r="K84" s="1887"/>
      <c r="L84" s="1887"/>
      <c r="M84" s="1887"/>
      <c r="N84" s="1887"/>
      <c r="O84" s="1887"/>
      <c r="P84" s="1887"/>
      <c r="Q84" s="1887"/>
      <c r="R84" s="1887"/>
      <c r="S84" s="1887"/>
      <c r="T84" s="1887"/>
      <c r="U84" s="1887"/>
      <c r="V84" s="1917"/>
      <c r="W84" s="4970"/>
    </row>
    <row r="85" spans="1:23" ht="21" customHeight="1">
      <c r="A85" s="4967"/>
      <c r="B85" s="4967"/>
      <c r="C85" s="1923"/>
      <c r="D85" s="1886"/>
      <c r="E85" s="1886"/>
      <c r="F85" s="1887"/>
      <c r="G85" s="1887"/>
      <c r="H85" s="1887"/>
      <c r="I85" s="1887"/>
      <c r="J85" s="1887"/>
      <c r="K85" s="1887"/>
      <c r="L85" s="1887"/>
      <c r="M85" s="1887"/>
      <c r="N85" s="1887"/>
      <c r="O85" s="1887"/>
      <c r="P85" s="1887"/>
      <c r="Q85" s="1887"/>
      <c r="R85" s="1887"/>
      <c r="S85" s="1887"/>
      <c r="T85" s="1887"/>
      <c r="U85" s="1887"/>
      <c r="V85" s="1917"/>
      <c r="W85" s="4970"/>
    </row>
    <row r="86" spans="1:23" ht="21" customHeight="1">
      <c r="A86" s="4968"/>
      <c r="B86" s="4968"/>
      <c r="C86" s="1924"/>
      <c r="D86" s="1901"/>
      <c r="E86" s="1901"/>
      <c r="F86" s="1902"/>
      <c r="G86" s="1902"/>
      <c r="H86" s="1902"/>
      <c r="I86" s="1902"/>
      <c r="J86" s="1902"/>
      <c r="K86" s="1902"/>
      <c r="L86" s="1902"/>
      <c r="M86" s="1902"/>
      <c r="N86" s="1902"/>
      <c r="O86" s="1902"/>
      <c r="P86" s="1902"/>
      <c r="Q86" s="1902"/>
      <c r="R86" s="1902"/>
      <c r="S86" s="1902"/>
      <c r="T86" s="1902"/>
      <c r="U86" s="1902"/>
      <c r="V86" s="1918"/>
      <c r="W86" s="4971"/>
    </row>
    <row r="87" spans="1:23" ht="17.25" hidden="1" customHeight="1">
      <c r="A87" s="4966">
        <v>16</v>
      </c>
      <c r="B87" s="4966" t="str">
        <f>'kt1'!B29</f>
        <v>Thảo kok</v>
      </c>
      <c r="C87" s="1922"/>
      <c r="D87" s="1903"/>
      <c r="E87" s="1903"/>
      <c r="F87" s="1904"/>
      <c r="G87" s="1904"/>
      <c r="H87" s="1904"/>
      <c r="I87" s="1904"/>
      <c r="J87" s="1904"/>
      <c r="K87" s="1904"/>
      <c r="L87" s="1904"/>
      <c r="M87" s="1904"/>
      <c r="N87" s="1904"/>
      <c r="O87" s="1904"/>
      <c r="P87" s="1904"/>
      <c r="Q87" s="1904"/>
      <c r="R87" s="1904"/>
      <c r="S87" s="1904"/>
      <c r="T87" s="1904"/>
      <c r="U87" s="1904"/>
      <c r="V87" s="1916"/>
      <c r="W87" s="4969"/>
    </row>
    <row r="88" spans="1:23" ht="17.25" hidden="1" customHeight="1">
      <c r="A88" s="4967"/>
      <c r="B88" s="4967"/>
      <c r="C88" s="1923"/>
      <c r="D88" s="1886"/>
      <c r="E88" s="1886"/>
      <c r="F88" s="1887"/>
      <c r="G88" s="1887"/>
      <c r="H88" s="1887"/>
      <c r="I88" s="1887"/>
      <c r="J88" s="1887"/>
      <c r="K88" s="1887"/>
      <c r="L88" s="1887"/>
      <c r="M88" s="1887"/>
      <c r="N88" s="1887"/>
      <c r="O88" s="1887"/>
      <c r="P88" s="1887"/>
      <c r="Q88" s="1887"/>
      <c r="R88" s="1887"/>
      <c r="S88" s="1887"/>
      <c r="T88" s="1887"/>
      <c r="U88" s="1887"/>
      <c r="V88" s="1917"/>
      <c r="W88" s="4970"/>
    </row>
    <row r="89" spans="1:23" ht="17.25" hidden="1" customHeight="1">
      <c r="A89" s="4967"/>
      <c r="B89" s="4967"/>
      <c r="C89" s="1923"/>
      <c r="D89" s="1886"/>
      <c r="E89" s="1886"/>
      <c r="F89" s="1887"/>
      <c r="G89" s="1887"/>
      <c r="H89" s="1887"/>
      <c r="I89" s="1887"/>
      <c r="J89" s="1887"/>
      <c r="K89" s="1887"/>
      <c r="L89" s="1887"/>
      <c r="M89" s="1887"/>
      <c r="N89" s="1887"/>
      <c r="O89" s="1887"/>
      <c r="P89" s="1887"/>
      <c r="Q89" s="1887"/>
      <c r="R89" s="1887"/>
      <c r="S89" s="1887"/>
      <c r="T89" s="1887"/>
      <c r="U89" s="1887"/>
      <c r="V89" s="1917"/>
      <c r="W89" s="4970"/>
    </row>
    <row r="90" spans="1:23" ht="17.25" hidden="1" customHeight="1">
      <c r="A90" s="4967"/>
      <c r="B90" s="4967"/>
      <c r="C90" s="1923"/>
      <c r="D90" s="1886"/>
      <c r="E90" s="1886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917"/>
      <c r="W90" s="4970"/>
    </row>
    <row r="91" spans="1:23" ht="17.25" hidden="1" customHeight="1">
      <c r="A91" s="4968"/>
      <c r="B91" s="4968"/>
      <c r="C91" s="1924"/>
      <c r="D91" s="1901"/>
      <c r="E91" s="1901"/>
      <c r="F91" s="1902"/>
      <c r="G91" s="1902"/>
      <c r="H91" s="1902"/>
      <c r="I91" s="1902"/>
      <c r="J91" s="1902"/>
      <c r="K91" s="1902"/>
      <c r="L91" s="1902"/>
      <c r="M91" s="1902"/>
      <c r="N91" s="1902"/>
      <c r="O91" s="1902"/>
      <c r="P91" s="1902"/>
      <c r="Q91" s="1902"/>
      <c r="R91" s="1902"/>
      <c r="S91" s="1902"/>
      <c r="T91" s="1902"/>
      <c r="U91" s="1902"/>
      <c r="V91" s="1918"/>
      <c r="W91" s="4971"/>
    </row>
    <row r="92" spans="1:23" ht="18.75" customHeight="1">
      <c r="A92" s="4966">
        <v>17</v>
      </c>
      <c r="B92" s="4966" t="str">
        <f>'kt1'!B30</f>
        <v>Nàng Sút Chay</v>
      </c>
      <c r="C92" s="1922"/>
      <c r="D92" s="1903"/>
      <c r="E92" s="1903"/>
      <c r="F92" s="1904"/>
      <c r="G92" s="1904"/>
      <c r="H92" s="1904"/>
      <c r="I92" s="1904"/>
      <c r="J92" s="1904"/>
      <c r="K92" s="1904"/>
      <c r="L92" s="1904"/>
      <c r="M92" s="1904"/>
      <c r="N92" s="1904"/>
      <c r="O92" s="1904"/>
      <c r="P92" s="1904"/>
      <c r="Q92" s="1904"/>
      <c r="R92" s="1904"/>
      <c r="S92" s="1904"/>
      <c r="T92" s="1904"/>
      <c r="U92" s="1904"/>
      <c r="V92" s="1916"/>
      <c r="W92" s="4969"/>
    </row>
    <row r="93" spans="1:23" ht="18.75" customHeight="1">
      <c r="A93" s="4967"/>
      <c r="B93" s="4967"/>
      <c r="C93" s="1923"/>
      <c r="D93" s="1886"/>
      <c r="E93" s="1886"/>
      <c r="F93" s="1887"/>
      <c r="G93" s="1887"/>
      <c r="H93" s="1887"/>
      <c r="I93" s="1887"/>
      <c r="J93" s="1887"/>
      <c r="K93" s="1887"/>
      <c r="L93" s="1887"/>
      <c r="M93" s="1887"/>
      <c r="N93" s="1887"/>
      <c r="O93" s="1887"/>
      <c r="P93" s="1887"/>
      <c r="Q93" s="1887"/>
      <c r="R93" s="1887"/>
      <c r="S93" s="1887"/>
      <c r="T93" s="1887"/>
      <c r="U93" s="1887"/>
      <c r="V93" s="1917"/>
      <c r="W93" s="4970"/>
    </row>
    <row r="94" spans="1:23" ht="18.75" customHeight="1">
      <c r="A94" s="4967"/>
      <c r="B94" s="4967"/>
      <c r="C94" s="1923"/>
      <c r="D94" s="1886"/>
      <c r="E94" s="1886"/>
      <c r="F94" s="1887"/>
      <c r="G94" s="1887"/>
      <c r="H94" s="1887"/>
      <c r="I94" s="1887"/>
      <c r="J94" s="1887"/>
      <c r="K94" s="1887"/>
      <c r="L94" s="1887"/>
      <c r="M94" s="1887"/>
      <c r="N94" s="1887"/>
      <c r="O94" s="1887"/>
      <c r="P94" s="1887"/>
      <c r="Q94" s="1887"/>
      <c r="R94" s="1887"/>
      <c r="S94" s="1887"/>
      <c r="T94" s="1887"/>
      <c r="U94" s="1887"/>
      <c r="V94" s="1917"/>
      <c r="W94" s="4970"/>
    </row>
    <row r="95" spans="1:23" ht="18.75" customHeight="1">
      <c r="A95" s="4967"/>
      <c r="B95" s="4967"/>
      <c r="C95" s="1923"/>
      <c r="D95" s="1886"/>
      <c r="E95" s="1886"/>
      <c r="F95" s="1887"/>
      <c r="G95" s="1887"/>
      <c r="H95" s="1887"/>
      <c r="I95" s="1887"/>
      <c r="J95" s="1887"/>
      <c r="K95" s="1887"/>
      <c r="L95" s="1887"/>
      <c r="M95" s="1887"/>
      <c r="N95" s="1887"/>
      <c r="O95" s="1887"/>
      <c r="P95" s="1887"/>
      <c r="Q95" s="1887"/>
      <c r="R95" s="1887"/>
      <c r="S95" s="1887"/>
      <c r="T95" s="1887"/>
      <c r="U95" s="1887"/>
      <c r="V95" s="1917"/>
      <c r="W95" s="4970"/>
    </row>
    <row r="96" spans="1:23" ht="18.75" customHeight="1">
      <c r="A96" s="4968"/>
      <c r="B96" s="4968"/>
      <c r="C96" s="1924"/>
      <c r="D96" s="1901"/>
      <c r="E96" s="1901"/>
      <c r="F96" s="1902"/>
      <c r="G96" s="1902"/>
      <c r="H96" s="1902"/>
      <c r="I96" s="1902"/>
      <c r="J96" s="1902"/>
      <c r="K96" s="1902"/>
      <c r="L96" s="1902"/>
      <c r="M96" s="1902"/>
      <c r="N96" s="1902"/>
      <c r="O96" s="1902"/>
      <c r="P96" s="1902"/>
      <c r="Q96" s="1902"/>
      <c r="R96" s="1902"/>
      <c r="S96" s="1902"/>
      <c r="T96" s="1902"/>
      <c r="U96" s="1902"/>
      <c r="V96" s="1918"/>
      <c r="W96" s="4971"/>
    </row>
    <row r="97" spans="1:23" ht="18.75" customHeight="1">
      <c r="A97" s="4966">
        <v>18</v>
      </c>
      <c r="B97" s="4966" t="str">
        <f>'kt1'!B31</f>
        <v>Thảo Khăm Phay</v>
      </c>
      <c r="C97" s="1922"/>
      <c r="D97" s="1903"/>
      <c r="E97" s="1903"/>
      <c r="F97" s="1904"/>
      <c r="G97" s="1904"/>
      <c r="H97" s="1904"/>
      <c r="I97" s="1904"/>
      <c r="J97" s="1904"/>
      <c r="K97" s="1904"/>
      <c r="L97" s="1904"/>
      <c r="M97" s="1904"/>
      <c r="N97" s="1904"/>
      <c r="O97" s="1904"/>
      <c r="P97" s="1904"/>
      <c r="Q97" s="1904"/>
      <c r="R97" s="1904"/>
      <c r="S97" s="1904"/>
      <c r="T97" s="1904"/>
      <c r="U97" s="1904"/>
      <c r="V97" s="1916"/>
      <c r="W97" s="4969"/>
    </row>
    <row r="98" spans="1:23" ht="18.75" customHeight="1">
      <c r="A98" s="4967"/>
      <c r="B98" s="4967"/>
      <c r="C98" s="1923"/>
      <c r="D98" s="1886"/>
      <c r="E98" s="1886"/>
      <c r="F98" s="1887"/>
      <c r="G98" s="1887"/>
      <c r="H98" s="1887"/>
      <c r="I98" s="1887"/>
      <c r="J98" s="1887"/>
      <c r="K98" s="1887"/>
      <c r="L98" s="1887"/>
      <c r="M98" s="1887"/>
      <c r="N98" s="1887"/>
      <c r="O98" s="1887"/>
      <c r="P98" s="1887"/>
      <c r="Q98" s="1887"/>
      <c r="R98" s="1887"/>
      <c r="S98" s="1887"/>
      <c r="T98" s="1887"/>
      <c r="U98" s="1887"/>
      <c r="V98" s="1917"/>
      <c r="W98" s="4970"/>
    </row>
    <row r="99" spans="1:23" ht="18.75" customHeight="1">
      <c r="A99" s="4967"/>
      <c r="B99" s="4967"/>
      <c r="C99" s="1923"/>
      <c r="D99" s="1886"/>
      <c r="E99" s="1886"/>
      <c r="F99" s="1887"/>
      <c r="G99" s="1887"/>
      <c r="H99" s="1887"/>
      <c r="I99" s="1887"/>
      <c r="J99" s="1887"/>
      <c r="K99" s="1887"/>
      <c r="L99" s="1887"/>
      <c r="M99" s="1887"/>
      <c r="N99" s="1887"/>
      <c r="O99" s="1887"/>
      <c r="P99" s="1887"/>
      <c r="Q99" s="1887"/>
      <c r="R99" s="1887"/>
      <c r="S99" s="1887"/>
      <c r="T99" s="1887"/>
      <c r="U99" s="1887"/>
      <c r="V99" s="1917"/>
      <c r="W99" s="4970"/>
    </row>
    <row r="100" spans="1:23" ht="18.75" customHeight="1">
      <c r="A100" s="4967"/>
      <c r="B100" s="4967"/>
      <c r="C100" s="1923"/>
      <c r="D100" s="1886"/>
      <c r="E100" s="1886"/>
      <c r="F100" s="1887"/>
      <c r="G100" s="1887"/>
      <c r="H100" s="1887"/>
      <c r="I100" s="1887"/>
      <c r="J100" s="1887"/>
      <c r="K100" s="1887"/>
      <c r="L100" s="1887"/>
      <c r="M100" s="1887"/>
      <c r="N100" s="1887"/>
      <c r="O100" s="1887"/>
      <c r="P100" s="1887"/>
      <c r="Q100" s="1887"/>
      <c r="R100" s="1887"/>
      <c r="S100" s="1887"/>
      <c r="T100" s="1887"/>
      <c r="U100" s="1887"/>
      <c r="V100" s="1917"/>
      <c r="W100" s="4970"/>
    </row>
    <row r="101" spans="1:23" ht="18.75" customHeight="1">
      <c r="A101" s="4968"/>
      <c r="B101" s="4968"/>
      <c r="C101" s="1924"/>
      <c r="D101" s="1901"/>
      <c r="E101" s="1901"/>
      <c r="F101" s="1902"/>
      <c r="G101" s="1902"/>
      <c r="H101" s="1902"/>
      <c r="I101" s="1902"/>
      <c r="J101" s="1902"/>
      <c r="K101" s="1902"/>
      <c r="L101" s="1902"/>
      <c r="M101" s="1902"/>
      <c r="N101" s="1902"/>
      <c r="O101" s="1902"/>
      <c r="P101" s="1902"/>
      <c r="Q101" s="1902"/>
      <c r="R101" s="1902"/>
      <c r="S101" s="1902"/>
      <c r="T101" s="1902"/>
      <c r="U101" s="1902"/>
      <c r="V101" s="1918"/>
      <c r="W101" s="4971"/>
    </row>
    <row r="102" spans="1:23" ht="19.5" customHeight="1">
      <c r="A102" s="4966">
        <v>19</v>
      </c>
      <c r="B102" s="4966" t="str">
        <f>'kt1'!B32</f>
        <v>Thảo Sớm</v>
      </c>
      <c r="C102" s="1922"/>
      <c r="D102" s="1903"/>
      <c r="E102" s="1903"/>
      <c r="F102" s="1904"/>
      <c r="G102" s="1904"/>
      <c r="H102" s="1904"/>
      <c r="I102" s="1904"/>
      <c r="J102" s="1904"/>
      <c r="K102" s="1904"/>
      <c r="L102" s="1904"/>
      <c r="M102" s="1904"/>
      <c r="N102" s="1904"/>
      <c r="O102" s="1904"/>
      <c r="P102" s="1904"/>
      <c r="Q102" s="1904"/>
      <c r="R102" s="1904"/>
      <c r="S102" s="1904"/>
      <c r="T102" s="1904"/>
      <c r="U102" s="1904"/>
      <c r="V102" s="1916"/>
      <c r="W102" s="4969"/>
    </row>
    <row r="103" spans="1:23" ht="19.5" customHeight="1">
      <c r="A103" s="4967"/>
      <c r="B103" s="4967"/>
      <c r="C103" s="1923"/>
      <c r="D103" s="1886"/>
      <c r="E103" s="1886"/>
      <c r="F103" s="1887"/>
      <c r="G103" s="1887"/>
      <c r="H103" s="1887"/>
      <c r="I103" s="1887"/>
      <c r="J103" s="1887"/>
      <c r="K103" s="1887"/>
      <c r="L103" s="1887"/>
      <c r="M103" s="1887"/>
      <c r="N103" s="1887"/>
      <c r="O103" s="1887"/>
      <c r="P103" s="1887"/>
      <c r="Q103" s="1887"/>
      <c r="R103" s="1887"/>
      <c r="S103" s="1887"/>
      <c r="T103" s="1887"/>
      <c r="U103" s="1887"/>
      <c r="V103" s="1917"/>
      <c r="W103" s="4970"/>
    </row>
    <row r="104" spans="1:23" ht="19.5" customHeight="1">
      <c r="A104" s="4967"/>
      <c r="B104" s="4967"/>
      <c r="C104" s="1923"/>
      <c r="D104" s="1886"/>
      <c r="E104" s="1886"/>
      <c r="F104" s="1887"/>
      <c r="G104" s="1887"/>
      <c r="H104" s="1887"/>
      <c r="I104" s="1887"/>
      <c r="J104" s="1887"/>
      <c r="K104" s="1887"/>
      <c r="L104" s="1887"/>
      <c r="M104" s="1887"/>
      <c r="N104" s="1887"/>
      <c r="O104" s="1887"/>
      <c r="P104" s="1887"/>
      <c r="Q104" s="1887"/>
      <c r="R104" s="1887"/>
      <c r="S104" s="1887"/>
      <c r="T104" s="1887"/>
      <c r="U104" s="1887"/>
      <c r="V104" s="1917"/>
      <c r="W104" s="4970"/>
    </row>
    <row r="105" spans="1:23" ht="19.5" customHeight="1">
      <c r="A105" s="4967"/>
      <c r="B105" s="4967"/>
      <c r="C105" s="1923"/>
      <c r="D105" s="1886"/>
      <c r="E105" s="1886"/>
      <c r="F105" s="1887"/>
      <c r="G105" s="1887"/>
      <c r="H105" s="1887"/>
      <c r="I105" s="1887"/>
      <c r="J105" s="1887"/>
      <c r="K105" s="1887"/>
      <c r="L105" s="1887"/>
      <c r="M105" s="1887"/>
      <c r="N105" s="1887"/>
      <c r="O105" s="1887"/>
      <c r="P105" s="1887"/>
      <c r="Q105" s="1887"/>
      <c r="R105" s="1887"/>
      <c r="S105" s="1887"/>
      <c r="T105" s="1887"/>
      <c r="U105" s="1887"/>
      <c r="V105" s="1917"/>
      <c r="W105" s="4970"/>
    </row>
    <row r="106" spans="1:23" ht="19.5" customHeight="1">
      <c r="A106" s="4968"/>
      <c r="B106" s="4968"/>
      <c r="C106" s="1924"/>
      <c r="D106" s="1901"/>
      <c r="E106" s="1901"/>
      <c r="F106" s="1902"/>
      <c r="G106" s="1902"/>
      <c r="H106" s="1902"/>
      <c r="I106" s="1902"/>
      <c r="J106" s="1902"/>
      <c r="K106" s="1902"/>
      <c r="L106" s="1902"/>
      <c r="M106" s="1902"/>
      <c r="N106" s="1902"/>
      <c r="O106" s="1902"/>
      <c r="P106" s="1902"/>
      <c r="Q106" s="1902"/>
      <c r="R106" s="1902"/>
      <c r="S106" s="1902"/>
      <c r="T106" s="1902"/>
      <c r="U106" s="1902"/>
      <c r="V106" s="1918"/>
      <c r="W106" s="4971"/>
    </row>
    <row r="107" spans="1:23" ht="17.25" customHeight="1">
      <c r="A107" s="4966">
        <v>20</v>
      </c>
      <c r="B107" s="4966" t="str">
        <f>'kt1'!B33</f>
        <v>Pha Xúc</v>
      </c>
      <c r="C107" s="1922"/>
      <c r="D107" s="1903"/>
      <c r="E107" s="1903"/>
      <c r="F107" s="1904"/>
      <c r="G107" s="1904"/>
      <c r="H107" s="1904"/>
      <c r="I107" s="1904"/>
      <c r="J107" s="1904"/>
      <c r="K107" s="1904"/>
      <c r="L107" s="1904"/>
      <c r="M107" s="1904"/>
      <c r="N107" s="1904"/>
      <c r="O107" s="1904"/>
      <c r="P107" s="1904"/>
      <c r="Q107" s="1904"/>
      <c r="R107" s="1904"/>
      <c r="S107" s="1904"/>
      <c r="T107" s="1904"/>
      <c r="U107" s="1904"/>
      <c r="V107" s="1916"/>
      <c r="W107" s="4969"/>
    </row>
    <row r="108" spans="1:23" ht="17.25" customHeight="1">
      <c r="A108" s="4967"/>
      <c r="B108" s="4967"/>
      <c r="C108" s="1923"/>
      <c r="D108" s="1886"/>
      <c r="E108" s="1886"/>
      <c r="F108" s="1887"/>
      <c r="G108" s="1887"/>
      <c r="H108" s="1887"/>
      <c r="I108" s="1887"/>
      <c r="J108" s="1887"/>
      <c r="K108" s="1887"/>
      <c r="L108" s="1887"/>
      <c r="M108" s="1887"/>
      <c r="N108" s="1887"/>
      <c r="O108" s="1887"/>
      <c r="P108" s="1887"/>
      <c r="Q108" s="1887"/>
      <c r="R108" s="1887"/>
      <c r="S108" s="1887"/>
      <c r="T108" s="1887"/>
      <c r="U108" s="1887"/>
      <c r="V108" s="1917"/>
      <c r="W108" s="4970"/>
    </row>
    <row r="109" spans="1:23" ht="17.25" customHeight="1">
      <c r="A109" s="4967"/>
      <c r="B109" s="4967"/>
      <c r="C109" s="1923"/>
      <c r="D109" s="1886"/>
      <c r="E109" s="1886"/>
      <c r="F109" s="1887"/>
      <c r="G109" s="1887"/>
      <c r="H109" s="1887"/>
      <c r="I109" s="1887"/>
      <c r="J109" s="1887"/>
      <c r="K109" s="1887"/>
      <c r="L109" s="1887"/>
      <c r="M109" s="1887"/>
      <c r="N109" s="1887"/>
      <c r="O109" s="1887"/>
      <c r="P109" s="1887"/>
      <c r="Q109" s="1887"/>
      <c r="R109" s="1887"/>
      <c r="S109" s="1887"/>
      <c r="T109" s="1887"/>
      <c r="U109" s="1887"/>
      <c r="V109" s="1917"/>
      <c r="W109" s="4970"/>
    </row>
    <row r="110" spans="1:23" ht="17.25" customHeight="1">
      <c r="A110" s="4967"/>
      <c r="B110" s="4967"/>
      <c r="C110" s="1923"/>
      <c r="D110" s="1886"/>
      <c r="E110" s="1886"/>
      <c r="F110" s="1887"/>
      <c r="G110" s="1887"/>
      <c r="H110" s="1887"/>
      <c r="I110" s="1887"/>
      <c r="J110" s="1887"/>
      <c r="K110" s="1887"/>
      <c r="L110" s="1887"/>
      <c r="M110" s="1887"/>
      <c r="N110" s="1887"/>
      <c r="O110" s="1887"/>
      <c r="P110" s="1887"/>
      <c r="Q110" s="1887"/>
      <c r="R110" s="1887"/>
      <c r="S110" s="1887"/>
      <c r="T110" s="1887"/>
      <c r="U110" s="1887"/>
      <c r="V110" s="1917"/>
      <c r="W110" s="4970"/>
    </row>
    <row r="111" spans="1:23" ht="17.25" customHeight="1">
      <c r="A111" s="4968"/>
      <c r="B111" s="4968"/>
      <c r="C111" s="1924"/>
      <c r="D111" s="1901"/>
      <c r="E111" s="1901"/>
      <c r="F111" s="1902"/>
      <c r="G111" s="1902"/>
      <c r="H111" s="1902"/>
      <c r="I111" s="1902"/>
      <c r="J111" s="1902"/>
      <c r="K111" s="1902"/>
      <c r="L111" s="1902"/>
      <c r="M111" s="1902"/>
      <c r="N111" s="1902"/>
      <c r="O111" s="1902"/>
      <c r="P111" s="1902"/>
      <c r="Q111" s="1902"/>
      <c r="R111" s="1902"/>
      <c r="S111" s="1902"/>
      <c r="T111" s="1902"/>
      <c r="U111" s="1902"/>
      <c r="V111" s="1918"/>
      <c r="W111" s="4971"/>
    </row>
    <row r="112" spans="1:23" ht="18" customHeight="1">
      <c r="A112" s="4966">
        <v>21</v>
      </c>
      <c r="B112" s="4966" t="str">
        <f>'kt1'!B34</f>
        <v>Nàng Phon</v>
      </c>
      <c r="C112" s="1922"/>
      <c r="D112" s="1903"/>
      <c r="E112" s="1903"/>
      <c r="F112" s="1904"/>
      <c r="G112" s="1904"/>
      <c r="H112" s="1904"/>
      <c r="I112" s="1904"/>
      <c r="J112" s="1904"/>
      <c r="K112" s="1904"/>
      <c r="L112" s="1904"/>
      <c r="M112" s="1904"/>
      <c r="N112" s="1904"/>
      <c r="O112" s="1904"/>
      <c r="P112" s="1904"/>
      <c r="Q112" s="1904"/>
      <c r="R112" s="1904"/>
      <c r="S112" s="1904"/>
      <c r="T112" s="1904"/>
      <c r="U112" s="1904"/>
      <c r="V112" s="1919"/>
      <c r="W112" s="4969"/>
    </row>
    <row r="113" spans="1:23" ht="18" customHeight="1">
      <c r="A113" s="4967"/>
      <c r="B113" s="4967"/>
      <c r="C113" s="1923"/>
      <c r="D113" s="1886"/>
      <c r="E113" s="1886"/>
      <c r="F113" s="1887"/>
      <c r="G113" s="1887"/>
      <c r="H113" s="1887"/>
      <c r="I113" s="1887"/>
      <c r="J113" s="1887"/>
      <c r="K113" s="1887"/>
      <c r="L113" s="1887"/>
      <c r="M113" s="1887"/>
      <c r="N113" s="1887"/>
      <c r="O113" s="1887"/>
      <c r="P113" s="1887"/>
      <c r="Q113" s="1887"/>
      <c r="R113" s="1887"/>
      <c r="S113" s="1887"/>
      <c r="T113" s="1887"/>
      <c r="U113" s="1887"/>
      <c r="V113" s="1920"/>
      <c r="W113" s="4970"/>
    </row>
    <row r="114" spans="1:23" ht="18" customHeight="1">
      <c r="A114" s="4967"/>
      <c r="B114" s="4967"/>
      <c r="C114" s="1923"/>
      <c r="D114" s="1886"/>
      <c r="E114" s="1886"/>
      <c r="F114" s="1887"/>
      <c r="G114" s="1887"/>
      <c r="H114" s="1887"/>
      <c r="I114" s="1887"/>
      <c r="J114" s="1887"/>
      <c r="K114" s="1887"/>
      <c r="L114" s="1887"/>
      <c r="M114" s="1887"/>
      <c r="N114" s="1887"/>
      <c r="O114" s="1887"/>
      <c r="P114" s="1887"/>
      <c r="Q114" s="1887"/>
      <c r="R114" s="1887"/>
      <c r="S114" s="1887"/>
      <c r="T114" s="1887"/>
      <c r="U114" s="1887"/>
      <c r="V114" s="1920"/>
      <c r="W114" s="4970"/>
    </row>
    <row r="115" spans="1:23" ht="18" customHeight="1">
      <c r="A115" s="4967"/>
      <c r="B115" s="4967"/>
      <c r="C115" s="1923"/>
      <c r="D115" s="1886"/>
      <c r="E115" s="1886"/>
      <c r="F115" s="1887"/>
      <c r="G115" s="1887"/>
      <c r="H115" s="1887"/>
      <c r="I115" s="1887"/>
      <c r="J115" s="1887"/>
      <c r="K115" s="1887"/>
      <c r="L115" s="1887"/>
      <c r="M115" s="1887"/>
      <c r="N115" s="1887"/>
      <c r="O115" s="1887"/>
      <c r="P115" s="1887"/>
      <c r="Q115" s="1887"/>
      <c r="R115" s="1887"/>
      <c r="S115" s="1887"/>
      <c r="T115" s="1887"/>
      <c r="U115" s="1887"/>
      <c r="V115" s="1920"/>
      <c r="W115" s="4970"/>
    </row>
    <row r="116" spans="1:23" ht="18" customHeight="1">
      <c r="A116" s="4968"/>
      <c r="B116" s="4968"/>
      <c r="C116" s="1924"/>
      <c r="D116" s="1901"/>
      <c r="E116" s="1901"/>
      <c r="F116" s="1902"/>
      <c r="G116" s="1902"/>
      <c r="H116" s="1902"/>
      <c r="I116" s="1902"/>
      <c r="J116" s="1902"/>
      <c r="K116" s="1902"/>
      <c r="L116" s="1902"/>
      <c r="M116" s="1902"/>
      <c r="N116" s="1902"/>
      <c r="O116" s="1902"/>
      <c r="P116" s="1902"/>
      <c r="Q116" s="1902"/>
      <c r="R116" s="1902"/>
      <c r="S116" s="1902"/>
      <c r="T116" s="1902"/>
      <c r="U116" s="1902"/>
      <c r="V116" s="1921"/>
      <c r="W116" s="4971"/>
    </row>
    <row r="117" spans="1:23" ht="18" customHeight="1">
      <c r="A117" s="4966">
        <v>22</v>
      </c>
      <c r="B117" s="4966" t="str">
        <f>'kt1'!B35</f>
        <v>Thảo Chăn</v>
      </c>
      <c r="C117" s="1922"/>
      <c r="D117" s="1903"/>
      <c r="E117" s="1903"/>
      <c r="F117" s="1904"/>
      <c r="G117" s="1904"/>
      <c r="H117" s="1904"/>
      <c r="I117" s="1904"/>
      <c r="J117" s="1904"/>
      <c r="K117" s="1904"/>
      <c r="L117" s="1904"/>
      <c r="M117" s="1904"/>
      <c r="N117" s="1904"/>
      <c r="O117" s="1904"/>
      <c r="P117" s="1904"/>
      <c r="Q117" s="1904"/>
      <c r="R117" s="1904"/>
      <c r="S117" s="1904"/>
      <c r="T117" s="1904"/>
      <c r="U117" s="1904"/>
      <c r="V117" s="1916"/>
      <c r="W117" s="4969"/>
    </row>
    <row r="118" spans="1:23" ht="18" customHeight="1">
      <c r="A118" s="4967"/>
      <c r="B118" s="4967"/>
      <c r="C118" s="1923"/>
      <c r="D118" s="1886"/>
      <c r="E118" s="1886"/>
      <c r="F118" s="1887"/>
      <c r="G118" s="1887"/>
      <c r="H118" s="1887"/>
      <c r="I118" s="1887"/>
      <c r="J118" s="1887"/>
      <c r="K118" s="1887"/>
      <c r="L118" s="1887"/>
      <c r="M118" s="1887"/>
      <c r="N118" s="1887"/>
      <c r="O118" s="1887"/>
      <c r="P118" s="1887"/>
      <c r="Q118" s="1887"/>
      <c r="R118" s="1887"/>
      <c r="S118" s="1887"/>
      <c r="T118" s="1887"/>
      <c r="U118" s="1887"/>
      <c r="V118" s="1917"/>
      <c r="W118" s="4970"/>
    </row>
    <row r="119" spans="1:23" ht="18" customHeight="1">
      <c r="A119" s="4967"/>
      <c r="B119" s="4967"/>
      <c r="C119" s="1923"/>
      <c r="D119" s="1886"/>
      <c r="E119" s="1886"/>
      <c r="F119" s="1887"/>
      <c r="G119" s="1887"/>
      <c r="H119" s="1887"/>
      <c r="I119" s="1887"/>
      <c r="J119" s="1887"/>
      <c r="K119" s="1887"/>
      <c r="L119" s="1887"/>
      <c r="M119" s="1887"/>
      <c r="N119" s="1887"/>
      <c r="O119" s="1887"/>
      <c r="P119" s="1887"/>
      <c r="Q119" s="1887"/>
      <c r="R119" s="1887"/>
      <c r="S119" s="1887"/>
      <c r="T119" s="1887"/>
      <c r="U119" s="1887"/>
      <c r="V119" s="1917"/>
      <c r="W119" s="4970"/>
    </row>
    <row r="120" spans="1:23" ht="18" customHeight="1">
      <c r="A120" s="4967"/>
      <c r="B120" s="4967"/>
      <c r="C120" s="1923"/>
      <c r="D120" s="1886"/>
      <c r="E120" s="1886"/>
      <c r="F120" s="1887"/>
      <c r="G120" s="1887"/>
      <c r="H120" s="1887"/>
      <c r="I120" s="1887"/>
      <c r="J120" s="1887"/>
      <c r="K120" s="1887"/>
      <c r="L120" s="1887"/>
      <c r="M120" s="1887"/>
      <c r="N120" s="1887"/>
      <c r="O120" s="1887"/>
      <c r="P120" s="1887"/>
      <c r="Q120" s="1887"/>
      <c r="R120" s="1887"/>
      <c r="S120" s="1887"/>
      <c r="T120" s="1887"/>
      <c r="U120" s="1887"/>
      <c r="V120" s="1917"/>
      <c r="W120" s="4970"/>
    </row>
    <row r="121" spans="1:23" ht="18" customHeight="1">
      <c r="A121" s="4968"/>
      <c r="B121" s="4968"/>
      <c r="C121" s="1924"/>
      <c r="D121" s="1901"/>
      <c r="E121" s="1901"/>
      <c r="F121" s="1902"/>
      <c r="G121" s="1902"/>
      <c r="H121" s="1902"/>
      <c r="I121" s="1902"/>
      <c r="J121" s="1902"/>
      <c r="K121" s="1902"/>
      <c r="L121" s="1902"/>
      <c r="M121" s="1902"/>
      <c r="N121" s="1902"/>
      <c r="O121" s="1902"/>
      <c r="P121" s="1902"/>
      <c r="Q121" s="1902"/>
      <c r="R121" s="1902"/>
      <c r="S121" s="1902"/>
      <c r="T121" s="1902"/>
      <c r="U121" s="1902"/>
      <c r="V121" s="1918"/>
      <c r="W121" s="4971"/>
    </row>
    <row r="122" spans="1:23" ht="18" customHeight="1">
      <c r="A122" s="4966">
        <v>23</v>
      </c>
      <c r="B122" s="4966" t="str">
        <f>'kt1'!B36</f>
        <v>Thong La</v>
      </c>
      <c r="C122" s="1922"/>
      <c r="D122" s="1903"/>
      <c r="E122" s="1903"/>
      <c r="F122" s="1904"/>
      <c r="G122" s="1904"/>
      <c r="H122" s="1904"/>
      <c r="I122" s="1904"/>
      <c r="J122" s="1904"/>
      <c r="K122" s="1904"/>
      <c r="L122" s="1904"/>
      <c r="M122" s="1904"/>
      <c r="N122" s="1904"/>
      <c r="O122" s="1904"/>
      <c r="P122" s="1904"/>
      <c r="Q122" s="1904"/>
      <c r="R122" s="1904"/>
      <c r="S122" s="1904"/>
      <c r="T122" s="1904"/>
      <c r="U122" s="1904"/>
      <c r="V122" s="1916"/>
      <c r="W122" s="4969"/>
    </row>
    <row r="123" spans="1:23" ht="18" customHeight="1">
      <c r="A123" s="4967"/>
      <c r="B123" s="4967"/>
      <c r="C123" s="1923"/>
      <c r="D123" s="1886"/>
      <c r="E123" s="1886"/>
      <c r="F123" s="1887"/>
      <c r="G123" s="1887"/>
      <c r="H123" s="1887"/>
      <c r="I123" s="1887"/>
      <c r="J123" s="1887"/>
      <c r="K123" s="1887"/>
      <c r="L123" s="1887"/>
      <c r="M123" s="1887"/>
      <c r="N123" s="1887"/>
      <c r="O123" s="1887"/>
      <c r="P123" s="1887"/>
      <c r="Q123" s="1887"/>
      <c r="R123" s="1887"/>
      <c r="S123" s="1887"/>
      <c r="T123" s="1887"/>
      <c r="U123" s="1887"/>
      <c r="V123" s="1917"/>
      <c r="W123" s="4970"/>
    </row>
    <row r="124" spans="1:23" ht="18" customHeight="1">
      <c r="A124" s="4967"/>
      <c r="B124" s="4967"/>
      <c r="C124" s="1923"/>
      <c r="D124" s="1886"/>
      <c r="E124" s="1886"/>
      <c r="F124" s="1887"/>
      <c r="G124" s="1887"/>
      <c r="H124" s="1887"/>
      <c r="I124" s="1887"/>
      <c r="J124" s="1887"/>
      <c r="K124" s="1887"/>
      <c r="L124" s="1887"/>
      <c r="M124" s="1887"/>
      <c r="N124" s="1887"/>
      <c r="O124" s="1887"/>
      <c r="P124" s="1887"/>
      <c r="Q124" s="1887"/>
      <c r="R124" s="1887"/>
      <c r="S124" s="1887"/>
      <c r="T124" s="1887"/>
      <c r="U124" s="1887"/>
      <c r="V124" s="1917"/>
      <c r="W124" s="4970"/>
    </row>
    <row r="125" spans="1:23" ht="18" customHeight="1">
      <c r="A125" s="4967"/>
      <c r="B125" s="4967"/>
      <c r="C125" s="1923"/>
      <c r="D125" s="1886"/>
      <c r="E125" s="1886"/>
      <c r="F125" s="1887"/>
      <c r="G125" s="1887"/>
      <c r="H125" s="1887"/>
      <c r="I125" s="1887"/>
      <c r="J125" s="1887"/>
      <c r="K125" s="1887"/>
      <c r="L125" s="1887"/>
      <c r="M125" s="1887"/>
      <c r="N125" s="1887"/>
      <c r="O125" s="1887"/>
      <c r="P125" s="1887"/>
      <c r="Q125" s="1887"/>
      <c r="R125" s="1887"/>
      <c r="S125" s="1887"/>
      <c r="T125" s="1887"/>
      <c r="U125" s="1887"/>
      <c r="V125" s="1917"/>
      <c r="W125" s="4970"/>
    </row>
    <row r="126" spans="1:23" ht="18" customHeight="1">
      <c r="A126" s="4968"/>
      <c r="B126" s="4968"/>
      <c r="C126" s="1924"/>
      <c r="D126" s="1901"/>
      <c r="E126" s="1901"/>
      <c r="F126" s="1902"/>
      <c r="G126" s="1902"/>
      <c r="H126" s="1902"/>
      <c r="I126" s="1902"/>
      <c r="J126" s="1902"/>
      <c r="K126" s="1902"/>
      <c r="L126" s="1902"/>
      <c r="M126" s="1902"/>
      <c r="N126" s="1902"/>
      <c r="O126" s="1902"/>
      <c r="P126" s="1902"/>
      <c r="Q126" s="1902"/>
      <c r="R126" s="1902"/>
      <c r="S126" s="1902"/>
      <c r="T126" s="1902"/>
      <c r="U126" s="1902"/>
      <c r="V126" s="1918"/>
      <c r="W126" s="4971"/>
    </row>
    <row r="127" spans="1:23" ht="19.5" customHeight="1">
      <c r="A127" s="4966">
        <v>24</v>
      </c>
      <c r="B127" s="4966" t="str">
        <f>'kt1'!B37</f>
        <v>Thảo Cum Pha</v>
      </c>
      <c r="C127" s="1922"/>
      <c r="D127" s="1903"/>
      <c r="E127" s="1903"/>
      <c r="F127" s="1904"/>
      <c r="G127" s="1904"/>
      <c r="H127" s="1904"/>
      <c r="I127" s="1904"/>
      <c r="J127" s="1904"/>
      <c r="K127" s="1904"/>
      <c r="L127" s="1904"/>
      <c r="M127" s="1904"/>
      <c r="N127" s="1904"/>
      <c r="O127" s="1904"/>
      <c r="P127" s="1904"/>
      <c r="Q127" s="1904"/>
      <c r="R127" s="1904"/>
      <c r="S127" s="1904"/>
      <c r="T127" s="1904"/>
      <c r="U127" s="1904"/>
      <c r="V127" s="1916"/>
      <c r="W127" s="4969"/>
    </row>
    <row r="128" spans="1:23" ht="19.5" customHeight="1">
      <c r="A128" s="4967"/>
      <c r="B128" s="4967"/>
      <c r="C128" s="1923"/>
      <c r="D128" s="1886"/>
      <c r="E128" s="1886"/>
      <c r="F128" s="1887"/>
      <c r="G128" s="1887"/>
      <c r="H128" s="1887"/>
      <c r="I128" s="1887"/>
      <c r="J128" s="1887"/>
      <c r="K128" s="1887"/>
      <c r="L128" s="1887"/>
      <c r="M128" s="1887"/>
      <c r="N128" s="1887"/>
      <c r="O128" s="1887"/>
      <c r="P128" s="1887"/>
      <c r="Q128" s="1887"/>
      <c r="R128" s="1887"/>
      <c r="S128" s="1887"/>
      <c r="T128" s="1887"/>
      <c r="U128" s="1887"/>
      <c r="V128" s="1917"/>
      <c r="W128" s="4970"/>
    </row>
    <row r="129" spans="1:23" ht="19.5" customHeight="1">
      <c r="A129" s="4967"/>
      <c r="B129" s="4967"/>
      <c r="C129" s="1923"/>
      <c r="D129" s="1886"/>
      <c r="E129" s="1886"/>
      <c r="F129" s="1887"/>
      <c r="G129" s="1887"/>
      <c r="H129" s="1887"/>
      <c r="I129" s="1887"/>
      <c r="J129" s="1887"/>
      <c r="K129" s="1887"/>
      <c r="L129" s="1887"/>
      <c r="M129" s="1887"/>
      <c r="N129" s="1887"/>
      <c r="O129" s="1887"/>
      <c r="P129" s="1887"/>
      <c r="Q129" s="1887"/>
      <c r="R129" s="1887"/>
      <c r="S129" s="1887"/>
      <c r="T129" s="1887"/>
      <c r="U129" s="1887"/>
      <c r="V129" s="1917"/>
      <c r="W129" s="4970"/>
    </row>
    <row r="130" spans="1:23" ht="19.5" customHeight="1">
      <c r="A130" s="4967"/>
      <c r="B130" s="4967"/>
      <c r="C130" s="1923"/>
      <c r="D130" s="1886"/>
      <c r="E130" s="1886"/>
      <c r="F130" s="1887"/>
      <c r="G130" s="1887"/>
      <c r="H130" s="1887"/>
      <c r="I130" s="1887"/>
      <c r="J130" s="1887"/>
      <c r="K130" s="1887"/>
      <c r="L130" s="1887"/>
      <c r="M130" s="1887"/>
      <c r="N130" s="1887"/>
      <c r="O130" s="1887"/>
      <c r="P130" s="1887"/>
      <c r="Q130" s="1887"/>
      <c r="R130" s="1887"/>
      <c r="S130" s="1887"/>
      <c r="T130" s="1887"/>
      <c r="U130" s="1887"/>
      <c r="V130" s="1917"/>
      <c r="W130" s="4970"/>
    </row>
    <row r="131" spans="1:23" ht="19.5" customHeight="1">
      <c r="A131" s="4968"/>
      <c r="B131" s="4968"/>
      <c r="C131" s="1924"/>
      <c r="D131" s="1901"/>
      <c r="E131" s="1901"/>
      <c r="F131" s="1902"/>
      <c r="G131" s="1902"/>
      <c r="H131" s="1902"/>
      <c r="I131" s="1902"/>
      <c r="J131" s="1902"/>
      <c r="K131" s="1902"/>
      <c r="L131" s="1902"/>
      <c r="M131" s="1902"/>
      <c r="N131" s="1902"/>
      <c r="O131" s="1902"/>
      <c r="P131" s="1902"/>
      <c r="Q131" s="1902"/>
      <c r="R131" s="1902"/>
      <c r="S131" s="1902"/>
      <c r="T131" s="1902"/>
      <c r="U131" s="1902"/>
      <c r="V131" s="1918"/>
      <c r="W131" s="4971"/>
    </row>
    <row r="132" spans="1:23" ht="18" customHeight="1">
      <c r="A132" s="4966">
        <v>25</v>
      </c>
      <c r="B132" s="4966" t="str">
        <f>'kt1'!B38</f>
        <v>T Ô Vên</v>
      </c>
      <c r="C132" s="1922"/>
      <c r="D132" s="1903"/>
      <c r="E132" s="1903"/>
      <c r="F132" s="1904"/>
      <c r="G132" s="1904"/>
      <c r="H132" s="1904"/>
      <c r="I132" s="1904"/>
      <c r="J132" s="1904"/>
      <c r="K132" s="1904"/>
      <c r="L132" s="1904"/>
      <c r="M132" s="1904"/>
      <c r="N132" s="1904"/>
      <c r="O132" s="1904"/>
      <c r="P132" s="1904"/>
      <c r="Q132" s="1904"/>
      <c r="R132" s="1904"/>
      <c r="S132" s="1904"/>
      <c r="T132" s="1904"/>
      <c r="U132" s="1904"/>
      <c r="V132" s="1916"/>
      <c r="W132" s="4969"/>
    </row>
    <row r="133" spans="1:23" ht="18" customHeight="1">
      <c r="A133" s="4967"/>
      <c r="B133" s="4967"/>
      <c r="C133" s="1923"/>
      <c r="D133" s="1886"/>
      <c r="E133" s="1886"/>
      <c r="F133" s="1887"/>
      <c r="G133" s="1887"/>
      <c r="H133" s="1887"/>
      <c r="I133" s="1887"/>
      <c r="J133" s="1887"/>
      <c r="K133" s="1887"/>
      <c r="L133" s="1887"/>
      <c r="M133" s="1887"/>
      <c r="N133" s="1887"/>
      <c r="O133" s="1887"/>
      <c r="P133" s="1887"/>
      <c r="Q133" s="1887"/>
      <c r="R133" s="1887"/>
      <c r="S133" s="1887"/>
      <c r="T133" s="1887"/>
      <c r="U133" s="1887"/>
      <c r="V133" s="1917"/>
      <c r="W133" s="4970"/>
    </row>
    <row r="134" spans="1:23" ht="18" customHeight="1">
      <c r="A134" s="4967"/>
      <c r="B134" s="4967"/>
      <c r="C134" s="1923"/>
      <c r="D134" s="1886"/>
      <c r="E134" s="1886"/>
      <c r="F134" s="1887"/>
      <c r="G134" s="1887"/>
      <c r="H134" s="1887"/>
      <c r="I134" s="1887"/>
      <c r="J134" s="1887"/>
      <c r="K134" s="1887"/>
      <c r="L134" s="1887"/>
      <c r="M134" s="1887"/>
      <c r="N134" s="1887"/>
      <c r="O134" s="1887"/>
      <c r="P134" s="1887"/>
      <c r="Q134" s="1887"/>
      <c r="R134" s="1887"/>
      <c r="S134" s="1887"/>
      <c r="T134" s="1887"/>
      <c r="U134" s="1887"/>
      <c r="V134" s="1917"/>
      <c r="W134" s="4970"/>
    </row>
    <row r="135" spans="1:23" ht="18" customHeight="1">
      <c r="A135" s="4967"/>
      <c r="B135" s="4967"/>
      <c r="C135" s="1923"/>
      <c r="D135" s="1886"/>
      <c r="E135" s="1886"/>
      <c r="F135" s="1887"/>
      <c r="G135" s="1887"/>
      <c r="H135" s="1887"/>
      <c r="I135" s="1887"/>
      <c r="J135" s="1887"/>
      <c r="K135" s="1887"/>
      <c r="L135" s="1887"/>
      <c r="M135" s="1887"/>
      <c r="N135" s="1887"/>
      <c r="O135" s="1887"/>
      <c r="P135" s="1887"/>
      <c r="Q135" s="1887"/>
      <c r="R135" s="1887"/>
      <c r="S135" s="1887"/>
      <c r="T135" s="1887"/>
      <c r="U135" s="1887"/>
      <c r="V135" s="1917"/>
      <c r="W135" s="4970"/>
    </row>
    <row r="136" spans="1:23" ht="18" customHeight="1">
      <c r="A136" s="4968"/>
      <c r="B136" s="4968"/>
      <c r="C136" s="1924"/>
      <c r="D136" s="1901"/>
      <c r="E136" s="1901"/>
      <c r="F136" s="1902"/>
      <c r="G136" s="1902"/>
      <c r="H136" s="1902"/>
      <c r="I136" s="1902"/>
      <c r="J136" s="1902"/>
      <c r="K136" s="1902"/>
      <c r="L136" s="1902"/>
      <c r="M136" s="1902"/>
      <c r="N136" s="1902"/>
      <c r="O136" s="1902"/>
      <c r="P136" s="1902"/>
      <c r="Q136" s="1902"/>
      <c r="R136" s="1902"/>
      <c r="S136" s="1902"/>
      <c r="T136" s="1902"/>
      <c r="U136" s="1902"/>
      <c r="V136" s="1918"/>
      <c r="W136" s="4971"/>
    </row>
    <row r="137" spans="1:23" ht="18" customHeight="1">
      <c r="A137" s="4966">
        <v>26</v>
      </c>
      <c r="B137" s="4966" t="str">
        <f>'kt1'!B39</f>
        <v>Nàng Lam</v>
      </c>
      <c r="C137" s="1922"/>
      <c r="D137" s="1903"/>
      <c r="E137" s="1903"/>
      <c r="F137" s="1904"/>
      <c r="G137" s="1904"/>
      <c r="H137" s="1904"/>
      <c r="I137" s="1904"/>
      <c r="J137" s="1904"/>
      <c r="K137" s="1904"/>
      <c r="L137" s="1904"/>
      <c r="M137" s="1904"/>
      <c r="N137" s="1904"/>
      <c r="O137" s="1904"/>
      <c r="P137" s="1904"/>
      <c r="Q137" s="1904"/>
      <c r="R137" s="1904"/>
      <c r="S137" s="1904"/>
      <c r="T137" s="1904"/>
      <c r="U137" s="1904"/>
      <c r="V137" s="1916"/>
      <c r="W137" s="4969"/>
    </row>
    <row r="138" spans="1:23" ht="18" customHeight="1">
      <c r="A138" s="4967"/>
      <c r="B138" s="4967"/>
      <c r="C138" s="1923"/>
      <c r="D138" s="1886"/>
      <c r="E138" s="1886"/>
      <c r="F138" s="1887"/>
      <c r="G138" s="1887"/>
      <c r="H138" s="1887"/>
      <c r="I138" s="1887"/>
      <c r="J138" s="1887"/>
      <c r="K138" s="1887"/>
      <c r="L138" s="1887"/>
      <c r="M138" s="1887"/>
      <c r="N138" s="1887"/>
      <c r="O138" s="1887"/>
      <c r="P138" s="1887"/>
      <c r="Q138" s="1887"/>
      <c r="R138" s="1887"/>
      <c r="S138" s="1887"/>
      <c r="T138" s="1887"/>
      <c r="U138" s="1887"/>
      <c r="V138" s="1917"/>
      <c r="W138" s="4970"/>
    </row>
    <row r="139" spans="1:23" ht="18" customHeight="1">
      <c r="A139" s="4967"/>
      <c r="B139" s="4967"/>
      <c r="C139" s="1923"/>
      <c r="D139" s="1886"/>
      <c r="E139" s="1886"/>
      <c r="F139" s="1887"/>
      <c r="G139" s="1887"/>
      <c r="H139" s="1887"/>
      <c r="I139" s="1887"/>
      <c r="J139" s="1887"/>
      <c r="K139" s="1887"/>
      <c r="L139" s="1887"/>
      <c r="M139" s="1887"/>
      <c r="N139" s="1887"/>
      <c r="O139" s="1887"/>
      <c r="P139" s="1887"/>
      <c r="Q139" s="1887"/>
      <c r="R139" s="1887"/>
      <c r="S139" s="1887"/>
      <c r="T139" s="1887"/>
      <c r="U139" s="1887"/>
      <c r="V139" s="1917"/>
      <c r="W139" s="4970"/>
    </row>
    <row r="140" spans="1:23" ht="18" customHeight="1">
      <c r="A140" s="4967"/>
      <c r="B140" s="4967"/>
      <c r="C140" s="1923"/>
      <c r="D140" s="1886"/>
      <c r="E140" s="1886"/>
      <c r="F140" s="1887"/>
      <c r="G140" s="1887"/>
      <c r="H140" s="1887"/>
      <c r="I140" s="1887"/>
      <c r="J140" s="1887"/>
      <c r="K140" s="1887"/>
      <c r="L140" s="1887"/>
      <c r="M140" s="1887"/>
      <c r="N140" s="1887"/>
      <c r="O140" s="1887"/>
      <c r="P140" s="1887"/>
      <c r="Q140" s="1887"/>
      <c r="R140" s="1887"/>
      <c r="S140" s="1887"/>
      <c r="T140" s="1887"/>
      <c r="U140" s="1887"/>
      <c r="V140" s="1917"/>
      <c r="W140" s="4970"/>
    </row>
    <row r="141" spans="1:23" ht="18" customHeight="1">
      <c r="A141" s="4968"/>
      <c r="B141" s="4968"/>
      <c r="C141" s="1924"/>
      <c r="D141" s="1901"/>
      <c r="E141" s="1901"/>
      <c r="F141" s="1902"/>
      <c r="G141" s="1902"/>
      <c r="H141" s="1902"/>
      <c r="I141" s="1902"/>
      <c r="J141" s="1902"/>
      <c r="K141" s="1902"/>
      <c r="L141" s="1902"/>
      <c r="M141" s="1902"/>
      <c r="N141" s="1902"/>
      <c r="O141" s="1902"/>
      <c r="P141" s="1902"/>
      <c r="Q141" s="1902"/>
      <c r="R141" s="1902"/>
      <c r="S141" s="1902"/>
      <c r="T141" s="1902"/>
      <c r="U141" s="1902"/>
      <c r="V141" s="1918"/>
      <c r="W141" s="4971"/>
    </row>
    <row r="142" spans="1:23" ht="18" customHeight="1">
      <c r="A142" s="4966">
        <v>27</v>
      </c>
      <c r="B142" s="4966" t="str">
        <f>'kt1'!B40</f>
        <v>Nàng Hđao</v>
      </c>
      <c r="C142" s="1922"/>
      <c r="D142" s="1903"/>
      <c r="E142" s="1903"/>
      <c r="F142" s="1904"/>
      <c r="G142" s="1904"/>
      <c r="H142" s="1904"/>
      <c r="I142" s="1904"/>
      <c r="J142" s="1904"/>
      <c r="K142" s="1904"/>
      <c r="L142" s="1904"/>
      <c r="M142" s="1904"/>
      <c r="N142" s="1904"/>
      <c r="O142" s="1904"/>
      <c r="P142" s="1904"/>
      <c r="Q142" s="1904"/>
      <c r="R142" s="1904"/>
      <c r="S142" s="1904"/>
      <c r="T142" s="1904"/>
      <c r="U142" s="1904"/>
      <c r="V142" s="1916"/>
      <c r="W142" s="4969"/>
    </row>
    <row r="143" spans="1:23" ht="18" customHeight="1">
      <c r="A143" s="4967"/>
      <c r="B143" s="4967"/>
      <c r="C143" s="1923"/>
      <c r="D143" s="1886"/>
      <c r="E143" s="1886"/>
      <c r="F143" s="1887"/>
      <c r="G143" s="1887"/>
      <c r="H143" s="1887"/>
      <c r="I143" s="1887"/>
      <c r="J143" s="1887"/>
      <c r="K143" s="1887"/>
      <c r="L143" s="1887"/>
      <c r="M143" s="1887"/>
      <c r="N143" s="1887"/>
      <c r="O143" s="1887"/>
      <c r="P143" s="1887"/>
      <c r="Q143" s="1887"/>
      <c r="R143" s="1887"/>
      <c r="S143" s="1887"/>
      <c r="T143" s="1887"/>
      <c r="U143" s="1887"/>
      <c r="V143" s="1917"/>
      <c r="W143" s="4970"/>
    </row>
    <row r="144" spans="1:23" ht="18" customHeight="1">
      <c r="A144" s="4967"/>
      <c r="B144" s="4967"/>
      <c r="C144" s="1923"/>
      <c r="D144" s="1886"/>
      <c r="E144" s="1886"/>
      <c r="F144" s="1887"/>
      <c r="G144" s="1887"/>
      <c r="H144" s="1887"/>
      <c r="I144" s="1887"/>
      <c r="J144" s="1887"/>
      <c r="K144" s="1887"/>
      <c r="L144" s="1887"/>
      <c r="M144" s="1887"/>
      <c r="N144" s="1887"/>
      <c r="O144" s="1887"/>
      <c r="P144" s="1887"/>
      <c r="Q144" s="1887"/>
      <c r="R144" s="1887"/>
      <c r="S144" s="1887"/>
      <c r="T144" s="1887"/>
      <c r="U144" s="1887"/>
      <c r="V144" s="1917"/>
      <c r="W144" s="4970"/>
    </row>
    <row r="145" spans="1:23" ht="18" customHeight="1">
      <c r="A145" s="4967"/>
      <c r="B145" s="4967"/>
      <c r="C145" s="1923"/>
      <c r="D145" s="1886"/>
      <c r="E145" s="1886"/>
      <c r="F145" s="1887"/>
      <c r="G145" s="1887"/>
      <c r="H145" s="1887"/>
      <c r="I145" s="1887"/>
      <c r="J145" s="1887"/>
      <c r="K145" s="1887"/>
      <c r="L145" s="1887"/>
      <c r="M145" s="1887"/>
      <c r="N145" s="1887"/>
      <c r="O145" s="1887"/>
      <c r="P145" s="1887"/>
      <c r="Q145" s="1887"/>
      <c r="R145" s="1887"/>
      <c r="S145" s="1887"/>
      <c r="T145" s="1887"/>
      <c r="U145" s="1887"/>
      <c r="V145" s="1917"/>
      <c r="W145" s="4970"/>
    </row>
    <row r="146" spans="1:23" ht="18" customHeight="1">
      <c r="A146" s="4968"/>
      <c r="B146" s="4968"/>
      <c r="C146" s="1924"/>
      <c r="D146" s="1901"/>
      <c r="E146" s="1901"/>
      <c r="F146" s="1902"/>
      <c r="G146" s="1902"/>
      <c r="H146" s="1902"/>
      <c r="I146" s="1902"/>
      <c r="J146" s="1902"/>
      <c r="K146" s="1902"/>
      <c r="L146" s="1902"/>
      <c r="M146" s="1902"/>
      <c r="N146" s="1902"/>
      <c r="O146" s="1902"/>
      <c r="P146" s="1902"/>
      <c r="Q146" s="1902"/>
      <c r="R146" s="1902"/>
      <c r="S146" s="1902"/>
      <c r="T146" s="1902"/>
      <c r="U146" s="1902"/>
      <c r="V146" s="1918"/>
      <c r="W146" s="4971"/>
    </row>
    <row r="147" spans="1:23" ht="18" customHeight="1">
      <c r="A147" s="4966">
        <v>28</v>
      </c>
      <c r="B147" s="4966" t="str">
        <f>'kt1'!B41</f>
        <v>Thảo Tong</v>
      </c>
      <c r="C147" s="1922"/>
      <c r="D147" s="1903"/>
      <c r="E147" s="1903"/>
      <c r="F147" s="1904"/>
      <c r="G147" s="1904"/>
      <c r="H147" s="1904"/>
      <c r="I147" s="1904"/>
      <c r="J147" s="1904"/>
      <c r="K147" s="1904"/>
      <c r="L147" s="1904"/>
      <c r="M147" s="1904"/>
      <c r="N147" s="1904"/>
      <c r="O147" s="1904"/>
      <c r="P147" s="1904"/>
      <c r="Q147" s="1904"/>
      <c r="R147" s="1904"/>
      <c r="S147" s="1904"/>
      <c r="T147" s="1904"/>
      <c r="U147" s="1904"/>
      <c r="V147" s="1916"/>
      <c r="W147" s="4969"/>
    </row>
    <row r="148" spans="1:23" ht="18" customHeight="1">
      <c r="A148" s="4967"/>
      <c r="B148" s="4967"/>
      <c r="C148" s="1923"/>
      <c r="D148" s="1886"/>
      <c r="E148" s="1886"/>
      <c r="F148" s="1887"/>
      <c r="G148" s="1887"/>
      <c r="H148" s="1887"/>
      <c r="I148" s="1887"/>
      <c r="J148" s="1887"/>
      <c r="K148" s="1887"/>
      <c r="L148" s="1887"/>
      <c r="M148" s="1887"/>
      <c r="N148" s="1887"/>
      <c r="O148" s="1887"/>
      <c r="P148" s="1887"/>
      <c r="Q148" s="1887"/>
      <c r="R148" s="1887"/>
      <c r="S148" s="1887"/>
      <c r="T148" s="1887"/>
      <c r="U148" s="1887"/>
      <c r="V148" s="1917"/>
      <c r="W148" s="4970"/>
    </row>
    <row r="149" spans="1:23" ht="18" customHeight="1">
      <c r="A149" s="4967"/>
      <c r="B149" s="4967"/>
      <c r="C149" s="1923"/>
      <c r="D149" s="1886"/>
      <c r="E149" s="1886"/>
      <c r="F149" s="1887"/>
      <c r="G149" s="1887"/>
      <c r="H149" s="1887"/>
      <c r="I149" s="1887"/>
      <c r="J149" s="1887"/>
      <c r="K149" s="1887"/>
      <c r="L149" s="1887"/>
      <c r="M149" s="1887"/>
      <c r="N149" s="1887"/>
      <c r="O149" s="1887"/>
      <c r="P149" s="1887"/>
      <c r="Q149" s="1887"/>
      <c r="R149" s="1887"/>
      <c r="S149" s="1887"/>
      <c r="T149" s="1887"/>
      <c r="U149" s="1887"/>
      <c r="V149" s="1917"/>
      <c r="W149" s="4970"/>
    </row>
    <row r="150" spans="1:23" ht="18" customHeight="1">
      <c r="A150" s="4967"/>
      <c r="B150" s="4967"/>
      <c r="C150" s="1923"/>
      <c r="D150" s="1886"/>
      <c r="E150" s="1886"/>
      <c r="F150" s="1887"/>
      <c r="G150" s="1887"/>
      <c r="H150" s="1887"/>
      <c r="I150" s="1887"/>
      <c r="J150" s="1887"/>
      <c r="K150" s="1887"/>
      <c r="L150" s="1887"/>
      <c r="M150" s="1887"/>
      <c r="N150" s="1887"/>
      <c r="O150" s="1887"/>
      <c r="P150" s="1887"/>
      <c r="Q150" s="1887"/>
      <c r="R150" s="1887"/>
      <c r="S150" s="1887"/>
      <c r="T150" s="1887"/>
      <c r="U150" s="1887"/>
      <c r="V150" s="1917"/>
      <c r="W150" s="4970"/>
    </row>
    <row r="151" spans="1:23" ht="18" customHeight="1">
      <c r="A151" s="4968"/>
      <c r="B151" s="4968"/>
      <c r="C151" s="1924"/>
      <c r="D151" s="1901"/>
      <c r="E151" s="1901"/>
      <c r="F151" s="1902"/>
      <c r="G151" s="1902"/>
      <c r="H151" s="1902"/>
      <c r="I151" s="1902"/>
      <c r="J151" s="1902"/>
      <c r="K151" s="1902"/>
      <c r="L151" s="1902"/>
      <c r="M151" s="1902"/>
      <c r="N151" s="1902"/>
      <c r="O151" s="1902"/>
      <c r="P151" s="1902"/>
      <c r="Q151" s="1902"/>
      <c r="R151" s="1902"/>
      <c r="S151" s="1902"/>
      <c r="T151" s="1902"/>
      <c r="U151" s="1902"/>
      <c r="V151" s="1918"/>
      <c r="W151" s="4971"/>
    </row>
    <row r="152" spans="1:23" ht="28.5" customHeight="1">
      <c r="A152" s="4966">
        <v>29</v>
      </c>
      <c r="B152" s="4966" t="str">
        <f>'kt1'!B42</f>
        <v>Thảo Khốc</v>
      </c>
      <c r="C152" s="1922"/>
      <c r="D152" s="1903"/>
      <c r="E152" s="1903"/>
      <c r="F152" s="1904"/>
      <c r="G152" s="1904"/>
      <c r="H152" s="1904"/>
      <c r="I152" s="1904"/>
      <c r="J152" s="1904"/>
      <c r="K152" s="1904"/>
      <c r="L152" s="1904"/>
      <c r="M152" s="1904"/>
      <c r="N152" s="1904"/>
      <c r="O152" s="1904"/>
      <c r="P152" s="1904"/>
      <c r="Q152" s="1904"/>
      <c r="R152" s="1904"/>
      <c r="S152" s="1904"/>
      <c r="T152" s="1904"/>
      <c r="U152" s="1904"/>
      <c r="V152" s="1916"/>
      <c r="W152" s="4969"/>
    </row>
    <row r="153" spans="1:23" ht="28.5" customHeight="1">
      <c r="A153" s="4967"/>
      <c r="B153" s="4967"/>
      <c r="C153" s="1923"/>
      <c r="D153" s="1886"/>
      <c r="E153" s="1886"/>
      <c r="F153" s="1887"/>
      <c r="G153" s="1887"/>
      <c r="H153" s="1887"/>
      <c r="I153" s="1887"/>
      <c r="J153" s="1887"/>
      <c r="K153" s="1887"/>
      <c r="L153" s="1887"/>
      <c r="M153" s="1887"/>
      <c r="N153" s="1887"/>
      <c r="O153" s="1887"/>
      <c r="P153" s="1887"/>
      <c r="Q153" s="1887"/>
      <c r="R153" s="1887"/>
      <c r="S153" s="1887"/>
      <c r="T153" s="1887"/>
      <c r="U153" s="1887"/>
      <c r="V153" s="1917"/>
      <c r="W153" s="4970"/>
    </row>
    <row r="154" spans="1:23" ht="28.5" customHeight="1">
      <c r="A154" s="4967"/>
      <c r="B154" s="4967"/>
      <c r="C154" s="1923"/>
      <c r="D154" s="1886"/>
      <c r="E154" s="1886"/>
      <c r="F154" s="1887"/>
      <c r="G154" s="1887"/>
      <c r="H154" s="1887"/>
      <c r="I154" s="1887"/>
      <c r="J154" s="1887"/>
      <c r="K154" s="1887"/>
      <c r="L154" s="1887"/>
      <c r="M154" s="1887"/>
      <c r="N154" s="1887"/>
      <c r="O154" s="1887"/>
      <c r="P154" s="1887"/>
      <c r="Q154" s="1887"/>
      <c r="R154" s="1887"/>
      <c r="S154" s="1887"/>
      <c r="T154" s="1887"/>
      <c r="U154" s="1887"/>
      <c r="V154" s="1917"/>
      <c r="W154" s="4970"/>
    </row>
    <row r="155" spans="1:23" ht="28.5" customHeight="1">
      <c r="A155" s="4967"/>
      <c r="B155" s="4967"/>
      <c r="C155" s="1923"/>
      <c r="D155" s="1886"/>
      <c r="E155" s="1886"/>
      <c r="F155" s="1887"/>
      <c r="G155" s="1887"/>
      <c r="H155" s="1887"/>
      <c r="I155" s="1887"/>
      <c r="J155" s="1887"/>
      <c r="K155" s="1887"/>
      <c r="L155" s="1887"/>
      <c r="M155" s="1887"/>
      <c r="N155" s="1887"/>
      <c r="O155" s="1887"/>
      <c r="P155" s="1887"/>
      <c r="Q155" s="1887"/>
      <c r="R155" s="1887"/>
      <c r="S155" s="1887"/>
      <c r="T155" s="1887"/>
      <c r="U155" s="1887"/>
      <c r="V155" s="1917"/>
      <c r="W155" s="4970"/>
    </row>
    <row r="156" spans="1:23" ht="28.5" customHeight="1">
      <c r="A156" s="4968"/>
      <c r="B156" s="4968"/>
      <c r="C156" s="1924"/>
      <c r="D156" s="1901"/>
      <c r="E156" s="1901"/>
      <c r="F156" s="1902"/>
      <c r="G156" s="1902"/>
      <c r="H156" s="1902"/>
      <c r="I156" s="1902"/>
      <c r="J156" s="1902"/>
      <c r="K156" s="1902"/>
      <c r="L156" s="1902"/>
      <c r="M156" s="1902"/>
      <c r="N156" s="1902"/>
      <c r="O156" s="1902"/>
      <c r="P156" s="1902"/>
      <c r="Q156" s="1902"/>
      <c r="R156" s="1902"/>
      <c r="S156" s="1902"/>
      <c r="T156" s="1902"/>
      <c r="U156" s="1902"/>
      <c r="V156" s="1918"/>
      <c r="W156" s="4971"/>
    </row>
    <row r="157" spans="1:23" ht="22.5" hidden="1" customHeight="1">
      <c r="A157" s="4966">
        <v>30</v>
      </c>
      <c r="B157" s="4966" t="str">
        <f>'kt1'!B43</f>
        <v>Thảo Sợt</v>
      </c>
      <c r="C157" s="1922"/>
      <c r="D157" s="1903"/>
      <c r="E157" s="1903"/>
      <c r="F157" s="1904"/>
      <c r="G157" s="1904"/>
      <c r="H157" s="1904"/>
      <c r="I157" s="1904"/>
      <c r="J157" s="1904"/>
      <c r="K157" s="1904"/>
      <c r="L157" s="1904"/>
      <c r="M157" s="1904"/>
      <c r="N157" s="1904"/>
      <c r="O157" s="1904"/>
      <c r="P157" s="1904"/>
      <c r="Q157" s="1904"/>
      <c r="R157" s="1904"/>
      <c r="S157" s="1904"/>
      <c r="T157" s="1904"/>
      <c r="U157" s="1904"/>
      <c r="V157" s="1916"/>
      <c r="W157" s="4969"/>
    </row>
    <row r="158" spans="1:23" ht="22.5" hidden="1" customHeight="1">
      <c r="A158" s="4967"/>
      <c r="B158" s="4967"/>
      <c r="C158" s="1923"/>
      <c r="D158" s="1886"/>
      <c r="E158" s="1886"/>
      <c r="F158" s="1887"/>
      <c r="G158" s="1887"/>
      <c r="H158" s="1887"/>
      <c r="I158" s="1887"/>
      <c r="J158" s="1887"/>
      <c r="K158" s="1887"/>
      <c r="L158" s="1887"/>
      <c r="M158" s="1887"/>
      <c r="N158" s="1887"/>
      <c r="O158" s="1887"/>
      <c r="P158" s="1887"/>
      <c r="Q158" s="1887"/>
      <c r="R158" s="1887"/>
      <c r="S158" s="1887"/>
      <c r="T158" s="1887"/>
      <c r="U158" s="1887"/>
      <c r="V158" s="1917"/>
      <c r="W158" s="4970"/>
    </row>
    <row r="159" spans="1:23" ht="22.5" hidden="1" customHeight="1">
      <c r="A159" s="4967"/>
      <c r="B159" s="4967"/>
      <c r="C159" s="1923"/>
      <c r="D159" s="1886"/>
      <c r="E159" s="1886"/>
      <c r="F159" s="1887"/>
      <c r="G159" s="1887"/>
      <c r="H159" s="1887"/>
      <c r="I159" s="1887"/>
      <c r="J159" s="1887"/>
      <c r="K159" s="1887"/>
      <c r="L159" s="1887"/>
      <c r="M159" s="1887"/>
      <c r="N159" s="1887"/>
      <c r="O159" s="1887"/>
      <c r="P159" s="1887"/>
      <c r="Q159" s="1887"/>
      <c r="R159" s="1887"/>
      <c r="S159" s="1887"/>
      <c r="T159" s="1887"/>
      <c r="U159" s="1887"/>
      <c r="V159" s="1917"/>
      <c r="W159" s="4970"/>
    </row>
    <row r="160" spans="1:23" ht="22.5" hidden="1" customHeight="1">
      <c r="A160" s="4967"/>
      <c r="B160" s="4967"/>
      <c r="C160" s="1923"/>
      <c r="D160" s="1886"/>
      <c r="E160" s="1886"/>
      <c r="F160" s="1887"/>
      <c r="G160" s="1887"/>
      <c r="H160" s="1887"/>
      <c r="I160" s="1887"/>
      <c r="J160" s="1887"/>
      <c r="K160" s="1887"/>
      <c r="L160" s="1887"/>
      <c r="M160" s="1887"/>
      <c r="N160" s="1887"/>
      <c r="O160" s="1887"/>
      <c r="P160" s="1887"/>
      <c r="Q160" s="1887"/>
      <c r="R160" s="1887"/>
      <c r="S160" s="1887"/>
      <c r="T160" s="1887"/>
      <c r="U160" s="1887"/>
      <c r="V160" s="1917"/>
      <c r="W160" s="4970"/>
    </row>
    <row r="161" spans="1:23" ht="22.5" hidden="1" customHeight="1">
      <c r="A161" s="4968"/>
      <c r="B161" s="4968"/>
      <c r="C161" s="1924"/>
      <c r="D161" s="1901"/>
      <c r="E161" s="1901"/>
      <c r="F161" s="1902"/>
      <c r="G161" s="1902"/>
      <c r="H161" s="1902"/>
      <c r="I161" s="1902"/>
      <c r="J161" s="1902"/>
      <c r="K161" s="1902"/>
      <c r="L161" s="1902"/>
      <c r="M161" s="1902"/>
      <c r="N161" s="1902"/>
      <c r="O161" s="1902"/>
      <c r="P161" s="1902"/>
      <c r="Q161" s="1902"/>
      <c r="R161" s="1902"/>
      <c r="S161" s="1902"/>
      <c r="T161" s="1902"/>
      <c r="U161" s="1902"/>
      <c r="V161" s="1918"/>
      <c r="W161" s="4971"/>
    </row>
    <row r="162" spans="1:23" ht="22.5" customHeight="1">
      <c r="A162" s="4966">
        <v>31</v>
      </c>
      <c r="B162" s="4966" t="str">
        <f>'kt1'!B44</f>
        <v>Thảo Văn</v>
      </c>
      <c r="C162" s="1922"/>
      <c r="D162" s="1903"/>
      <c r="E162" s="1903"/>
      <c r="F162" s="1904"/>
      <c r="G162" s="1904"/>
      <c r="H162" s="1904"/>
      <c r="I162" s="1904"/>
      <c r="J162" s="1904"/>
      <c r="K162" s="1904"/>
      <c r="L162" s="1904"/>
      <c r="M162" s="1904"/>
      <c r="N162" s="1904"/>
      <c r="O162" s="1904"/>
      <c r="P162" s="1904"/>
      <c r="Q162" s="1904"/>
      <c r="R162" s="1904"/>
      <c r="S162" s="1904"/>
      <c r="T162" s="1904"/>
      <c r="U162" s="1904"/>
      <c r="V162" s="1916"/>
      <c r="W162" s="4969"/>
    </row>
    <row r="163" spans="1:23" ht="22.5" customHeight="1">
      <c r="A163" s="4967"/>
      <c r="B163" s="4967"/>
      <c r="C163" s="1923"/>
      <c r="D163" s="1886"/>
      <c r="E163" s="1886"/>
      <c r="F163" s="1887"/>
      <c r="G163" s="1887"/>
      <c r="H163" s="1887"/>
      <c r="I163" s="1887"/>
      <c r="J163" s="1887"/>
      <c r="K163" s="1887"/>
      <c r="L163" s="1887"/>
      <c r="M163" s="1887"/>
      <c r="N163" s="1887"/>
      <c r="O163" s="1887"/>
      <c r="P163" s="1887"/>
      <c r="Q163" s="1887"/>
      <c r="R163" s="1887"/>
      <c r="S163" s="1887"/>
      <c r="T163" s="1887"/>
      <c r="U163" s="1887"/>
      <c r="V163" s="1917"/>
      <c r="W163" s="4970"/>
    </row>
    <row r="164" spans="1:23" ht="22.5" customHeight="1">
      <c r="A164" s="4967"/>
      <c r="B164" s="4967"/>
      <c r="C164" s="1923"/>
      <c r="D164" s="1886"/>
      <c r="E164" s="1886"/>
      <c r="F164" s="1887"/>
      <c r="G164" s="1887"/>
      <c r="H164" s="1887"/>
      <c r="I164" s="1887"/>
      <c r="J164" s="1887"/>
      <c r="K164" s="1887"/>
      <c r="L164" s="1887"/>
      <c r="M164" s="1887"/>
      <c r="N164" s="1887"/>
      <c r="O164" s="1887"/>
      <c r="P164" s="1887"/>
      <c r="Q164" s="1887"/>
      <c r="R164" s="1887"/>
      <c r="S164" s="1887"/>
      <c r="T164" s="1887"/>
      <c r="U164" s="1887"/>
      <c r="V164" s="1917"/>
      <c r="W164" s="4970"/>
    </row>
    <row r="165" spans="1:23" ht="22.5" customHeight="1">
      <c r="A165" s="4967"/>
      <c r="B165" s="4967"/>
      <c r="C165" s="1923"/>
      <c r="D165" s="1886"/>
      <c r="E165" s="1886"/>
      <c r="F165" s="1887"/>
      <c r="G165" s="1887"/>
      <c r="H165" s="1887"/>
      <c r="I165" s="1887"/>
      <c r="J165" s="1887"/>
      <c r="K165" s="1887"/>
      <c r="L165" s="1887"/>
      <c r="M165" s="1887"/>
      <c r="N165" s="1887"/>
      <c r="O165" s="1887"/>
      <c r="P165" s="1887"/>
      <c r="Q165" s="1887"/>
      <c r="R165" s="1887"/>
      <c r="S165" s="1887"/>
      <c r="T165" s="1887"/>
      <c r="U165" s="1887"/>
      <c r="V165" s="1917"/>
      <c r="W165" s="4970"/>
    </row>
    <row r="166" spans="1:23" ht="22.5" customHeight="1">
      <c r="A166" s="4968"/>
      <c r="B166" s="4968"/>
      <c r="C166" s="1924"/>
      <c r="D166" s="1901"/>
      <c r="E166" s="1901"/>
      <c r="F166" s="1902"/>
      <c r="G166" s="1902"/>
      <c r="H166" s="1902"/>
      <c r="I166" s="1902"/>
      <c r="J166" s="1902"/>
      <c r="K166" s="1902"/>
      <c r="L166" s="1902"/>
      <c r="M166" s="1902"/>
      <c r="N166" s="1902"/>
      <c r="O166" s="1902"/>
      <c r="P166" s="1902"/>
      <c r="Q166" s="1902"/>
      <c r="R166" s="1902"/>
      <c r="S166" s="1902"/>
      <c r="T166" s="1902"/>
      <c r="U166" s="1902"/>
      <c r="V166" s="1918"/>
      <c r="W166" s="4971"/>
    </row>
    <row r="167" spans="1:23" ht="22.5" customHeight="1">
      <c r="A167" s="4966">
        <v>32</v>
      </c>
      <c r="B167" s="4966" t="str">
        <f>'kt1'!B45</f>
        <v>Nàng Túc</v>
      </c>
      <c r="C167" s="1922"/>
      <c r="D167" s="1903"/>
      <c r="E167" s="1903"/>
      <c r="F167" s="1904"/>
      <c r="G167" s="1904"/>
      <c r="H167" s="1904"/>
      <c r="I167" s="1904"/>
      <c r="J167" s="1904"/>
      <c r="K167" s="1904"/>
      <c r="L167" s="1904"/>
      <c r="M167" s="1904"/>
      <c r="N167" s="1904"/>
      <c r="O167" s="1904"/>
      <c r="P167" s="1904"/>
      <c r="Q167" s="1904"/>
      <c r="R167" s="1904"/>
      <c r="S167" s="1904"/>
      <c r="T167" s="1904"/>
      <c r="U167" s="1904"/>
      <c r="V167" s="1916"/>
      <c r="W167" s="4969"/>
    </row>
    <row r="168" spans="1:23" ht="22.5" customHeight="1">
      <c r="A168" s="4967"/>
      <c r="B168" s="4967"/>
      <c r="C168" s="1923"/>
      <c r="D168" s="1886"/>
      <c r="E168" s="1886"/>
      <c r="F168" s="1887"/>
      <c r="G168" s="1887"/>
      <c r="H168" s="1887"/>
      <c r="I168" s="1887"/>
      <c r="J168" s="1887"/>
      <c r="K168" s="1887"/>
      <c r="L168" s="1887"/>
      <c r="M168" s="1887"/>
      <c r="N168" s="1887"/>
      <c r="O168" s="1887"/>
      <c r="P168" s="1887"/>
      <c r="Q168" s="1887"/>
      <c r="R168" s="1887"/>
      <c r="S168" s="1887"/>
      <c r="T168" s="1887"/>
      <c r="U168" s="1887"/>
      <c r="V168" s="1917"/>
      <c r="W168" s="4970"/>
    </row>
    <row r="169" spans="1:23" ht="22.5" customHeight="1">
      <c r="A169" s="4967"/>
      <c r="B169" s="4967"/>
      <c r="C169" s="1923"/>
      <c r="D169" s="1886"/>
      <c r="E169" s="1886"/>
      <c r="F169" s="1887"/>
      <c r="G169" s="1887"/>
      <c r="H169" s="1887"/>
      <c r="I169" s="1887"/>
      <c r="J169" s="1887"/>
      <c r="K169" s="1887"/>
      <c r="L169" s="1887"/>
      <c r="M169" s="1887"/>
      <c r="N169" s="1887"/>
      <c r="O169" s="1887"/>
      <c r="P169" s="1887"/>
      <c r="Q169" s="1887"/>
      <c r="R169" s="1887"/>
      <c r="S169" s="1887"/>
      <c r="T169" s="1887"/>
      <c r="U169" s="1887"/>
      <c r="V169" s="1917"/>
      <c r="W169" s="4970"/>
    </row>
    <row r="170" spans="1:23" ht="22.5" customHeight="1">
      <c r="A170" s="4967"/>
      <c r="B170" s="4967"/>
      <c r="C170" s="1923"/>
      <c r="D170" s="1886"/>
      <c r="E170" s="1886"/>
      <c r="F170" s="1887"/>
      <c r="G170" s="1887"/>
      <c r="H170" s="1887"/>
      <c r="I170" s="1887"/>
      <c r="J170" s="1887"/>
      <c r="K170" s="1887"/>
      <c r="L170" s="1887"/>
      <c r="M170" s="1887"/>
      <c r="N170" s="1887"/>
      <c r="O170" s="1887"/>
      <c r="P170" s="1887"/>
      <c r="Q170" s="1887"/>
      <c r="R170" s="1887"/>
      <c r="S170" s="1887"/>
      <c r="T170" s="1887"/>
      <c r="U170" s="1887"/>
      <c r="V170" s="1917"/>
      <c r="W170" s="4970"/>
    </row>
    <row r="171" spans="1:23" ht="22.5" customHeight="1">
      <c r="A171" s="4968"/>
      <c r="B171" s="4968"/>
      <c r="C171" s="1924"/>
      <c r="D171" s="1901"/>
      <c r="E171" s="1901"/>
      <c r="F171" s="1902"/>
      <c r="G171" s="1902"/>
      <c r="H171" s="1902"/>
      <c r="I171" s="1902"/>
      <c r="J171" s="1902"/>
      <c r="K171" s="1902"/>
      <c r="L171" s="1902"/>
      <c r="M171" s="1902"/>
      <c r="N171" s="1902"/>
      <c r="O171" s="1902"/>
      <c r="P171" s="1902"/>
      <c r="Q171" s="1902"/>
      <c r="R171" s="1902"/>
      <c r="S171" s="1902"/>
      <c r="T171" s="1902"/>
      <c r="U171" s="1902"/>
      <c r="V171" s="1918"/>
      <c r="W171" s="4971"/>
    </row>
    <row r="172" spans="1:23" ht="24.75" customHeight="1">
      <c r="A172" s="4966">
        <v>33</v>
      </c>
      <c r="B172" s="4966" t="str">
        <f>'kt1'!B46</f>
        <v>Nàng Chon</v>
      </c>
      <c r="C172" s="1922"/>
      <c r="D172" s="1903"/>
      <c r="E172" s="1903"/>
      <c r="F172" s="1904"/>
      <c r="G172" s="1904"/>
      <c r="H172" s="1904"/>
      <c r="I172" s="1904"/>
      <c r="J172" s="1904"/>
      <c r="K172" s="1904"/>
      <c r="L172" s="1904"/>
      <c r="M172" s="1904"/>
      <c r="N172" s="1904"/>
      <c r="O172" s="1904"/>
      <c r="P172" s="1904"/>
      <c r="Q172" s="1904"/>
      <c r="R172" s="1904"/>
      <c r="S172" s="1904"/>
      <c r="T172" s="1904"/>
      <c r="U172" s="1904"/>
      <c r="V172" s="1916"/>
      <c r="W172" s="4969"/>
    </row>
    <row r="173" spans="1:23" ht="24.75" customHeight="1">
      <c r="A173" s="4967"/>
      <c r="B173" s="4967"/>
      <c r="C173" s="1923"/>
      <c r="D173" s="1886"/>
      <c r="E173" s="1886"/>
      <c r="F173" s="1887"/>
      <c r="G173" s="1887"/>
      <c r="H173" s="1887"/>
      <c r="I173" s="1887"/>
      <c r="J173" s="1887"/>
      <c r="K173" s="1887"/>
      <c r="L173" s="1887"/>
      <c r="M173" s="1887"/>
      <c r="N173" s="1887"/>
      <c r="O173" s="1887"/>
      <c r="P173" s="1887"/>
      <c r="Q173" s="1887"/>
      <c r="R173" s="1887"/>
      <c r="S173" s="1887"/>
      <c r="T173" s="1887"/>
      <c r="U173" s="1887"/>
      <c r="V173" s="1917"/>
      <c r="W173" s="4970"/>
    </row>
    <row r="174" spans="1:23" ht="24.75" customHeight="1">
      <c r="A174" s="4967"/>
      <c r="B174" s="4967"/>
      <c r="C174" s="1923"/>
      <c r="D174" s="1886"/>
      <c r="E174" s="1886"/>
      <c r="F174" s="1887"/>
      <c r="G174" s="1887"/>
      <c r="H174" s="1887"/>
      <c r="I174" s="1887"/>
      <c r="J174" s="1887"/>
      <c r="K174" s="1887"/>
      <c r="L174" s="1887"/>
      <c r="M174" s="1887"/>
      <c r="N174" s="1887"/>
      <c r="O174" s="1887"/>
      <c r="P174" s="1887"/>
      <c r="Q174" s="1887"/>
      <c r="R174" s="1887"/>
      <c r="S174" s="1887"/>
      <c r="T174" s="1887"/>
      <c r="U174" s="1887"/>
      <c r="V174" s="1917"/>
      <c r="W174" s="4970"/>
    </row>
    <row r="175" spans="1:23" ht="24.75" customHeight="1">
      <c r="A175" s="4967"/>
      <c r="B175" s="4967"/>
      <c r="C175" s="1923"/>
      <c r="D175" s="1886"/>
      <c r="E175" s="1886"/>
      <c r="F175" s="1887"/>
      <c r="G175" s="1887"/>
      <c r="H175" s="1887"/>
      <c r="I175" s="1887"/>
      <c r="J175" s="1887"/>
      <c r="K175" s="1887"/>
      <c r="L175" s="1887"/>
      <c r="M175" s="1887"/>
      <c r="N175" s="1887"/>
      <c r="O175" s="1887"/>
      <c r="P175" s="1887"/>
      <c r="Q175" s="1887"/>
      <c r="R175" s="1887"/>
      <c r="S175" s="1887"/>
      <c r="T175" s="1887"/>
      <c r="U175" s="1887"/>
      <c r="V175" s="1917"/>
      <c r="W175" s="4970"/>
    </row>
    <row r="176" spans="1:23" ht="24.75" customHeight="1">
      <c r="A176" s="4968"/>
      <c r="B176" s="4968"/>
      <c r="C176" s="1924"/>
      <c r="D176" s="1901"/>
      <c r="E176" s="1901"/>
      <c r="F176" s="1902"/>
      <c r="G176" s="1902"/>
      <c r="H176" s="1902"/>
      <c r="I176" s="1902"/>
      <c r="J176" s="1902"/>
      <c r="K176" s="1902"/>
      <c r="L176" s="1902"/>
      <c r="M176" s="1902"/>
      <c r="N176" s="1902"/>
      <c r="O176" s="1902"/>
      <c r="P176" s="1902"/>
      <c r="Q176" s="1902"/>
      <c r="R176" s="1902"/>
      <c r="S176" s="1902"/>
      <c r="T176" s="1902"/>
      <c r="U176" s="1902"/>
      <c r="V176" s="1918"/>
      <c r="W176" s="4971"/>
    </row>
    <row r="177" spans="1:23" ht="24.75" customHeight="1">
      <c r="A177" s="4966">
        <v>34</v>
      </c>
      <c r="B177" s="4966" t="str">
        <f>'kt1'!B47</f>
        <v>Thảo Hơ Phơ</v>
      </c>
      <c r="C177" s="1922"/>
      <c r="D177" s="1903"/>
      <c r="E177" s="1903"/>
      <c r="F177" s="1904"/>
      <c r="G177" s="1904"/>
      <c r="H177" s="1904"/>
      <c r="I177" s="1904"/>
      <c r="J177" s="1904"/>
      <c r="K177" s="1904"/>
      <c r="L177" s="1904"/>
      <c r="M177" s="1904"/>
      <c r="N177" s="1904"/>
      <c r="O177" s="1904"/>
      <c r="P177" s="1904"/>
      <c r="Q177" s="1904"/>
      <c r="R177" s="1904"/>
      <c r="S177" s="1904"/>
      <c r="T177" s="1904"/>
      <c r="U177" s="1904"/>
      <c r="V177" s="1916"/>
      <c r="W177" s="4969"/>
    </row>
    <row r="178" spans="1:23" ht="24.75" customHeight="1">
      <c r="A178" s="4967"/>
      <c r="B178" s="4967"/>
      <c r="C178" s="1923"/>
      <c r="D178" s="1886"/>
      <c r="E178" s="1886"/>
      <c r="F178" s="1887"/>
      <c r="G178" s="1887"/>
      <c r="H178" s="1887"/>
      <c r="I178" s="1887"/>
      <c r="J178" s="1887"/>
      <c r="K178" s="1887"/>
      <c r="L178" s="1887"/>
      <c r="M178" s="1887"/>
      <c r="N178" s="1887"/>
      <c r="O178" s="1887"/>
      <c r="P178" s="1887"/>
      <c r="Q178" s="1887"/>
      <c r="R178" s="1887"/>
      <c r="S178" s="1887"/>
      <c r="T178" s="1887"/>
      <c r="U178" s="1887"/>
      <c r="V178" s="1917"/>
      <c r="W178" s="4970"/>
    </row>
    <row r="179" spans="1:23" ht="24.75" customHeight="1">
      <c r="A179" s="4967"/>
      <c r="B179" s="4967"/>
      <c r="C179" s="1923"/>
      <c r="D179" s="1886"/>
      <c r="E179" s="1886"/>
      <c r="F179" s="1887"/>
      <c r="G179" s="1887"/>
      <c r="H179" s="1887"/>
      <c r="I179" s="1887"/>
      <c r="J179" s="1887"/>
      <c r="K179" s="1887"/>
      <c r="L179" s="1887"/>
      <c r="M179" s="1887"/>
      <c r="N179" s="1887"/>
      <c r="O179" s="1887"/>
      <c r="P179" s="1887"/>
      <c r="Q179" s="1887"/>
      <c r="R179" s="1887"/>
      <c r="S179" s="1887"/>
      <c r="T179" s="1887"/>
      <c r="U179" s="1887"/>
      <c r="V179" s="1917"/>
      <c r="W179" s="4970"/>
    </row>
    <row r="180" spans="1:23" ht="24.75" customHeight="1">
      <c r="A180" s="4967"/>
      <c r="B180" s="4967"/>
      <c r="C180" s="1923"/>
      <c r="D180" s="1886"/>
      <c r="E180" s="1886"/>
      <c r="F180" s="1887"/>
      <c r="G180" s="1887"/>
      <c r="H180" s="1887"/>
      <c r="I180" s="1887"/>
      <c r="J180" s="1887"/>
      <c r="K180" s="1887"/>
      <c r="L180" s="1887"/>
      <c r="M180" s="1887"/>
      <c r="N180" s="1887"/>
      <c r="O180" s="1887"/>
      <c r="P180" s="1887"/>
      <c r="Q180" s="1887"/>
      <c r="R180" s="1887"/>
      <c r="S180" s="1887"/>
      <c r="T180" s="1887"/>
      <c r="U180" s="1887"/>
      <c r="V180" s="1917"/>
      <c r="W180" s="4970"/>
    </row>
    <row r="181" spans="1:23" ht="24.75" customHeight="1">
      <c r="A181" s="4968"/>
      <c r="B181" s="4968"/>
      <c r="C181" s="1924"/>
      <c r="D181" s="1901"/>
      <c r="E181" s="1901"/>
      <c r="F181" s="1902"/>
      <c r="G181" s="1902"/>
      <c r="H181" s="1902"/>
      <c r="I181" s="1902"/>
      <c r="J181" s="1902"/>
      <c r="K181" s="1902"/>
      <c r="L181" s="1902"/>
      <c r="M181" s="1902"/>
      <c r="N181" s="1902"/>
      <c r="O181" s="1902"/>
      <c r="P181" s="1902"/>
      <c r="Q181" s="1902"/>
      <c r="R181" s="1902"/>
      <c r="S181" s="1902"/>
      <c r="T181" s="1902"/>
      <c r="U181" s="1902"/>
      <c r="V181" s="1918"/>
      <c r="W181" s="4971"/>
    </row>
    <row r="182" spans="1:23" ht="24.75" customHeight="1">
      <c r="A182" s="4966">
        <v>35</v>
      </c>
      <c r="B182" s="4966" t="str">
        <f>'kt1'!B48</f>
        <v>Thảo Phét</v>
      </c>
      <c r="C182" s="1922"/>
      <c r="D182" s="1903"/>
      <c r="E182" s="1903"/>
      <c r="F182" s="1904"/>
      <c r="G182" s="1904"/>
      <c r="H182" s="1904"/>
      <c r="I182" s="1904"/>
      <c r="J182" s="1904"/>
      <c r="K182" s="1904"/>
      <c r="L182" s="1904"/>
      <c r="M182" s="1904"/>
      <c r="N182" s="1904"/>
      <c r="O182" s="1904"/>
      <c r="P182" s="1904"/>
      <c r="Q182" s="1904"/>
      <c r="R182" s="1904"/>
      <c r="S182" s="1904"/>
      <c r="T182" s="1904"/>
      <c r="U182" s="1904"/>
      <c r="V182" s="1916"/>
      <c r="W182" s="4969"/>
    </row>
    <row r="183" spans="1:23" ht="24.75" customHeight="1">
      <c r="A183" s="4967"/>
      <c r="B183" s="4967"/>
      <c r="C183" s="1923"/>
      <c r="D183" s="1886"/>
      <c r="E183" s="1886"/>
      <c r="F183" s="1887"/>
      <c r="G183" s="1887"/>
      <c r="H183" s="1887"/>
      <c r="I183" s="1887"/>
      <c r="J183" s="1887"/>
      <c r="K183" s="1887"/>
      <c r="L183" s="1887"/>
      <c r="M183" s="1887"/>
      <c r="N183" s="1887"/>
      <c r="O183" s="1887"/>
      <c r="P183" s="1887"/>
      <c r="Q183" s="1887"/>
      <c r="R183" s="1887"/>
      <c r="S183" s="1887"/>
      <c r="T183" s="1887"/>
      <c r="U183" s="1887"/>
      <c r="V183" s="1917"/>
      <c r="W183" s="4970"/>
    </row>
    <row r="184" spans="1:23" ht="24.75" customHeight="1">
      <c r="A184" s="4967"/>
      <c r="B184" s="4967"/>
      <c r="C184" s="1923"/>
      <c r="D184" s="1886"/>
      <c r="E184" s="1886"/>
      <c r="F184" s="1887"/>
      <c r="G184" s="1887"/>
      <c r="H184" s="1887"/>
      <c r="I184" s="1887"/>
      <c r="J184" s="1887"/>
      <c r="K184" s="1887"/>
      <c r="L184" s="1887"/>
      <c r="M184" s="1887"/>
      <c r="N184" s="1887"/>
      <c r="O184" s="1887"/>
      <c r="P184" s="1887"/>
      <c r="Q184" s="1887"/>
      <c r="R184" s="1887"/>
      <c r="S184" s="1887"/>
      <c r="T184" s="1887"/>
      <c r="U184" s="1887"/>
      <c r="V184" s="1917"/>
      <c r="W184" s="4970"/>
    </row>
    <row r="185" spans="1:23" ht="24.75" customHeight="1">
      <c r="A185" s="4967"/>
      <c r="B185" s="4967"/>
      <c r="C185" s="1923"/>
      <c r="D185" s="1886"/>
      <c r="E185" s="1886"/>
      <c r="F185" s="1887"/>
      <c r="G185" s="1887"/>
      <c r="H185" s="1887"/>
      <c r="I185" s="1887"/>
      <c r="J185" s="1887"/>
      <c r="K185" s="1887"/>
      <c r="L185" s="1887"/>
      <c r="M185" s="1887"/>
      <c r="N185" s="1887"/>
      <c r="O185" s="1887"/>
      <c r="P185" s="1887"/>
      <c r="Q185" s="1887"/>
      <c r="R185" s="1887"/>
      <c r="S185" s="1887"/>
      <c r="T185" s="1887"/>
      <c r="U185" s="1887"/>
      <c r="V185" s="1917"/>
      <c r="W185" s="4970"/>
    </row>
    <row r="186" spans="1:23" ht="24.75" customHeight="1">
      <c r="A186" s="4968"/>
      <c r="B186" s="4968"/>
      <c r="C186" s="1924"/>
      <c r="D186" s="1901"/>
      <c r="E186" s="1901"/>
      <c r="F186" s="1902"/>
      <c r="G186" s="1902"/>
      <c r="H186" s="1902"/>
      <c r="I186" s="1902"/>
      <c r="J186" s="1902"/>
      <c r="K186" s="1902"/>
      <c r="L186" s="1902"/>
      <c r="M186" s="1902"/>
      <c r="N186" s="1902"/>
      <c r="O186" s="1902"/>
      <c r="P186" s="1902"/>
      <c r="Q186" s="1902"/>
      <c r="R186" s="1902"/>
      <c r="S186" s="1902"/>
      <c r="T186" s="1902"/>
      <c r="U186" s="1902"/>
      <c r="V186" s="1918"/>
      <c r="W186" s="4971"/>
    </row>
    <row r="187" spans="1:23" ht="25.5" customHeight="1">
      <c r="A187" s="4966">
        <v>36</v>
      </c>
      <c r="B187" s="4966" t="str">
        <f>'kt1'!B49</f>
        <v>Hăn</v>
      </c>
      <c r="C187" s="1922"/>
      <c r="D187" s="1903"/>
      <c r="E187" s="1903"/>
      <c r="F187" s="1904"/>
      <c r="G187" s="1904"/>
      <c r="H187" s="1904"/>
      <c r="I187" s="1904"/>
      <c r="J187" s="1904"/>
      <c r="K187" s="1904"/>
      <c r="L187" s="1904"/>
      <c r="M187" s="1904"/>
      <c r="N187" s="1904"/>
      <c r="O187" s="1904"/>
      <c r="P187" s="1904"/>
      <c r="Q187" s="1904"/>
      <c r="R187" s="1904"/>
      <c r="S187" s="1904"/>
      <c r="T187" s="1904"/>
      <c r="U187" s="1904"/>
      <c r="V187" s="1916"/>
      <c r="W187" s="4969"/>
    </row>
    <row r="188" spans="1:23" ht="25.5" customHeight="1">
      <c r="A188" s="4967"/>
      <c r="B188" s="4967"/>
      <c r="C188" s="1923"/>
      <c r="D188" s="1886"/>
      <c r="E188" s="1886"/>
      <c r="F188" s="1887"/>
      <c r="G188" s="1887"/>
      <c r="H188" s="1887"/>
      <c r="I188" s="1887"/>
      <c r="J188" s="1887"/>
      <c r="K188" s="1887"/>
      <c r="L188" s="1887"/>
      <c r="M188" s="1887"/>
      <c r="N188" s="1887"/>
      <c r="O188" s="1887"/>
      <c r="P188" s="1887"/>
      <c r="Q188" s="1887"/>
      <c r="R188" s="1887"/>
      <c r="S188" s="1887"/>
      <c r="T188" s="1887"/>
      <c r="U188" s="1887"/>
      <c r="V188" s="1917"/>
      <c r="W188" s="4970"/>
    </row>
    <row r="189" spans="1:23" ht="25.5" customHeight="1">
      <c r="A189" s="4967"/>
      <c r="B189" s="4967"/>
      <c r="C189" s="1923"/>
      <c r="D189" s="1886"/>
      <c r="E189" s="1886"/>
      <c r="F189" s="1887"/>
      <c r="G189" s="1887"/>
      <c r="H189" s="1887"/>
      <c r="I189" s="1887"/>
      <c r="J189" s="1887"/>
      <c r="K189" s="1887"/>
      <c r="L189" s="1887"/>
      <c r="M189" s="1887"/>
      <c r="N189" s="1887"/>
      <c r="O189" s="1887"/>
      <c r="P189" s="1887"/>
      <c r="Q189" s="1887"/>
      <c r="R189" s="1887"/>
      <c r="S189" s="1887"/>
      <c r="T189" s="1887"/>
      <c r="U189" s="1887"/>
      <c r="V189" s="1917"/>
      <c r="W189" s="4970"/>
    </row>
    <row r="190" spans="1:23" ht="25.5" customHeight="1">
      <c r="A190" s="4967"/>
      <c r="B190" s="4967"/>
      <c r="C190" s="1923"/>
      <c r="D190" s="1886"/>
      <c r="E190" s="1886"/>
      <c r="F190" s="1887"/>
      <c r="G190" s="1887"/>
      <c r="H190" s="1887"/>
      <c r="I190" s="1887"/>
      <c r="J190" s="1887"/>
      <c r="K190" s="1887"/>
      <c r="L190" s="1887"/>
      <c r="M190" s="1887"/>
      <c r="N190" s="1887"/>
      <c r="O190" s="1887"/>
      <c r="P190" s="1887"/>
      <c r="Q190" s="1887"/>
      <c r="R190" s="1887"/>
      <c r="S190" s="1887"/>
      <c r="T190" s="1887"/>
      <c r="U190" s="1887"/>
      <c r="V190" s="1917"/>
      <c r="W190" s="4970"/>
    </row>
    <row r="191" spans="1:23" ht="25.5" customHeight="1">
      <c r="A191" s="4968"/>
      <c r="B191" s="4968"/>
      <c r="C191" s="1924"/>
      <c r="D191" s="1901"/>
      <c r="E191" s="1901"/>
      <c r="F191" s="1902"/>
      <c r="G191" s="1902"/>
      <c r="H191" s="1902"/>
      <c r="I191" s="1902"/>
      <c r="J191" s="1902"/>
      <c r="K191" s="1902"/>
      <c r="L191" s="1902"/>
      <c r="M191" s="1902"/>
      <c r="N191" s="1902"/>
      <c r="O191" s="1902"/>
      <c r="P191" s="1902"/>
      <c r="Q191" s="1902"/>
      <c r="R191" s="1902"/>
      <c r="S191" s="1902"/>
      <c r="T191" s="1902"/>
      <c r="U191" s="1902"/>
      <c r="V191" s="1918"/>
      <c r="W191" s="4971"/>
    </row>
    <row r="192" spans="1:23" ht="15" hidden="1" customHeight="1">
      <c r="A192" s="4966">
        <v>37</v>
      </c>
      <c r="B192" s="4996"/>
      <c r="C192" s="1900"/>
      <c r="D192" s="1900"/>
      <c r="E192" s="1900"/>
      <c r="F192" s="1897"/>
      <c r="G192" s="1897"/>
      <c r="H192" s="1897"/>
      <c r="I192" s="1897"/>
      <c r="J192" s="1897"/>
      <c r="K192" s="1897"/>
      <c r="L192" s="1897"/>
      <c r="M192" s="1897"/>
      <c r="N192" s="1897"/>
      <c r="O192" s="1897"/>
      <c r="P192" s="1897"/>
      <c r="Q192" s="1897"/>
      <c r="R192" s="1897"/>
      <c r="S192" s="1897"/>
      <c r="T192" s="1897"/>
      <c r="U192" s="1897"/>
      <c r="V192" s="1897"/>
      <c r="W192" s="1896"/>
    </row>
    <row r="193" spans="1:23" ht="15" hidden="1" customHeight="1">
      <c r="A193" s="4967"/>
      <c r="B193" s="4992"/>
      <c r="C193" s="1886"/>
      <c r="D193" s="1886"/>
      <c r="E193" s="1886"/>
      <c r="F193" s="1887"/>
      <c r="G193" s="1887"/>
      <c r="H193" s="1887"/>
      <c r="I193" s="1887"/>
      <c r="J193" s="1887"/>
      <c r="K193" s="1887"/>
      <c r="L193" s="1887"/>
      <c r="M193" s="1887"/>
      <c r="N193" s="1887"/>
      <c r="O193" s="1887"/>
      <c r="P193" s="1887"/>
      <c r="Q193" s="1887"/>
      <c r="R193" s="1887"/>
      <c r="S193" s="1887"/>
      <c r="T193" s="1887"/>
      <c r="U193" s="1887"/>
      <c r="V193" s="1887"/>
      <c r="W193" s="1888"/>
    </row>
    <row r="194" spans="1:23" ht="15" hidden="1" customHeight="1">
      <c r="A194" s="4967"/>
      <c r="B194" s="4992"/>
      <c r="C194" s="1886"/>
      <c r="D194" s="1886"/>
      <c r="E194" s="1886"/>
      <c r="F194" s="1887"/>
      <c r="G194" s="1887"/>
      <c r="H194" s="1887"/>
      <c r="I194" s="1887"/>
      <c r="J194" s="1887"/>
      <c r="K194" s="1887"/>
      <c r="L194" s="1887"/>
      <c r="M194" s="1887"/>
      <c r="N194" s="1887"/>
      <c r="O194" s="1887"/>
      <c r="P194" s="1887"/>
      <c r="Q194" s="1887"/>
      <c r="R194" s="1887"/>
      <c r="S194" s="1887"/>
      <c r="T194" s="1887"/>
      <c r="U194" s="1887"/>
      <c r="V194" s="1887"/>
      <c r="W194" s="1888"/>
    </row>
    <row r="195" spans="1:23" ht="15" hidden="1" customHeight="1">
      <c r="A195" s="4967"/>
      <c r="B195" s="4992"/>
      <c r="C195" s="1886"/>
      <c r="D195" s="1886"/>
      <c r="E195" s="1886"/>
      <c r="F195" s="1887"/>
      <c r="G195" s="1887"/>
      <c r="H195" s="1887"/>
      <c r="I195" s="1887"/>
      <c r="J195" s="1887"/>
      <c r="K195" s="1887"/>
      <c r="L195" s="1887"/>
      <c r="M195" s="1887"/>
      <c r="N195" s="1887"/>
      <c r="O195" s="1887"/>
      <c r="P195" s="1887"/>
      <c r="Q195" s="1887"/>
      <c r="R195" s="1887"/>
      <c r="S195" s="1887"/>
      <c r="T195" s="1887"/>
      <c r="U195" s="1887"/>
      <c r="V195" s="1887"/>
      <c r="W195" s="1888"/>
    </row>
    <row r="196" spans="1:23" ht="15" hidden="1" customHeight="1">
      <c r="A196" s="4968"/>
      <c r="B196" s="4992"/>
      <c r="C196" s="1886"/>
      <c r="D196" s="1886"/>
      <c r="E196" s="1886"/>
      <c r="F196" s="1887"/>
      <c r="G196" s="1887"/>
      <c r="H196" s="1887"/>
      <c r="I196" s="1887"/>
      <c r="J196" s="1887"/>
      <c r="K196" s="1887"/>
      <c r="L196" s="1887"/>
      <c r="M196" s="1887"/>
      <c r="N196" s="1887"/>
      <c r="O196" s="1887"/>
      <c r="P196" s="1887"/>
      <c r="Q196" s="1887"/>
      <c r="R196" s="1887"/>
      <c r="S196" s="1887"/>
      <c r="T196" s="1887"/>
      <c r="U196" s="1887"/>
      <c r="V196" s="1887"/>
      <c r="W196" s="1888"/>
    </row>
    <row r="197" spans="1:23" ht="15" hidden="1" customHeight="1">
      <c r="A197" s="4966">
        <v>38</v>
      </c>
      <c r="B197" s="4992"/>
      <c r="C197" s="1886"/>
      <c r="D197" s="1886"/>
      <c r="E197" s="1886"/>
      <c r="F197" s="1887"/>
      <c r="G197" s="1887"/>
      <c r="H197" s="1887"/>
      <c r="I197" s="1887"/>
      <c r="J197" s="1887"/>
      <c r="K197" s="1887"/>
      <c r="L197" s="1887"/>
      <c r="M197" s="1887"/>
      <c r="N197" s="1887"/>
      <c r="O197" s="1887"/>
      <c r="P197" s="1887"/>
      <c r="Q197" s="1887"/>
      <c r="R197" s="1887"/>
      <c r="S197" s="1887"/>
      <c r="T197" s="1887"/>
      <c r="U197" s="1887"/>
      <c r="V197" s="1887"/>
      <c r="W197" s="1888"/>
    </row>
    <row r="198" spans="1:23" ht="15" hidden="1" customHeight="1">
      <c r="A198" s="4967"/>
      <c r="B198" s="4992"/>
      <c r="C198" s="1886"/>
      <c r="D198" s="1886"/>
      <c r="E198" s="1886"/>
      <c r="F198" s="1887"/>
      <c r="G198" s="1887"/>
      <c r="H198" s="1887"/>
      <c r="I198" s="1887"/>
      <c r="J198" s="1887"/>
      <c r="K198" s="1887"/>
      <c r="L198" s="1887"/>
      <c r="M198" s="1887"/>
      <c r="N198" s="1887"/>
      <c r="O198" s="1887"/>
      <c r="P198" s="1887"/>
      <c r="Q198" s="1887"/>
      <c r="R198" s="1887"/>
      <c r="S198" s="1887"/>
      <c r="T198" s="1887"/>
      <c r="U198" s="1887"/>
      <c r="V198" s="1887"/>
      <c r="W198" s="1888"/>
    </row>
    <row r="199" spans="1:23" ht="15" hidden="1" customHeight="1">
      <c r="A199" s="4967"/>
      <c r="B199" s="4992"/>
      <c r="C199" s="1886"/>
      <c r="D199" s="1886"/>
      <c r="E199" s="1886"/>
      <c r="F199" s="1887"/>
      <c r="G199" s="1887"/>
      <c r="H199" s="1887"/>
      <c r="I199" s="1887"/>
      <c r="J199" s="1887"/>
      <c r="K199" s="1887"/>
      <c r="L199" s="1887"/>
      <c r="M199" s="1887"/>
      <c r="N199" s="1887"/>
      <c r="O199" s="1887"/>
      <c r="P199" s="1887"/>
      <c r="Q199" s="1887"/>
      <c r="R199" s="1887"/>
      <c r="S199" s="1887"/>
      <c r="T199" s="1887"/>
      <c r="U199" s="1887"/>
      <c r="V199" s="1887"/>
      <c r="W199" s="1888"/>
    </row>
    <row r="200" spans="1:23" ht="15" hidden="1" customHeight="1">
      <c r="A200" s="4967"/>
      <c r="B200" s="4992"/>
      <c r="C200" s="1886"/>
      <c r="D200" s="1886"/>
      <c r="E200" s="1886"/>
      <c r="F200" s="1887"/>
      <c r="G200" s="1887"/>
      <c r="H200" s="1887"/>
      <c r="I200" s="1887"/>
      <c r="J200" s="1887"/>
      <c r="K200" s="1887"/>
      <c r="L200" s="1887"/>
      <c r="M200" s="1887"/>
      <c r="N200" s="1887"/>
      <c r="O200" s="1887"/>
      <c r="P200" s="1887"/>
      <c r="Q200" s="1887"/>
      <c r="R200" s="1887"/>
      <c r="S200" s="1887"/>
      <c r="T200" s="1887"/>
      <c r="U200" s="1887"/>
      <c r="V200" s="1887"/>
      <c r="W200" s="1888"/>
    </row>
    <row r="201" spans="1:23" ht="15" hidden="1" customHeight="1">
      <c r="A201" s="4968"/>
      <c r="B201" s="4992"/>
      <c r="C201" s="1886"/>
      <c r="D201" s="1886"/>
      <c r="E201" s="1886"/>
      <c r="F201" s="1887"/>
      <c r="G201" s="1887"/>
      <c r="H201" s="1887"/>
      <c r="I201" s="1887"/>
      <c r="J201" s="1887"/>
      <c r="K201" s="1887"/>
      <c r="L201" s="1887"/>
      <c r="M201" s="1887"/>
      <c r="N201" s="1887"/>
      <c r="O201" s="1887"/>
      <c r="P201" s="1887"/>
      <c r="Q201" s="1887"/>
      <c r="R201" s="1887"/>
      <c r="S201" s="1887"/>
      <c r="T201" s="1887"/>
      <c r="U201" s="1887"/>
      <c r="V201" s="1887"/>
      <c r="W201" s="1888"/>
    </row>
    <row r="202" spans="1:23" ht="15" hidden="1" customHeight="1">
      <c r="A202" s="4966">
        <v>39</v>
      </c>
      <c r="B202" s="4992"/>
      <c r="C202" s="1886"/>
      <c r="D202" s="1886"/>
      <c r="E202" s="1886"/>
      <c r="F202" s="1887"/>
      <c r="G202" s="1887"/>
      <c r="H202" s="1887"/>
      <c r="I202" s="1887"/>
      <c r="J202" s="1887"/>
      <c r="K202" s="1887"/>
      <c r="L202" s="1887"/>
      <c r="M202" s="1887"/>
      <c r="N202" s="1887"/>
      <c r="O202" s="1887"/>
      <c r="P202" s="1887"/>
      <c r="Q202" s="1887"/>
      <c r="R202" s="1887"/>
      <c r="S202" s="1887"/>
      <c r="T202" s="1887"/>
      <c r="U202" s="1887"/>
      <c r="V202" s="1887"/>
      <c r="W202" s="1888"/>
    </row>
    <row r="203" spans="1:23" ht="15" hidden="1" customHeight="1">
      <c r="A203" s="4967"/>
      <c r="B203" s="4992"/>
      <c r="C203" s="1886"/>
      <c r="D203" s="1886"/>
      <c r="E203" s="1886"/>
      <c r="F203" s="1887"/>
      <c r="G203" s="1887"/>
      <c r="H203" s="1887"/>
      <c r="I203" s="1887"/>
      <c r="J203" s="1887"/>
      <c r="K203" s="1887"/>
      <c r="L203" s="1887"/>
      <c r="M203" s="1887"/>
      <c r="N203" s="1887"/>
      <c r="O203" s="1887"/>
      <c r="P203" s="1887"/>
      <c r="Q203" s="1887"/>
      <c r="R203" s="1887"/>
      <c r="S203" s="1887"/>
      <c r="T203" s="1887"/>
      <c r="U203" s="1887"/>
      <c r="V203" s="1887"/>
      <c r="W203" s="1888"/>
    </row>
    <row r="204" spans="1:23" ht="15" hidden="1" customHeight="1">
      <c r="A204" s="4967"/>
      <c r="B204" s="4992"/>
      <c r="C204" s="1886"/>
      <c r="D204" s="1886"/>
      <c r="E204" s="1886"/>
      <c r="F204" s="1887"/>
      <c r="G204" s="1887"/>
      <c r="H204" s="1887"/>
      <c r="I204" s="1887"/>
      <c r="J204" s="1887"/>
      <c r="K204" s="1887"/>
      <c r="L204" s="1887"/>
      <c r="M204" s="1887"/>
      <c r="N204" s="1887"/>
      <c r="O204" s="1887"/>
      <c r="P204" s="1887"/>
      <c r="Q204" s="1887"/>
      <c r="R204" s="1887"/>
      <c r="S204" s="1887"/>
      <c r="T204" s="1887"/>
      <c r="U204" s="1887"/>
      <c r="V204" s="1887"/>
      <c r="W204" s="1888"/>
    </row>
    <row r="205" spans="1:23" ht="15" hidden="1" customHeight="1">
      <c r="A205" s="4967"/>
      <c r="B205" s="4992"/>
      <c r="C205" s="1886"/>
      <c r="D205" s="1886"/>
      <c r="E205" s="1886"/>
      <c r="F205" s="1887"/>
      <c r="G205" s="1887"/>
      <c r="H205" s="1887"/>
      <c r="I205" s="1887"/>
      <c r="J205" s="1887"/>
      <c r="K205" s="1887"/>
      <c r="L205" s="1887"/>
      <c r="M205" s="1887"/>
      <c r="N205" s="1887"/>
      <c r="O205" s="1887"/>
      <c r="P205" s="1887"/>
      <c r="Q205" s="1887"/>
      <c r="R205" s="1887"/>
      <c r="S205" s="1887"/>
      <c r="T205" s="1887"/>
      <c r="U205" s="1887"/>
      <c r="V205" s="1887"/>
      <c r="W205" s="1888"/>
    </row>
    <row r="206" spans="1:23" ht="15" hidden="1" customHeight="1">
      <c r="A206" s="4968"/>
      <c r="B206" s="4992"/>
      <c r="C206" s="1886"/>
      <c r="D206" s="1886"/>
      <c r="E206" s="1886"/>
      <c r="F206" s="1887"/>
      <c r="G206" s="1887"/>
      <c r="H206" s="1887"/>
      <c r="I206" s="1887"/>
      <c r="J206" s="1887"/>
      <c r="K206" s="1887"/>
      <c r="L206" s="1887"/>
      <c r="M206" s="1887"/>
      <c r="N206" s="1887"/>
      <c r="O206" s="1887"/>
      <c r="P206" s="1887"/>
      <c r="Q206" s="1887"/>
      <c r="R206" s="1887"/>
      <c r="S206" s="1887"/>
      <c r="T206" s="1887"/>
      <c r="U206" s="1887"/>
      <c r="V206" s="1887"/>
      <c r="W206" s="1888"/>
    </row>
    <row r="207" spans="1:23" ht="15" hidden="1" customHeight="1">
      <c r="A207" s="4966">
        <v>40</v>
      </c>
      <c r="B207" s="4992"/>
      <c r="C207" s="1886"/>
      <c r="D207" s="1886"/>
      <c r="E207" s="1886"/>
      <c r="F207" s="1887"/>
      <c r="G207" s="1887"/>
      <c r="H207" s="1887"/>
      <c r="I207" s="1887"/>
      <c r="J207" s="1887"/>
      <c r="K207" s="1887"/>
      <c r="L207" s="1887"/>
      <c r="M207" s="1887"/>
      <c r="N207" s="1887"/>
      <c r="O207" s="1887"/>
      <c r="P207" s="1887"/>
      <c r="Q207" s="1887"/>
      <c r="R207" s="1887"/>
      <c r="S207" s="1887"/>
      <c r="T207" s="1887"/>
      <c r="U207" s="1887"/>
      <c r="V207" s="1887"/>
      <c r="W207" s="1888"/>
    </row>
    <row r="208" spans="1:23" ht="15" hidden="1" customHeight="1">
      <c r="A208" s="4967"/>
      <c r="B208" s="4992"/>
      <c r="C208" s="1886"/>
      <c r="D208" s="1886"/>
      <c r="E208" s="1886"/>
      <c r="F208" s="1887"/>
      <c r="G208" s="1887"/>
      <c r="H208" s="1887"/>
      <c r="I208" s="1887"/>
      <c r="J208" s="1887"/>
      <c r="K208" s="1887"/>
      <c r="L208" s="1887"/>
      <c r="M208" s="1887"/>
      <c r="N208" s="1887"/>
      <c r="O208" s="1887"/>
      <c r="P208" s="1887"/>
      <c r="Q208" s="1887"/>
      <c r="R208" s="1887"/>
      <c r="S208" s="1887"/>
      <c r="T208" s="1887"/>
      <c r="U208" s="1887"/>
      <c r="V208" s="1887"/>
      <c r="W208" s="1888"/>
    </row>
    <row r="209" spans="1:23" ht="15" hidden="1" customHeight="1">
      <c r="A209" s="4967"/>
      <c r="B209" s="4992"/>
      <c r="C209" s="1886"/>
      <c r="D209" s="1886"/>
      <c r="E209" s="1886"/>
      <c r="F209" s="1887"/>
      <c r="G209" s="1887"/>
      <c r="H209" s="1887"/>
      <c r="I209" s="1887"/>
      <c r="J209" s="1887"/>
      <c r="K209" s="1887"/>
      <c r="L209" s="1887"/>
      <c r="M209" s="1887"/>
      <c r="N209" s="1887"/>
      <c r="O209" s="1887"/>
      <c r="P209" s="1887"/>
      <c r="Q209" s="1887"/>
      <c r="R209" s="1887"/>
      <c r="S209" s="1887"/>
      <c r="T209" s="1887"/>
      <c r="U209" s="1887"/>
      <c r="V209" s="1887"/>
      <c r="W209" s="1888"/>
    </row>
    <row r="210" spans="1:23" ht="15" hidden="1" customHeight="1">
      <c r="A210" s="4967"/>
      <c r="B210" s="4992"/>
      <c r="C210" s="1886"/>
      <c r="D210" s="1886"/>
      <c r="E210" s="1886"/>
      <c r="F210" s="1887"/>
      <c r="G210" s="1887"/>
      <c r="H210" s="1887"/>
      <c r="I210" s="1887"/>
      <c r="J210" s="1887"/>
      <c r="K210" s="1887"/>
      <c r="L210" s="1887"/>
      <c r="M210" s="1887"/>
      <c r="N210" s="1887"/>
      <c r="O210" s="1887"/>
      <c r="P210" s="1887"/>
      <c r="Q210" s="1887"/>
      <c r="R210" s="1887"/>
      <c r="S210" s="1887"/>
      <c r="T210" s="1887"/>
      <c r="U210" s="1887"/>
      <c r="V210" s="1887"/>
      <c r="W210" s="1888"/>
    </row>
    <row r="211" spans="1:23" ht="15" hidden="1" customHeight="1">
      <c r="A211" s="4968"/>
      <c r="B211" s="4992"/>
      <c r="C211" s="1886"/>
      <c r="D211" s="1886"/>
      <c r="E211" s="1886"/>
      <c r="F211" s="1887"/>
      <c r="G211" s="1887"/>
      <c r="H211" s="1887"/>
      <c r="I211" s="1887"/>
      <c r="J211" s="1887"/>
      <c r="K211" s="1887"/>
      <c r="L211" s="1887"/>
      <c r="M211" s="1887"/>
      <c r="N211" s="1887"/>
      <c r="O211" s="1887"/>
      <c r="P211" s="1887"/>
      <c r="Q211" s="1887"/>
      <c r="R211" s="1887"/>
      <c r="S211" s="1887"/>
      <c r="T211" s="1887"/>
      <c r="U211" s="1887"/>
      <c r="V211" s="1887"/>
      <c r="W211" s="1888"/>
    </row>
    <row r="212" spans="1:23" ht="15" hidden="1" customHeight="1">
      <c r="A212" s="4966">
        <v>41</v>
      </c>
      <c r="B212" s="4992"/>
      <c r="C212" s="1886"/>
      <c r="D212" s="1886"/>
      <c r="E212" s="1886"/>
      <c r="F212" s="1887"/>
      <c r="G212" s="1887"/>
      <c r="H212" s="1887"/>
      <c r="I212" s="1887"/>
      <c r="J212" s="1887"/>
      <c r="K212" s="1887"/>
      <c r="L212" s="1887"/>
      <c r="M212" s="1887"/>
      <c r="N212" s="1887"/>
      <c r="O212" s="1887"/>
      <c r="P212" s="1887"/>
      <c r="Q212" s="1887"/>
      <c r="R212" s="1887"/>
      <c r="S212" s="1887"/>
      <c r="T212" s="1887"/>
      <c r="U212" s="1887"/>
      <c r="V212" s="1887"/>
      <c r="W212" s="1888"/>
    </row>
    <row r="213" spans="1:23" ht="15" hidden="1" customHeight="1">
      <c r="A213" s="4967"/>
      <c r="B213" s="4992"/>
      <c r="C213" s="1886"/>
      <c r="D213" s="1886"/>
      <c r="E213" s="1886"/>
      <c r="F213" s="1887"/>
      <c r="G213" s="1887"/>
      <c r="H213" s="1887"/>
      <c r="I213" s="1887"/>
      <c r="J213" s="1887"/>
      <c r="K213" s="1887"/>
      <c r="L213" s="1887"/>
      <c r="M213" s="1887"/>
      <c r="N213" s="1887"/>
      <c r="O213" s="1887"/>
      <c r="P213" s="1887"/>
      <c r="Q213" s="1887"/>
      <c r="R213" s="1887"/>
      <c r="S213" s="1887"/>
      <c r="T213" s="1887"/>
      <c r="U213" s="1887"/>
      <c r="V213" s="1887"/>
      <c r="W213" s="1888"/>
    </row>
    <row r="214" spans="1:23" ht="15" hidden="1" customHeight="1">
      <c r="A214" s="4967"/>
      <c r="B214" s="4992"/>
      <c r="C214" s="1886"/>
      <c r="D214" s="1886"/>
      <c r="E214" s="1886"/>
      <c r="F214" s="1887"/>
      <c r="G214" s="1887"/>
      <c r="H214" s="1887"/>
      <c r="I214" s="1887"/>
      <c r="J214" s="1887"/>
      <c r="K214" s="1887"/>
      <c r="L214" s="1887"/>
      <c r="M214" s="1887"/>
      <c r="N214" s="1887"/>
      <c r="O214" s="1887"/>
      <c r="P214" s="1887"/>
      <c r="Q214" s="1887"/>
      <c r="R214" s="1887"/>
      <c r="S214" s="1887"/>
      <c r="T214" s="1887"/>
      <c r="U214" s="1887"/>
      <c r="V214" s="1887"/>
      <c r="W214" s="1888"/>
    </row>
    <row r="215" spans="1:23" ht="15" hidden="1" customHeight="1">
      <c r="A215" s="4967"/>
      <c r="B215" s="4992"/>
      <c r="C215" s="1886"/>
      <c r="D215" s="1886"/>
      <c r="E215" s="1886"/>
      <c r="F215" s="1887"/>
      <c r="G215" s="1887"/>
      <c r="H215" s="1887"/>
      <c r="I215" s="1887"/>
      <c r="J215" s="1887"/>
      <c r="K215" s="1887"/>
      <c r="L215" s="1887"/>
      <c r="M215" s="1887"/>
      <c r="N215" s="1887"/>
      <c r="O215" s="1887"/>
      <c r="P215" s="1887"/>
      <c r="Q215" s="1887"/>
      <c r="R215" s="1887"/>
      <c r="S215" s="1887"/>
      <c r="T215" s="1887"/>
      <c r="U215" s="1887"/>
      <c r="V215" s="1887"/>
      <c r="W215" s="1888"/>
    </row>
    <row r="216" spans="1:23" ht="15" hidden="1" customHeight="1">
      <c r="A216" s="4968"/>
      <c r="B216" s="4992"/>
      <c r="C216" s="1886"/>
      <c r="D216" s="1886"/>
      <c r="E216" s="1886"/>
      <c r="F216" s="1887"/>
      <c r="G216" s="1887"/>
      <c r="H216" s="1887"/>
      <c r="I216" s="1887"/>
      <c r="J216" s="1887"/>
      <c r="K216" s="1887"/>
      <c r="L216" s="1887"/>
      <c r="M216" s="1887"/>
      <c r="N216" s="1887"/>
      <c r="O216" s="1887"/>
      <c r="P216" s="1887"/>
      <c r="Q216" s="1887"/>
      <c r="R216" s="1887"/>
      <c r="S216" s="1887"/>
      <c r="T216" s="1887"/>
      <c r="U216" s="1887"/>
      <c r="V216" s="1887"/>
      <c r="W216" s="1888"/>
    </row>
    <row r="217" spans="1:23" ht="15" hidden="1" customHeight="1">
      <c r="A217" s="4966">
        <v>42</v>
      </c>
      <c r="B217" s="4992"/>
      <c r="C217" s="1886"/>
      <c r="D217" s="1886"/>
      <c r="E217" s="1886"/>
      <c r="F217" s="1887"/>
      <c r="G217" s="1887"/>
      <c r="H217" s="1887"/>
      <c r="I217" s="1887"/>
      <c r="J217" s="1887"/>
      <c r="K217" s="1887"/>
      <c r="L217" s="1887"/>
      <c r="M217" s="1887"/>
      <c r="N217" s="1887"/>
      <c r="O217" s="1887"/>
      <c r="P217" s="1887"/>
      <c r="Q217" s="1887"/>
      <c r="R217" s="1887"/>
      <c r="S217" s="1887"/>
      <c r="T217" s="1887"/>
      <c r="U217" s="1887"/>
      <c r="V217" s="1887"/>
      <c r="W217" s="1888"/>
    </row>
    <row r="218" spans="1:23" ht="15" hidden="1" customHeight="1">
      <c r="A218" s="4967"/>
      <c r="B218" s="4992"/>
      <c r="C218" s="1886"/>
      <c r="D218" s="1886"/>
      <c r="E218" s="1886"/>
      <c r="F218" s="1887"/>
      <c r="G218" s="1887"/>
      <c r="H218" s="1887"/>
      <c r="I218" s="1887"/>
      <c r="J218" s="1887"/>
      <c r="K218" s="1887"/>
      <c r="L218" s="1887"/>
      <c r="M218" s="1887"/>
      <c r="N218" s="1887"/>
      <c r="O218" s="1887"/>
      <c r="P218" s="1887"/>
      <c r="Q218" s="1887"/>
      <c r="R218" s="1887"/>
      <c r="S218" s="1887"/>
      <c r="T218" s="1887"/>
      <c r="U218" s="1887"/>
      <c r="V218" s="1887"/>
      <c r="W218" s="1888"/>
    </row>
    <row r="219" spans="1:23" ht="15" hidden="1" customHeight="1">
      <c r="A219" s="4967"/>
      <c r="B219" s="4992"/>
      <c r="C219" s="1886"/>
      <c r="D219" s="1886"/>
      <c r="E219" s="1886"/>
      <c r="F219" s="1887"/>
      <c r="G219" s="1887"/>
      <c r="H219" s="1887"/>
      <c r="I219" s="1887"/>
      <c r="J219" s="1887"/>
      <c r="K219" s="1887"/>
      <c r="L219" s="1887"/>
      <c r="M219" s="1887"/>
      <c r="N219" s="1887"/>
      <c r="O219" s="1887"/>
      <c r="P219" s="1887"/>
      <c r="Q219" s="1887"/>
      <c r="R219" s="1887"/>
      <c r="S219" s="1887"/>
      <c r="T219" s="1887"/>
      <c r="U219" s="1887"/>
      <c r="V219" s="1887"/>
      <c r="W219" s="1888"/>
    </row>
    <row r="220" spans="1:23" ht="15" hidden="1" customHeight="1">
      <c r="A220" s="4967"/>
      <c r="B220" s="4992"/>
      <c r="C220" s="1886"/>
      <c r="D220" s="1886"/>
      <c r="E220" s="1886"/>
      <c r="F220" s="1887"/>
      <c r="G220" s="1887"/>
      <c r="H220" s="1887"/>
      <c r="I220" s="1887"/>
      <c r="J220" s="1887"/>
      <c r="K220" s="1887"/>
      <c r="L220" s="1887"/>
      <c r="M220" s="1887"/>
      <c r="N220" s="1887"/>
      <c r="O220" s="1887"/>
      <c r="P220" s="1887"/>
      <c r="Q220" s="1887"/>
      <c r="R220" s="1887"/>
      <c r="S220" s="1887"/>
      <c r="T220" s="1887"/>
      <c r="U220" s="1887"/>
      <c r="V220" s="1887"/>
      <c r="W220" s="1888"/>
    </row>
    <row r="221" spans="1:23" ht="15" hidden="1" customHeight="1">
      <c r="A221" s="4968"/>
      <c r="B221" s="4992"/>
      <c r="C221" s="1886"/>
      <c r="D221" s="1886"/>
      <c r="E221" s="1886"/>
      <c r="F221" s="1887"/>
      <c r="G221" s="1887"/>
      <c r="H221" s="1887"/>
      <c r="I221" s="1887"/>
      <c r="J221" s="1887"/>
      <c r="K221" s="1887"/>
      <c r="L221" s="1887"/>
      <c r="M221" s="1887"/>
      <c r="N221" s="1887"/>
      <c r="O221" s="1887"/>
      <c r="P221" s="1887"/>
      <c r="Q221" s="1887"/>
      <c r="R221" s="1887"/>
      <c r="S221" s="1887"/>
      <c r="T221" s="1887"/>
      <c r="U221" s="1887"/>
      <c r="V221" s="1887"/>
      <c r="W221" s="1888"/>
    </row>
    <row r="222" spans="1:23" ht="15" hidden="1" customHeight="1">
      <c r="A222" s="4966">
        <v>43</v>
      </c>
      <c r="B222" s="4992"/>
      <c r="C222" s="1886"/>
      <c r="D222" s="1886"/>
      <c r="E222" s="1886"/>
      <c r="F222" s="1887"/>
      <c r="G222" s="1887"/>
      <c r="H222" s="1887"/>
      <c r="I222" s="1887"/>
      <c r="J222" s="1887"/>
      <c r="K222" s="1887"/>
      <c r="L222" s="1887"/>
      <c r="M222" s="1887"/>
      <c r="N222" s="1887"/>
      <c r="O222" s="1887"/>
      <c r="P222" s="1887"/>
      <c r="Q222" s="1887"/>
      <c r="R222" s="1887"/>
      <c r="S222" s="1887"/>
      <c r="T222" s="1887"/>
      <c r="U222" s="1887"/>
      <c r="V222" s="1887"/>
      <c r="W222" s="1888"/>
    </row>
    <row r="223" spans="1:23" ht="15" hidden="1" customHeight="1">
      <c r="A223" s="4967"/>
      <c r="B223" s="4992"/>
      <c r="C223" s="1886"/>
      <c r="D223" s="1886"/>
      <c r="E223" s="1886"/>
      <c r="F223" s="1887"/>
      <c r="G223" s="1887"/>
      <c r="H223" s="1887"/>
      <c r="I223" s="1887"/>
      <c r="J223" s="1887"/>
      <c r="K223" s="1887"/>
      <c r="L223" s="1887"/>
      <c r="M223" s="1887"/>
      <c r="N223" s="1887"/>
      <c r="O223" s="1887"/>
      <c r="P223" s="1887"/>
      <c r="Q223" s="1887"/>
      <c r="R223" s="1887"/>
      <c r="S223" s="1887"/>
      <c r="T223" s="1887"/>
      <c r="U223" s="1887"/>
      <c r="V223" s="1887"/>
      <c r="W223" s="1888"/>
    </row>
    <row r="224" spans="1:23" ht="15" hidden="1" customHeight="1">
      <c r="A224" s="4967"/>
      <c r="B224" s="4992"/>
      <c r="C224" s="1886"/>
      <c r="D224" s="1886"/>
      <c r="E224" s="1886"/>
      <c r="F224" s="1887"/>
      <c r="G224" s="1887"/>
      <c r="H224" s="1887"/>
      <c r="I224" s="1887"/>
      <c r="J224" s="1887"/>
      <c r="K224" s="1887"/>
      <c r="L224" s="1887"/>
      <c r="M224" s="1887"/>
      <c r="N224" s="1887"/>
      <c r="O224" s="1887"/>
      <c r="P224" s="1887"/>
      <c r="Q224" s="1887"/>
      <c r="R224" s="1887"/>
      <c r="S224" s="1887"/>
      <c r="T224" s="1887"/>
      <c r="U224" s="1887"/>
      <c r="V224" s="1887"/>
      <c r="W224" s="1888"/>
    </row>
    <row r="225" spans="1:23" ht="15" hidden="1" customHeight="1">
      <c r="A225" s="4967"/>
      <c r="B225" s="4992"/>
      <c r="C225" s="1886"/>
      <c r="D225" s="1886"/>
      <c r="E225" s="1886"/>
      <c r="F225" s="1887"/>
      <c r="G225" s="1887"/>
      <c r="H225" s="1887"/>
      <c r="I225" s="1887"/>
      <c r="J225" s="1887"/>
      <c r="K225" s="1887"/>
      <c r="L225" s="1887"/>
      <c r="M225" s="1887"/>
      <c r="N225" s="1887"/>
      <c r="O225" s="1887"/>
      <c r="P225" s="1887"/>
      <c r="Q225" s="1887"/>
      <c r="R225" s="1887"/>
      <c r="S225" s="1887"/>
      <c r="T225" s="1887"/>
      <c r="U225" s="1887"/>
      <c r="V225" s="1887"/>
      <c r="W225" s="1888"/>
    </row>
    <row r="226" spans="1:23" ht="16.5" hidden="1" customHeight="1">
      <c r="A226" s="4968"/>
      <c r="B226" s="4992"/>
      <c r="C226" s="1886"/>
      <c r="D226" s="1886"/>
      <c r="E226" s="1886"/>
      <c r="F226" s="1887"/>
      <c r="G226" s="1887"/>
      <c r="H226" s="1887"/>
      <c r="I226" s="1887"/>
      <c r="J226" s="1887"/>
      <c r="K226" s="1887"/>
      <c r="L226" s="1887"/>
      <c r="M226" s="1887"/>
      <c r="N226" s="1887"/>
      <c r="O226" s="1887"/>
      <c r="P226" s="1887"/>
      <c r="Q226" s="1887"/>
      <c r="R226" s="1887"/>
      <c r="S226" s="1887"/>
      <c r="T226" s="1887"/>
      <c r="U226" s="1887"/>
      <c r="V226" s="1887"/>
      <c r="W226" s="1888"/>
    </row>
    <row r="227" spans="1:23" ht="16.5">
      <c r="S227" s="4993" t="s">
        <v>1116</v>
      </c>
      <c r="T227" s="4993"/>
      <c r="U227" s="4993"/>
      <c r="V227" s="4993"/>
      <c r="W227" s="4993"/>
    </row>
    <row r="228" spans="1:23" ht="17.25" customHeight="1">
      <c r="A228" s="1895" t="s">
        <v>1108</v>
      </c>
      <c r="B228" s="1895"/>
      <c r="C228" s="1895"/>
      <c r="D228" s="1895"/>
      <c r="E228" s="1895"/>
      <c r="F228" s="1895"/>
      <c r="H228" s="1890"/>
      <c r="J228" s="1890" t="s">
        <v>1109</v>
      </c>
      <c r="K228" s="1890"/>
      <c r="L228" s="1890"/>
      <c r="M228" s="4963" t="s">
        <v>1110</v>
      </c>
      <c r="N228" s="4963"/>
      <c r="O228" s="4963"/>
      <c r="P228" s="4963"/>
      <c r="Q228" s="4963"/>
      <c r="R228" s="4963"/>
      <c r="S228" s="1890"/>
      <c r="T228" s="1890"/>
      <c r="U228" s="4963" t="s">
        <v>1111</v>
      </c>
      <c r="V228" s="4963"/>
      <c r="W228" s="4963"/>
    </row>
    <row r="229" spans="1:23" ht="17.25" customHeight="1">
      <c r="B229" s="1891" t="s">
        <v>113</v>
      </c>
      <c r="C229" s="1891" t="s">
        <v>1112</v>
      </c>
      <c r="D229" s="1891"/>
      <c r="E229" s="1889"/>
    </row>
    <row r="230" spans="1:23" ht="17.25" customHeight="1">
      <c r="B230" s="1891" t="s">
        <v>113</v>
      </c>
      <c r="C230" s="1891" t="s">
        <v>52</v>
      </c>
      <c r="D230" s="1891"/>
      <c r="E230" s="1889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4994"/>
      <c r="S230" s="4994"/>
      <c r="T230" s="4994"/>
      <c r="U230" s="4994"/>
      <c r="V230" s="4994"/>
    </row>
    <row r="231" spans="1:23" ht="17.25" customHeight="1">
      <c r="B231" s="1891" t="s">
        <v>113</v>
      </c>
      <c r="C231" s="1891" t="s">
        <v>92</v>
      </c>
      <c r="D231" s="1891"/>
      <c r="E231" s="1889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4994"/>
      <c r="S231" s="4994"/>
      <c r="T231" s="4994"/>
      <c r="U231" s="4994"/>
      <c r="V231" s="4994"/>
    </row>
    <row r="232" spans="1:23" ht="17.25" customHeight="1">
      <c r="B232" s="1891" t="s">
        <v>113</v>
      </c>
      <c r="C232" s="1891" t="s">
        <v>53</v>
      </c>
      <c r="D232" s="1891"/>
      <c r="E232" s="1889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4994"/>
      <c r="S232" s="4994"/>
      <c r="T232" s="4994"/>
      <c r="U232" s="4994"/>
      <c r="V232" s="4994"/>
    </row>
    <row r="233" spans="1:23" ht="17.25" customHeight="1">
      <c r="B233" s="1891" t="s">
        <v>113</v>
      </c>
      <c r="C233" s="1891" t="s">
        <v>93</v>
      </c>
      <c r="D233" s="1891"/>
      <c r="E233" s="1889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4994"/>
      <c r="S233" s="4994"/>
      <c r="T233" s="4994"/>
      <c r="U233" s="4994"/>
      <c r="V233" s="4994"/>
    </row>
    <row r="234" spans="1:23" ht="17.25" customHeight="1">
      <c r="B234" s="4995" t="s">
        <v>21</v>
      </c>
      <c r="C234" s="4995"/>
      <c r="D234" s="1892"/>
      <c r="E234" s="1889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4994"/>
      <c r="S234" s="4994"/>
      <c r="T234" s="4994"/>
      <c r="U234" s="4994"/>
      <c r="V234" s="4994"/>
    </row>
    <row r="235" spans="1:23" s="1894" customFormat="1" ht="16.5">
      <c r="A235" s="4991"/>
      <c r="B235" s="4991"/>
      <c r="C235" s="4991"/>
      <c r="D235" s="4991"/>
      <c r="E235" s="4991"/>
      <c r="F235" s="4991"/>
      <c r="G235" s="1893"/>
      <c r="H235" s="1893"/>
      <c r="I235" s="1893"/>
      <c r="J235" s="4991"/>
      <c r="K235" s="4991"/>
      <c r="L235" s="4991"/>
      <c r="M235" s="4991"/>
      <c r="N235" s="4991"/>
      <c r="O235" s="4991"/>
      <c r="P235" s="1893"/>
      <c r="Q235" s="1893"/>
      <c r="R235" s="1893"/>
      <c r="S235" s="1893"/>
      <c r="T235" s="1893"/>
      <c r="U235" s="4991"/>
      <c r="V235" s="4991"/>
      <c r="W235" s="4991"/>
    </row>
    <row r="236" spans="1:23" ht="17.25" customHeight="1"/>
  </sheetData>
  <mergeCells count="152">
    <mergeCell ref="A107:A111"/>
    <mergeCell ref="B107:B111"/>
    <mergeCell ref="W107:W111"/>
    <mergeCell ref="A112:A116"/>
    <mergeCell ref="B112:B116"/>
    <mergeCell ref="W112:W116"/>
    <mergeCell ref="A97:A101"/>
    <mergeCell ref="B97:B101"/>
    <mergeCell ref="W97:W101"/>
    <mergeCell ref="A102:A106"/>
    <mergeCell ref="B102:B106"/>
    <mergeCell ref="W102:W106"/>
    <mergeCell ref="A157:A161"/>
    <mergeCell ref="B157:B161"/>
    <mergeCell ref="W157:W161"/>
    <mergeCell ref="A117:A121"/>
    <mergeCell ref="B117:B121"/>
    <mergeCell ref="W117:W121"/>
    <mergeCell ref="A122:A126"/>
    <mergeCell ref="B122:B126"/>
    <mergeCell ref="W122:W126"/>
    <mergeCell ref="B77:B81"/>
    <mergeCell ref="W77:W81"/>
    <mergeCell ref="B62:B66"/>
    <mergeCell ref="W62:W66"/>
    <mergeCell ref="A67:A71"/>
    <mergeCell ref="B67:B71"/>
    <mergeCell ref="W67:W71"/>
    <mergeCell ref="A62:A66"/>
    <mergeCell ref="A82:A86"/>
    <mergeCell ref="B82:B86"/>
    <mergeCell ref="W82:W86"/>
    <mergeCell ref="B57:B61"/>
    <mergeCell ref="W57:W61"/>
    <mergeCell ref="G230:V234"/>
    <mergeCell ref="B234:C234"/>
    <mergeCell ref="A192:A196"/>
    <mergeCell ref="B192:B196"/>
    <mergeCell ref="A197:A201"/>
    <mergeCell ref="B197:B201"/>
    <mergeCell ref="A147:A151"/>
    <mergeCell ref="B147:B151"/>
    <mergeCell ref="W147:W151"/>
    <mergeCell ref="A152:A156"/>
    <mergeCell ref="B152:B156"/>
    <mergeCell ref="W152:W156"/>
    <mergeCell ref="A162:A166"/>
    <mergeCell ref="B162:B166"/>
    <mergeCell ref="W162:W166"/>
    <mergeCell ref="A167:A171"/>
    <mergeCell ref="B167:B171"/>
    <mergeCell ref="W167:W171"/>
    <mergeCell ref="A72:A76"/>
    <mergeCell ref="B72:B76"/>
    <mergeCell ref="W72:W76"/>
    <mergeCell ref="A77:A81"/>
    <mergeCell ref="A235:F235"/>
    <mergeCell ref="J235:O235"/>
    <mergeCell ref="U235:W235"/>
    <mergeCell ref="A12:A16"/>
    <mergeCell ref="B12:B16"/>
    <mergeCell ref="W12:W16"/>
    <mergeCell ref="A17:A21"/>
    <mergeCell ref="B17:B21"/>
    <mergeCell ref="A217:A221"/>
    <mergeCell ref="B217:B221"/>
    <mergeCell ref="A222:A226"/>
    <mergeCell ref="B222:B226"/>
    <mergeCell ref="S227:W227"/>
    <mergeCell ref="M228:R228"/>
    <mergeCell ref="U228:W228"/>
    <mergeCell ref="A202:A206"/>
    <mergeCell ref="B202:B206"/>
    <mergeCell ref="A207:A211"/>
    <mergeCell ref="B207:B211"/>
    <mergeCell ref="A212:A216"/>
    <mergeCell ref="B212:B216"/>
    <mergeCell ref="A52:A56"/>
    <mergeCell ref="B52:B56"/>
    <mergeCell ref="W52:W56"/>
    <mergeCell ref="A187:A191"/>
    <mergeCell ref="B187:B191"/>
    <mergeCell ref="W187:W191"/>
    <mergeCell ref="W142:W146"/>
    <mergeCell ref="A127:A131"/>
    <mergeCell ref="B127:B131"/>
    <mergeCell ref="W127:W131"/>
    <mergeCell ref="A132:A136"/>
    <mergeCell ref="B132:B136"/>
    <mergeCell ref="W132:W136"/>
    <mergeCell ref="A137:A141"/>
    <mergeCell ref="B137:B141"/>
    <mergeCell ref="W137:W141"/>
    <mergeCell ref="A142:A146"/>
    <mergeCell ref="B142:B146"/>
    <mergeCell ref="A182:A186"/>
    <mergeCell ref="B182:B186"/>
    <mergeCell ref="W182:W186"/>
    <mergeCell ref="A172:A176"/>
    <mergeCell ref="B172:B176"/>
    <mergeCell ref="W172:W176"/>
    <mergeCell ref="A177:A181"/>
    <mergeCell ref="B177:B181"/>
    <mergeCell ref="W177:W181"/>
    <mergeCell ref="A92:A96"/>
    <mergeCell ref="B92:B96"/>
    <mergeCell ref="W92:W96"/>
    <mergeCell ref="W7:W11"/>
    <mergeCell ref="F8:F9"/>
    <mergeCell ref="G8:H8"/>
    <mergeCell ref="I8:J8"/>
    <mergeCell ref="K8:M8"/>
    <mergeCell ref="N8:Q8"/>
    <mergeCell ref="W17:W21"/>
    <mergeCell ref="A22:A26"/>
    <mergeCell ref="B22:B26"/>
    <mergeCell ref="W22:W2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  <mergeCell ref="A27:A31"/>
    <mergeCell ref="P1:W1"/>
    <mergeCell ref="A2:I2"/>
    <mergeCell ref="P2:W2"/>
    <mergeCell ref="A3:G3"/>
    <mergeCell ref="A5:W5"/>
    <mergeCell ref="V6:W6"/>
    <mergeCell ref="A87:A91"/>
    <mergeCell ref="B87:B91"/>
    <mergeCell ref="W87:W91"/>
    <mergeCell ref="B27:B31"/>
    <mergeCell ref="W27:W3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57:A61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6"/>
  <sheetViews>
    <sheetView topLeftCell="A57" workbookViewId="0">
      <selection activeCell="G230" sqref="G230:V234"/>
    </sheetView>
  </sheetViews>
  <sheetFormatPr defaultColWidth="9.25" defaultRowHeight="12.75"/>
  <cols>
    <col min="1" max="1" width="4.125" style="1879" customWidth="1"/>
    <col min="2" max="2" width="12.625" style="1879" customWidth="1"/>
    <col min="3" max="5" width="2.375" style="1879" customWidth="1"/>
    <col min="6" max="6" width="4.25" style="1879" customWidth="1"/>
    <col min="7" max="7" width="4.625" style="1879" customWidth="1"/>
    <col min="8" max="8" width="4.25" style="1879" customWidth="1"/>
    <col min="9" max="9" width="5" style="1879" customWidth="1"/>
    <col min="10" max="10" width="3.75" style="1879" customWidth="1"/>
    <col min="11" max="13" width="4.875" style="1879" customWidth="1"/>
    <col min="14" max="14" width="5.375" style="1879" customWidth="1"/>
    <col min="15" max="18" width="4.875" style="1879" customWidth="1"/>
    <col min="19" max="20" width="5.375" style="1879" customWidth="1"/>
    <col min="21" max="21" width="6.625" style="1879" customWidth="1"/>
    <col min="22" max="22" width="9" style="1879" customWidth="1"/>
    <col min="23" max="23" width="8.125" style="1879" customWidth="1"/>
    <col min="24" max="16384" width="9.25" style="1879"/>
  </cols>
  <sheetData>
    <row r="1" spans="1:25" s="1878" customFormat="1" ht="15.75">
      <c r="A1" s="1877" t="s">
        <v>574</v>
      </c>
      <c r="B1" s="1877"/>
      <c r="C1" s="1877"/>
      <c r="D1" s="1877"/>
      <c r="E1" s="1877"/>
      <c r="F1" s="1877"/>
      <c r="G1" s="1877"/>
      <c r="P1" s="4963" t="s">
        <v>165</v>
      </c>
      <c r="Q1" s="4963"/>
      <c r="R1" s="4963"/>
      <c r="S1" s="4963"/>
      <c r="T1" s="4963"/>
      <c r="U1" s="4963"/>
      <c r="V1" s="4963"/>
      <c r="W1" s="4963"/>
    </row>
    <row r="2" spans="1:25" ht="15.75">
      <c r="A2" s="4963" t="s">
        <v>1105</v>
      </c>
      <c r="B2" s="4963"/>
      <c r="C2" s="4963"/>
      <c r="D2" s="4963"/>
      <c r="E2" s="4963"/>
      <c r="F2" s="4963"/>
      <c r="G2" s="4963"/>
      <c r="H2" s="4963"/>
      <c r="I2" s="4963"/>
      <c r="P2" s="4963" t="s">
        <v>171</v>
      </c>
      <c r="Q2" s="4963"/>
      <c r="R2" s="4963"/>
      <c r="S2" s="4963"/>
      <c r="T2" s="4963"/>
      <c r="U2" s="4963"/>
      <c r="V2" s="4963"/>
      <c r="W2" s="4963"/>
    </row>
    <row r="3" spans="1:25" ht="15.75">
      <c r="A3" s="4963" t="s">
        <v>321</v>
      </c>
      <c r="B3" s="4963"/>
      <c r="C3" s="4963"/>
      <c r="D3" s="4963"/>
      <c r="E3" s="4963"/>
      <c r="F3" s="4963"/>
      <c r="G3" s="4963"/>
    </row>
    <row r="4" spans="1:25" ht="9" customHeight="1">
      <c r="A4" s="1880"/>
      <c r="B4" s="1880"/>
      <c r="C4" s="1880"/>
      <c r="D4" s="1880"/>
      <c r="E4" s="1880"/>
    </row>
    <row r="5" spans="1:25" ht="18.75">
      <c r="A5" s="4964" t="s">
        <v>1113</v>
      </c>
      <c r="B5" s="4964"/>
      <c r="C5" s="4964"/>
      <c r="D5" s="4964"/>
      <c r="E5" s="4964"/>
      <c r="F5" s="4964"/>
      <c r="G5" s="4964"/>
      <c r="H5" s="4964"/>
      <c r="I5" s="4964"/>
      <c r="J5" s="4964"/>
      <c r="K5" s="4964"/>
      <c r="L5" s="4964"/>
      <c r="M5" s="4964"/>
      <c r="N5" s="4964"/>
      <c r="O5" s="4964"/>
      <c r="P5" s="4964"/>
      <c r="Q5" s="4964"/>
      <c r="R5" s="4964"/>
      <c r="S5" s="4964"/>
      <c r="T5" s="4964"/>
      <c r="U5" s="4964"/>
      <c r="V5" s="4964"/>
      <c r="W5" s="4964"/>
    </row>
    <row r="6" spans="1:25" ht="21" customHeight="1">
      <c r="V6" s="4965"/>
      <c r="W6" s="4965"/>
    </row>
    <row r="7" spans="1:25" ht="17.25" customHeight="1">
      <c r="A7" s="5000" t="s">
        <v>19</v>
      </c>
      <c r="B7" s="4984" t="s">
        <v>1107</v>
      </c>
      <c r="C7" s="4984" t="s">
        <v>116</v>
      </c>
      <c r="D7" s="4984"/>
      <c r="E7" s="4984"/>
      <c r="F7" s="4989" t="s">
        <v>117</v>
      </c>
      <c r="G7" s="4989"/>
      <c r="H7" s="4989"/>
      <c r="I7" s="4989"/>
      <c r="J7" s="4989"/>
      <c r="K7" s="4989"/>
      <c r="L7" s="4989"/>
      <c r="M7" s="4989"/>
      <c r="N7" s="4989"/>
      <c r="O7" s="4989"/>
      <c r="P7" s="4989"/>
      <c r="Q7" s="4989"/>
      <c r="R7" s="4989"/>
      <c r="S7" s="4989"/>
      <c r="T7" s="4989"/>
      <c r="U7" s="4989"/>
      <c r="V7" s="4990"/>
      <c r="W7" s="4972" t="s">
        <v>118</v>
      </c>
      <c r="Y7" s="1881"/>
    </row>
    <row r="8" spans="1:25" ht="16.5">
      <c r="A8" s="5001"/>
      <c r="B8" s="4986"/>
      <c r="C8" s="4986"/>
      <c r="D8" s="4986"/>
      <c r="E8" s="4986"/>
      <c r="F8" s="4975" t="s">
        <v>119</v>
      </c>
      <c r="G8" s="4976" t="s">
        <v>120</v>
      </c>
      <c r="H8" s="4976"/>
      <c r="I8" s="4976" t="s">
        <v>121</v>
      </c>
      <c r="J8" s="4976"/>
      <c r="K8" s="4976" t="s">
        <v>122</v>
      </c>
      <c r="L8" s="4976"/>
      <c r="M8" s="4976"/>
      <c r="N8" s="4976" t="s">
        <v>123</v>
      </c>
      <c r="O8" s="4976"/>
      <c r="P8" s="4976"/>
      <c r="Q8" s="4976"/>
      <c r="R8" s="4975" t="s">
        <v>124</v>
      </c>
      <c r="S8" s="4975" t="s">
        <v>125</v>
      </c>
      <c r="T8" s="4975" t="s">
        <v>126</v>
      </c>
      <c r="U8" s="4975" t="s">
        <v>127</v>
      </c>
      <c r="V8" s="4977" t="s">
        <v>128</v>
      </c>
      <c r="W8" s="4973"/>
      <c r="Y8" s="1882"/>
    </row>
    <row r="9" spans="1:25" ht="54.75" customHeight="1">
      <c r="A9" s="5001"/>
      <c r="B9" s="4986"/>
      <c r="C9" s="4986"/>
      <c r="D9" s="4986"/>
      <c r="E9" s="4986"/>
      <c r="F9" s="4975"/>
      <c r="G9" s="1883" t="s">
        <v>129</v>
      </c>
      <c r="H9" s="1883" t="s">
        <v>130</v>
      </c>
      <c r="I9" s="1884" t="s">
        <v>129</v>
      </c>
      <c r="J9" s="1883" t="s">
        <v>130</v>
      </c>
      <c r="K9" s="1883" t="s">
        <v>131</v>
      </c>
      <c r="L9" s="1883" t="s">
        <v>132</v>
      </c>
      <c r="M9" s="1883" t="s">
        <v>133</v>
      </c>
      <c r="N9" s="1883" t="s">
        <v>134</v>
      </c>
      <c r="O9" s="1884" t="s">
        <v>135</v>
      </c>
      <c r="P9" s="1883" t="s">
        <v>136</v>
      </c>
      <c r="Q9" s="1883" t="s">
        <v>137</v>
      </c>
      <c r="R9" s="4975"/>
      <c r="S9" s="4975"/>
      <c r="T9" s="4975"/>
      <c r="U9" s="4975"/>
      <c r="V9" s="4977"/>
      <c r="W9" s="4973"/>
      <c r="Y9" s="1885"/>
    </row>
    <row r="10" spans="1:25" ht="23.25" customHeight="1">
      <c r="A10" s="5002"/>
      <c r="B10" s="4988"/>
      <c r="C10" s="4988"/>
      <c r="D10" s="4988"/>
      <c r="E10" s="4988"/>
      <c r="F10" s="1907" t="s">
        <v>138</v>
      </c>
      <c r="G10" s="1908" t="s">
        <v>139</v>
      </c>
      <c r="H10" s="1908" t="s">
        <v>139</v>
      </c>
      <c r="I10" s="1908" t="s">
        <v>140</v>
      </c>
      <c r="J10" s="1908" t="s">
        <v>140</v>
      </c>
      <c r="K10" s="1908" t="s">
        <v>141</v>
      </c>
      <c r="L10" s="1907"/>
      <c r="M10" s="1907" t="s">
        <v>142</v>
      </c>
      <c r="N10" s="1909"/>
      <c r="O10" s="1910"/>
      <c r="P10" s="1911" t="s">
        <v>143</v>
      </c>
      <c r="Q10" s="1911"/>
      <c r="R10" s="1912" t="s">
        <v>144</v>
      </c>
      <c r="S10" s="1909"/>
      <c r="T10" s="1913" t="s">
        <v>145</v>
      </c>
      <c r="U10" s="1911"/>
      <c r="V10" s="1914"/>
      <c r="W10" s="4973"/>
    </row>
    <row r="11" spans="1:25" ht="18" customHeight="1">
      <c r="A11" s="4998" t="s">
        <v>146</v>
      </c>
      <c r="B11" s="4999"/>
      <c r="C11" s="1905" t="s">
        <v>147</v>
      </c>
      <c r="D11" s="1905" t="s">
        <v>148</v>
      </c>
      <c r="E11" s="1905" t="s">
        <v>149</v>
      </c>
      <c r="F11" s="1906">
        <v>0</v>
      </c>
      <c r="G11" s="1906">
        <v>3</v>
      </c>
      <c r="H11" s="1906">
        <v>1</v>
      </c>
      <c r="I11" s="1906">
        <v>5</v>
      </c>
      <c r="J11" s="1906">
        <v>3</v>
      </c>
      <c r="K11" s="1906">
        <v>1</v>
      </c>
      <c r="L11" s="1906">
        <v>1</v>
      </c>
      <c r="M11" s="1906">
        <v>3</v>
      </c>
      <c r="N11" s="1906">
        <v>1</v>
      </c>
      <c r="O11" s="1906">
        <v>1</v>
      </c>
      <c r="P11" s="1906">
        <v>1</v>
      </c>
      <c r="Q11" s="1906">
        <v>1</v>
      </c>
      <c r="R11" s="1906">
        <v>3</v>
      </c>
      <c r="S11" s="1906">
        <v>5</v>
      </c>
      <c r="T11" s="1906">
        <v>2</v>
      </c>
      <c r="U11" s="1906">
        <v>2</v>
      </c>
      <c r="V11" s="1915">
        <v>2</v>
      </c>
      <c r="W11" s="4997"/>
    </row>
    <row r="12" spans="1:25" ht="17.25" customHeight="1">
      <c r="A12" s="4966">
        <v>1</v>
      </c>
      <c r="B12" s="4966">
        <f>'kt1'!B14</f>
        <v>0</v>
      </c>
      <c r="C12" s="1922"/>
      <c r="D12" s="1903"/>
      <c r="E12" s="1903"/>
      <c r="F12" s="1904"/>
      <c r="G12" s="1904"/>
      <c r="H12" s="1904"/>
      <c r="I12" s="1904"/>
      <c r="J12" s="1904"/>
      <c r="K12" s="1904"/>
      <c r="L12" s="1904"/>
      <c r="M12" s="1904"/>
      <c r="N12" s="1904"/>
      <c r="O12" s="1904"/>
      <c r="P12" s="1904"/>
      <c r="Q12" s="1904"/>
      <c r="R12" s="1904"/>
      <c r="S12" s="1904"/>
      <c r="T12" s="1904"/>
      <c r="U12" s="1904"/>
      <c r="V12" s="1916"/>
      <c r="W12" s="4969"/>
    </row>
    <row r="13" spans="1:25" ht="17.25" customHeight="1">
      <c r="A13" s="4967"/>
      <c r="B13" s="4967"/>
      <c r="C13" s="1923"/>
      <c r="D13" s="1886"/>
      <c r="E13" s="1886"/>
      <c r="F13" s="1887"/>
      <c r="G13" s="1887"/>
      <c r="H13" s="1887"/>
      <c r="I13" s="1887"/>
      <c r="J13" s="1887"/>
      <c r="K13" s="1887"/>
      <c r="L13" s="1887"/>
      <c r="M13" s="1887"/>
      <c r="N13" s="1887"/>
      <c r="O13" s="1887"/>
      <c r="P13" s="1887"/>
      <c r="Q13" s="1887"/>
      <c r="R13" s="1887"/>
      <c r="S13" s="1887"/>
      <c r="T13" s="1887"/>
      <c r="U13" s="1887"/>
      <c r="V13" s="1917"/>
      <c r="W13" s="4970"/>
    </row>
    <row r="14" spans="1:25" ht="17.25" customHeight="1">
      <c r="A14" s="4967"/>
      <c r="B14" s="4967"/>
      <c r="C14" s="1923"/>
      <c r="D14" s="1886"/>
      <c r="E14" s="1886"/>
      <c r="F14" s="1887"/>
      <c r="G14" s="1887"/>
      <c r="H14" s="1887"/>
      <c r="I14" s="1887"/>
      <c r="J14" s="1887"/>
      <c r="K14" s="1887"/>
      <c r="L14" s="1887"/>
      <c r="M14" s="1887"/>
      <c r="N14" s="1887"/>
      <c r="O14" s="1887"/>
      <c r="P14" s="1887"/>
      <c r="Q14" s="1887"/>
      <c r="R14" s="1887"/>
      <c r="S14" s="1887"/>
      <c r="T14" s="1887"/>
      <c r="U14" s="1887"/>
      <c r="V14" s="1917"/>
      <c r="W14" s="4970"/>
    </row>
    <row r="15" spans="1:25" ht="17.25" customHeight="1">
      <c r="A15" s="4967"/>
      <c r="B15" s="4967"/>
      <c r="C15" s="1923"/>
      <c r="D15" s="1886"/>
      <c r="E15" s="1886"/>
      <c r="F15" s="1887"/>
      <c r="G15" s="1887"/>
      <c r="H15" s="1887"/>
      <c r="I15" s="1887"/>
      <c r="J15" s="1887"/>
      <c r="K15" s="1887"/>
      <c r="L15" s="1887"/>
      <c r="M15" s="1887"/>
      <c r="N15" s="1887"/>
      <c r="O15" s="1887"/>
      <c r="P15" s="1887"/>
      <c r="Q15" s="1887"/>
      <c r="R15" s="1887"/>
      <c r="S15" s="1887"/>
      <c r="T15" s="1887"/>
      <c r="U15" s="1887"/>
      <c r="V15" s="1917"/>
      <c r="W15" s="4970"/>
    </row>
    <row r="16" spans="1:25" ht="17.25" customHeight="1">
      <c r="A16" s="4968"/>
      <c r="B16" s="4968"/>
      <c r="C16" s="1924"/>
      <c r="D16" s="1901"/>
      <c r="E16" s="1901"/>
      <c r="F16" s="1902"/>
      <c r="G16" s="1902"/>
      <c r="H16" s="1902"/>
      <c r="I16" s="1902"/>
      <c r="J16" s="1902"/>
      <c r="K16" s="1902"/>
      <c r="L16" s="1902"/>
      <c r="M16" s="1902"/>
      <c r="N16" s="1902"/>
      <c r="O16" s="1902"/>
      <c r="P16" s="1902"/>
      <c r="Q16" s="1902"/>
      <c r="R16" s="1902"/>
      <c r="S16" s="1902"/>
      <c r="T16" s="1902"/>
      <c r="U16" s="1902"/>
      <c r="V16" s="1918"/>
      <c r="W16" s="4971"/>
    </row>
    <row r="17" spans="1:23" ht="17.25" customHeight="1">
      <c r="A17" s="4966">
        <v>2</v>
      </c>
      <c r="B17" s="4966" t="str">
        <f>'kt1'!B15</f>
        <v>Vắt Đi</v>
      </c>
      <c r="C17" s="1922"/>
      <c r="D17" s="1903"/>
      <c r="E17" s="1903"/>
      <c r="F17" s="1904"/>
      <c r="G17" s="1904"/>
      <c r="H17" s="1904"/>
      <c r="I17" s="1904"/>
      <c r="J17" s="1904"/>
      <c r="K17" s="1904"/>
      <c r="L17" s="1904"/>
      <c r="M17" s="1904"/>
      <c r="N17" s="1904"/>
      <c r="O17" s="1904"/>
      <c r="P17" s="1904"/>
      <c r="Q17" s="1904"/>
      <c r="R17" s="1904"/>
      <c r="S17" s="1904"/>
      <c r="T17" s="1904"/>
      <c r="U17" s="1904"/>
      <c r="V17" s="1916"/>
      <c r="W17" s="4969"/>
    </row>
    <row r="18" spans="1:23" ht="17.25" customHeight="1">
      <c r="A18" s="4967"/>
      <c r="B18" s="4967"/>
      <c r="C18" s="1923"/>
      <c r="D18" s="1886"/>
      <c r="E18" s="1886"/>
      <c r="F18" s="1887"/>
      <c r="G18" s="1887"/>
      <c r="H18" s="1887"/>
      <c r="I18" s="1887"/>
      <c r="J18" s="1887"/>
      <c r="K18" s="1887"/>
      <c r="L18" s="1887"/>
      <c r="M18" s="1887"/>
      <c r="N18" s="1887"/>
      <c r="O18" s="1887"/>
      <c r="P18" s="1887"/>
      <c r="Q18" s="1887"/>
      <c r="R18" s="1887"/>
      <c r="S18" s="1887"/>
      <c r="T18" s="1887"/>
      <c r="U18" s="1887"/>
      <c r="V18" s="1917"/>
      <c r="W18" s="4970"/>
    </row>
    <row r="19" spans="1:23" ht="17.25" customHeight="1">
      <c r="A19" s="4967"/>
      <c r="B19" s="4967"/>
      <c r="C19" s="1923"/>
      <c r="D19" s="1886"/>
      <c r="E19" s="1886"/>
      <c r="F19" s="1887"/>
      <c r="G19" s="1887"/>
      <c r="H19" s="1887"/>
      <c r="I19" s="1887"/>
      <c r="J19" s="1887"/>
      <c r="K19" s="1887"/>
      <c r="L19" s="1887"/>
      <c r="M19" s="1887"/>
      <c r="N19" s="1887"/>
      <c r="O19" s="1887"/>
      <c r="P19" s="1887"/>
      <c r="Q19" s="1887"/>
      <c r="R19" s="1887"/>
      <c r="S19" s="1887"/>
      <c r="T19" s="1887"/>
      <c r="U19" s="1887"/>
      <c r="V19" s="1917"/>
      <c r="W19" s="4970"/>
    </row>
    <row r="20" spans="1:23" ht="17.25" customHeight="1">
      <c r="A20" s="4967"/>
      <c r="B20" s="4967"/>
      <c r="C20" s="1923"/>
      <c r="D20" s="1886"/>
      <c r="E20" s="1886"/>
      <c r="F20" s="1887"/>
      <c r="G20" s="1887"/>
      <c r="H20" s="1887"/>
      <c r="I20" s="1887"/>
      <c r="J20" s="1887"/>
      <c r="K20" s="1887"/>
      <c r="L20" s="1887"/>
      <c r="M20" s="1887"/>
      <c r="N20" s="1887"/>
      <c r="O20" s="1887"/>
      <c r="P20" s="1887"/>
      <c r="Q20" s="1887"/>
      <c r="R20" s="1887"/>
      <c r="S20" s="1887"/>
      <c r="T20" s="1887"/>
      <c r="U20" s="1887"/>
      <c r="V20" s="1917"/>
      <c r="W20" s="4970"/>
    </row>
    <row r="21" spans="1:23" ht="17.25" customHeight="1">
      <c r="A21" s="4968"/>
      <c r="B21" s="4968"/>
      <c r="C21" s="1924"/>
      <c r="D21" s="1901"/>
      <c r="E21" s="1901"/>
      <c r="F21" s="1902"/>
      <c r="G21" s="1902"/>
      <c r="H21" s="1902"/>
      <c r="I21" s="1902"/>
      <c r="J21" s="1902"/>
      <c r="K21" s="1902"/>
      <c r="L21" s="1902"/>
      <c r="M21" s="1902"/>
      <c r="N21" s="1902"/>
      <c r="O21" s="1902"/>
      <c r="P21" s="1902"/>
      <c r="Q21" s="1902"/>
      <c r="R21" s="1902"/>
      <c r="S21" s="1902"/>
      <c r="T21" s="1902"/>
      <c r="U21" s="1902"/>
      <c r="V21" s="1918"/>
      <c r="W21" s="4971"/>
    </row>
    <row r="22" spans="1:23" ht="21" customHeight="1">
      <c r="A22" s="4966">
        <v>3</v>
      </c>
      <c r="B22" s="4966" t="str">
        <f>'kt1'!B16</f>
        <v>Mẹ Leo</v>
      </c>
      <c r="C22" s="1922"/>
      <c r="D22" s="1903"/>
      <c r="E22" s="1903"/>
      <c r="F22" s="1904"/>
      <c r="G22" s="1904"/>
      <c r="H22" s="1904"/>
      <c r="I22" s="1904"/>
      <c r="J22" s="1904"/>
      <c r="K22" s="1904"/>
      <c r="L22" s="1904"/>
      <c r="M22" s="1904"/>
      <c r="N22" s="1904"/>
      <c r="O22" s="1904"/>
      <c r="P22" s="1904"/>
      <c r="Q22" s="1904"/>
      <c r="R22" s="1904"/>
      <c r="S22" s="1904"/>
      <c r="T22" s="1904"/>
      <c r="U22" s="1904"/>
      <c r="V22" s="1916"/>
      <c r="W22" s="4969"/>
    </row>
    <row r="23" spans="1:23" ht="21" customHeight="1">
      <c r="A23" s="4967"/>
      <c r="B23" s="4967"/>
      <c r="C23" s="1923"/>
      <c r="D23" s="1886"/>
      <c r="E23" s="1886"/>
      <c r="F23" s="1887"/>
      <c r="G23" s="1887"/>
      <c r="H23" s="1887"/>
      <c r="I23" s="1887"/>
      <c r="J23" s="1887"/>
      <c r="K23" s="1887"/>
      <c r="L23" s="1887"/>
      <c r="M23" s="1887"/>
      <c r="N23" s="1887"/>
      <c r="O23" s="1887"/>
      <c r="P23" s="1887"/>
      <c r="Q23" s="1887"/>
      <c r="R23" s="1887"/>
      <c r="S23" s="1887"/>
      <c r="T23" s="1887"/>
      <c r="U23" s="1887"/>
      <c r="V23" s="1917"/>
      <c r="W23" s="4970"/>
    </row>
    <row r="24" spans="1:23" ht="21" customHeight="1">
      <c r="A24" s="4967"/>
      <c r="B24" s="4967"/>
      <c r="C24" s="1923"/>
      <c r="D24" s="1886"/>
      <c r="E24" s="1886"/>
      <c r="F24" s="1887"/>
      <c r="G24" s="1887"/>
      <c r="H24" s="1887"/>
      <c r="I24" s="1887"/>
      <c r="J24" s="1887"/>
      <c r="K24" s="1887"/>
      <c r="L24" s="1887"/>
      <c r="M24" s="1887"/>
      <c r="N24" s="1887"/>
      <c r="O24" s="1887"/>
      <c r="P24" s="1887"/>
      <c r="Q24" s="1887"/>
      <c r="R24" s="1887"/>
      <c r="S24" s="1887"/>
      <c r="T24" s="1887"/>
      <c r="U24" s="1887"/>
      <c r="V24" s="1917"/>
      <c r="W24" s="4970"/>
    </row>
    <row r="25" spans="1:23" ht="21" customHeight="1">
      <c r="A25" s="4967"/>
      <c r="B25" s="4967"/>
      <c r="C25" s="1923"/>
      <c r="D25" s="1886"/>
      <c r="E25" s="1886"/>
      <c r="F25" s="1887"/>
      <c r="G25" s="1887"/>
      <c r="H25" s="1887"/>
      <c r="I25" s="1887"/>
      <c r="J25" s="1887"/>
      <c r="K25" s="1887"/>
      <c r="L25" s="1887"/>
      <c r="M25" s="1887"/>
      <c r="N25" s="1887"/>
      <c r="O25" s="1887"/>
      <c r="P25" s="1887"/>
      <c r="Q25" s="1887"/>
      <c r="R25" s="1887"/>
      <c r="S25" s="1887"/>
      <c r="T25" s="1887"/>
      <c r="U25" s="1887"/>
      <c r="V25" s="1917"/>
      <c r="W25" s="4970"/>
    </row>
    <row r="26" spans="1:23" ht="21" customHeight="1">
      <c r="A26" s="4968"/>
      <c r="B26" s="4968"/>
      <c r="C26" s="1924"/>
      <c r="D26" s="1901"/>
      <c r="E26" s="1901"/>
      <c r="F26" s="1902"/>
      <c r="G26" s="1902"/>
      <c r="H26" s="1902"/>
      <c r="I26" s="1902"/>
      <c r="J26" s="1902"/>
      <c r="K26" s="1902"/>
      <c r="L26" s="1902"/>
      <c r="M26" s="1902"/>
      <c r="N26" s="1902"/>
      <c r="O26" s="1902"/>
      <c r="P26" s="1902"/>
      <c r="Q26" s="1902"/>
      <c r="R26" s="1902"/>
      <c r="S26" s="1902"/>
      <c r="T26" s="1902"/>
      <c r="U26" s="1902"/>
      <c r="V26" s="1918"/>
      <c r="W26" s="4971"/>
    </row>
    <row r="27" spans="1:23" ht="19.5" hidden="1" customHeight="1">
      <c r="A27" s="4966">
        <v>4</v>
      </c>
      <c r="B27" s="4966" t="str">
        <f>'kt1'!B17</f>
        <v xml:space="preserve">Thảo Ken </v>
      </c>
      <c r="C27" s="1922"/>
      <c r="D27" s="1903"/>
      <c r="E27" s="1903"/>
      <c r="F27" s="1904"/>
      <c r="G27" s="1904"/>
      <c r="H27" s="1904"/>
      <c r="I27" s="1904"/>
      <c r="J27" s="1904"/>
      <c r="K27" s="1904"/>
      <c r="L27" s="1904"/>
      <c r="M27" s="1904"/>
      <c r="N27" s="1904"/>
      <c r="O27" s="1904"/>
      <c r="P27" s="1904"/>
      <c r="Q27" s="1904"/>
      <c r="R27" s="1904"/>
      <c r="S27" s="1904"/>
      <c r="T27" s="1904"/>
      <c r="U27" s="1904"/>
      <c r="V27" s="1916"/>
      <c r="W27" s="4969"/>
    </row>
    <row r="28" spans="1:23" ht="19.5" hidden="1" customHeight="1">
      <c r="A28" s="4967"/>
      <c r="B28" s="4967"/>
      <c r="C28" s="1923"/>
      <c r="D28" s="1886"/>
      <c r="E28" s="1886"/>
      <c r="F28" s="1887"/>
      <c r="G28" s="1887"/>
      <c r="H28" s="1887"/>
      <c r="I28" s="1887"/>
      <c r="J28" s="1887"/>
      <c r="K28" s="1887"/>
      <c r="L28" s="1887"/>
      <c r="M28" s="1887"/>
      <c r="N28" s="1887"/>
      <c r="O28" s="1887"/>
      <c r="P28" s="1887"/>
      <c r="Q28" s="1887"/>
      <c r="R28" s="1887"/>
      <c r="S28" s="1887"/>
      <c r="T28" s="1887"/>
      <c r="U28" s="1887"/>
      <c r="V28" s="1917"/>
      <c r="W28" s="4970"/>
    </row>
    <row r="29" spans="1:23" ht="19.5" hidden="1" customHeight="1">
      <c r="A29" s="4967"/>
      <c r="B29" s="4967"/>
      <c r="C29" s="1923"/>
      <c r="D29" s="1886"/>
      <c r="E29" s="1886"/>
      <c r="F29" s="1887"/>
      <c r="G29" s="1887"/>
      <c r="H29" s="1887"/>
      <c r="I29" s="1887"/>
      <c r="J29" s="1887"/>
      <c r="K29" s="1887"/>
      <c r="L29" s="1887"/>
      <c r="M29" s="1887"/>
      <c r="N29" s="1887"/>
      <c r="O29" s="1887"/>
      <c r="P29" s="1887"/>
      <c r="Q29" s="1887"/>
      <c r="R29" s="1887"/>
      <c r="S29" s="1887"/>
      <c r="T29" s="1887"/>
      <c r="U29" s="1887"/>
      <c r="V29" s="1917"/>
      <c r="W29" s="4970"/>
    </row>
    <row r="30" spans="1:23" ht="19.5" hidden="1" customHeight="1">
      <c r="A30" s="4967"/>
      <c r="B30" s="4967"/>
      <c r="C30" s="1923"/>
      <c r="D30" s="1886"/>
      <c r="E30" s="1886"/>
      <c r="F30" s="1887"/>
      <c r="G30" s="1887"/>
      <c r="H30" s="1887"/>
      <c r="I30" s="1887"/>
      <c r="J30" s="1887"/>
      <c r="K30" s="1887"/>
      <c r="L30" s="1887"/>
      <c r="M30" s="1887"/>
      <c r="N30" s="1887"/>
      <c r="O30" s="1887"/>
      <c r="P30" s="1887"/>
      <c r="Q30" s="1887"/>
      <c r="R30" s="1887"/>
      <c r="S30" s="1887"/>
      <c r="T30" s="1887"/>
      <c r="U30" s="1887"/>
      <c r="V30" s="1917"/>
      <c r="W30" s="4970"/>
    </row>
    <row r="31" spans="1:23" ht="19.5" hidden="1" customHeight="1">
      <c r="A31" s="4968"/>
      <c r="B31" s="4968"/>
      <c r="C31" s="1924"/>
      <c r="D31" s="1901"/>
      <c r="E31" s="1901"/>
      <c r="F31" s="1902"/>
      <c r="G31" s="1902"/>
      <c r="H31" s="1902"/>
      <c r="I31" s="1902"/>
      <c r="J31" s="1902"/>
      <c r="K31" s="1902"/>
      <c r="L31" s="1902"/>
      <c r="M31" s="1902"/>
      <c r="N31" s="1902"/>
      <c r="O31" s="1902"/>
      <c r="P31" s="1902"/>
      <c r="Q31" s="1902"/>
      <c r="R31" s="1902"/>
      <c r="S31" s="1902"/>
      <c r="T31" s="1902"/>
      <c r="U31" s="1902"/>
      <c r="V31" s="1918"/>
      <c r="W31" s="4971"/>
    </row>
    <row r="32" spans="1:23" ht="18" customHeight="1">
      <c r="A32" s="4966">
        <v>5</v>
      </c>
      <c r="B32" s="4966" t="str">
        <f>'kt1'!B18</f>
        <v>Thảo Phút</v>
      </c>
      <c r="C32" s="1922"/>
      <c r="D32" s="1903"/>
      <c r="E32" s="1903"/>
      <c r="F32" s="1904"/>
      <c r="G32" s="1904"/>
      <c r="H32" s="1904"/>
      <c r="I32" s="1904"/>
      <c r="J32" s="1904"/>
      <c r="K32" s="1904"/>
      <c r="L32" s="1904"/>
      <c r="M32" s="1904"/>
      <c r="N32" s="1904"/>
      <c r="O32" s="1904"/>
      <c r="P32" s="1904"/>
      <c r="Q32" s="1904"/>
      <c r="R32" s="1904"/>
      <c r="S32" s="1904"/>
      <c r="T32" s="1904"/>
      <c r="U32" s="1904"/>
      <c r="V32" s="1916"/>
      <c r="W32" s="4969"/>
    </row>
    <row r="33" spans="1:23" ht="18" customHeight="1">
      <c r="A33" s="4967"/>
      <c r="B33" s="4967"/>
      <c r="C33" s="1923"/>
      <c r="D33" s="1886"/>
      <c r="E33" s="1886"/>
      <c r="F33" s="1887"/>
      <c r="G33" s="1887"/>
      <c r="H33" s="1887"/>
      <c r="I33" s="1887"/>
      <c r="J33" s="1887"/>
      <c r="K33" s="1887"/>
      <c r="L33" s="1887"/>
      <c r="M33" s="1887"/>
      <c r="N33" s="1887"/>
      <c r="O33" s="1887"/>
      <c r="P33" s="1887"/>
      <c r="Q33" s="1887"/>
      <c r="R33" s="1887"/>
      <c r="S33" s="1887"/>
      <c r="T33" s="1887"/>
      <c r="U33" s="1887"/>
      <c r="V33" s="1917"/>
      <c r="W33" s="4970"/>
    </row>
    <row r="34" spans="1:23" ht="18" customHeight="1">
      <c r="A34" s="4967"/>
      <c r="B34" s="4967"/>
      <c r="C34" s="1923"/>
      <c r="D34" s="1886"/>
      <c r="E34" s="1886"/>
      <c r="F34" s="1887"/>
      <c r="G34" s="1887"/>
      <c r="H34" s="1887"/>
      <c r="I34" s="1887"/>
      <c r="J34" s="1887"/>
      <c r="K34" s="1887"/>
      <c r="L34" s="1887"/>
      <c r="M34" s="1887"/>
      <c r="N34" s="1887"/>
      <c r="O34" s="1887"/>
      <c r="P34" s="1887"/>
      <c r="Q34" s="1887"/>
      <c r="R34" s="1887"/>
      <c r="S34" s="1887"/>
      <c r="T34" s="1887"/>
      <c r="U34" s="1887"/>
      <c r="V34" s="1917"/>
      <c r="W34" s="4970"/>
    </row>
    <row r="35" spans="1:23" ht="18" customHeight="1">
      <c r="A35" s="4967"/>
      <c r="B35" s="4967"/>
      <c r="C35" s="1923"/>
      <c r="D35" s="1886"/>
      <c r="E35" s="1886"/>
      <c r="F35" s="1887"/>
      <c r="G35" s="1887"/>
      <c r="H35" s="1887"/>
      <c r="I35" s="1887"/>
      <c r="J35" s="1887"/>
      <c r="K35" s="1887"/>
      <c r="L35" s="1887"/>
      <c r="M35" s="1887"/>
      <c r="N35" s="1887"/>
      <c r="O35" s="1887"/>
      <c r="P35" s="1887"/>
      <c r="Q35" s="1887"/>
      <c r="R35" s="1887"/>
      <c r="S35" s="1887"/>
      <c r="T35" s="1887"/>
      <c r="U35" s="1887"/>
      <c r="V35" s="1917"/>
      <c r="W35" s="4970"/>
    </row>
    <row r="36" spans="1:23" ht="18" customHeight="1">
      <c r="A36" s="4968"/>
      <c r="B36" s="4968"/>
      <c r="C36" s="1924"/>
      <c r="D36" s="1901"/>
      <c r="E36" s="1901"/>
      <c r="F36" s="1902"/>
      <c r="G36" s="1902"/>
      <c r="H36" s="1902"/>
      <c r="I36" s="1902"/>
      <c r="J36" s="1902"/>
      <c r="K36" s="1902"/>
      <c r="L36" s="1902"/>
      <c r="M36" s="1902"/>
      <c r="N36" s="1902"/>
      <c r="O36" s="1902"/>
      <c r="P36" s="1902"/>
      <c r="Q36" s="1902"/>
      <c r="R36" s="1902"/>
      <c r="S36" s="1902"/>
      <c r="T36" s="1902"/>
      <c r="U36" s="1902"/>
      <c r="V36" s="1918"/>
      <c r="W36" s="4971"/>
    </row>
    <row r="37" spans="1:23" ht="18" customHeight="1">
      <c r="A37" s="4966">
        <v>6</v>
      </c>
      <c r="B37" s="4966" t="str">
        <f>'kt1'!B19</f>
        <v>Thảo Mằn</v>
      </c>
      <c r="C37" s="1922"/>
      <c r="D37" s="1903"/>
      <c r="E37" s="1903"/>
      <c r="F37" s="1904"/>
      <c r="G37" s="1904"/>
      <c r="H37" s="1904"/>
      <c r="I37" s="1904"/>
      <c r="J37" s="1904"/>
      <c r="K37" s="1904"/>
      <c r="L37" s="1904"/>
      <c r="M37" s="1904"/>
      <c r="N37" s="1904"/>
      <c r="O37" s="1904"/>
      <c r="P37" s="1904"/>
      <c r="Q37" s="1904"/>
      <c r="R37" s="1904"/>
      <c r="S37" s="1904"/>
      <c r="T37" s="1904"/>
      <c r="U37" s="1904"/>
      <c r="V37" s="1919"/>
      <c r="W37" s="4969"/>
    </row>
    <row r="38" spans="1:23" ht="18" customHeight="1">
      <c r="A38" s="4967"/>
      <c r="B38" s="4967"/>
      <c r="C38" s="1923"/>
      <c r="D38" s="1886"/>
      <c r="E38" s="1886"/>
      <c r="F38" s="1887"/>
      <c r="G38" s="1887"/>
      <c r="H38" s="1887"/>
      <c r="I38" s="1887"/>
      <c r="J38" s="1887"/>
      <c r="K38" s="1887"/>
      <c r="L38" s="1887"/>
      <c r="M38" s="1887"/>
      <c r="N38" s="1887"/>
      <c r="O38" s="1887"/>
      <c r="P38" s="1887"/>
      <c r="Q38" s="1887"/>
      <c r="R38" s="1887"/>
      <c r="S38" s="1887"/>
      <c r="T38" s="1887"/>
      <c r="U38" s="1887"/>
      <c r="V38" s="1920"/>
      <c r="W38" s="4970"/>
    </row>
    <row r="39" spans="1:23" ht="18" customHeight="1">
      <c r="A39" s="4967"/>
      <c r="B39" s="4967"/>
      <c r="C39" s="1923"/>
      <c r="D39" s="1886"/>
      <c r="E39" s="1886"/>
      <c r="F39" s="1887"/>
      <c r="G39" s="1887"/>
      <c r="H39" s="1887"/>
      <c r="I39" s="1887"/>
      <c r="J39" s="1887"/>
      <c r="K39" s="1887"/>
      <c r="L39" s="1887"/>
      <c r="M39" s="1887"/>
      <c r="N39" s="1887"/>
      <c r="O39" s="1887"/>
      <c r="P39" s="1887"/>
      <c r="Q39" s="1887"/>
      <c r="R39" s="1887"/>
      <c r="S39" s="1887"/>
      <c r="T39" s="1887"/>
      <c r="U39" s="1887"/>
      <c r="V39" s="1920"/>
      <c r="W39" s="4970"/>
    </row>
    <row r="40" spans="1:23" ht="18" customHeight="1">
      <c r="A40" s="4967"/>
      <c r="B40" s="4967"/>
      <c r="C40" s="1923"/>
      <c r="D40" s="1886"/>
      <c r="E40" s="1886"/>
      <c r="F40" s="1887"/>
      <c r="G40" s="1887"/>
      <c r="H40" s="1887"/>
      <c r="I40" s="1887"/>
      <c r="J40" s="1887"/>
      <c r="K40" s="1887"/>
      <c r="L40" s="1887"/>
      <c r="M40" s="1887"/>
      <c r="N40" s="1887"/>
      <c r="O40" s="1887"/>
      <c r="P40" s="1887"/>
      <c r="Q40" s="1887"/>
      <c r="R40" s="1887"/>
      <c r="S40" s="1887"/>
      <c r="T40" s="1887"/>
      <c r="U40" s="1887"/>
      <c r="V40" s="1920"/>
      <c r="W40" s="4970"/>
    </row>
    <row r="41" spans="1:23" ht="18" customHeight="1">
      <c r="A41" s="4968"/>
      <c r="B41" s="4968"/>
      <c r="C41" s="1924"/>
      <c r="D41" s="1901"/>
      <c r="E41" s="1901"/>
      <c r="F41" s="1902"/>
      <c r="G41" s="1902"/>
      <c r="H41" s="1902"/>
      <c r="I41" s="1902"/>
      <c r="J41" s="1902"/>
      <c r="K41" s="1902"/>
      <c r="L41" s="1902"/>
      <c r="M41" s="1902"/>
      <c r="N41" s="1902"/>
      <c r="O41" s="1902"/>
      <c r="P41" s="1902"/>
      <c r="Q41" s="1902"/>
      <c r="R41" s="1902"/>
      <c r="S41" s="1902"/>
      <c r="T41" s="1902"/>
      <c r="U41" s="1902"/>
      <c r="V41" s="1921"/>
      <c r="W41" s="4971"/>
    </row>
    <row r="42" spans="1:23" ht="18" customHeight="1">
      <c r="A42" s="4966">
        <v>7</v>
      </c>
      <c r="B42" s="4966" t="str">
        <f>'kt1'!B20</f>
        <v>Nàng Chay</v>
      </c>
      <c r="C42" s="1922"/>
      <c r="D42" s="1903"/>
      <c r="E42" s="1903"/>
      <c r="F42" s="1904"/>
      <c r="G42" s="1904"/>
      <c r="H42" s="1904"/>
      <c r="I42" s="1904"/>
      <c r="J42" s="1904"/>
      <c r="K42" s="1904"/>
      <c r="L42" s="1904"/>
      <c r="M42" s="1904"/>
      <c r="N42" s="1904"/>
      <c r="O42" s="1904"/>
      <c r="P42" s="1904"/>
      <c r="Q42" s="1904"/>
      <c r="R42" s="1904"/>
      <c r="S42" s="1904"/>
      <c r="T42" s="1904"/>
      <c r="U42" s="1904"/>
      <c r="V42" s="1916"/>
      <c r="W42" s="4969"/>
    </row>
    <row r="43" spans="1:23" ht="18" customHeight="1">
      <c r="A43" s="4967"/>
      <c r="B43" s="4967"/>
      <c r="C43" s="1923"/>
      <c r="D43" s="1886"/>
      <c r="E43" s="1886"/>
      <c r="F43" s="1887"/>
      <c r="G43" s="1887"/>
      <c r="H43" s="1887"/>
      <c r="I43" s="1887"/>
      <c r="J43" s="1887"/>
      <c r="K43" s="1887"/>
      <c r="L43" s="1887"/>
      <c r="M43" s="1887"/>
      <c r="N43" s="1887"/>
      <c r="O43" s="1887"/>
      <c r="P43" s="1887"/>
      <c r="Q43" s="1887"/>
      <c r="R43" s="1887"/>
      <c r="S43" s="1887"/>
      <c r="T43" s="1887"/>
      <c r="U43" s="1887"/>
      <c r="V43" s="1917"/>
      <c r="W43" s="4970"/>
    </row>
    <row r="44" spans="1:23" ht="18" customHeight="1">
      <c r="A44" s="4967"/>
      <c r="B44" s="4967"/>
      <c r="C44" s="1923"/>
      <c r="D44" s="1886"/>
      <c r="E44" s="1886"/>
      <c r="F44" s="1887"/>
      <c r="G44" s="1887"/>
      <c r="H44" s="1887"/>
      <c r="I44" s="1887"/>
      <c r="J44" s="1887"/>
      <c r="K44" s="1887"/>
      <c r="L44" s="1887"/>
      <c r="M44" s="1887"/>
      <c r="N44" s="1887"/>
      <c r="O44" s="1887"/>
      <c r="P44" s="1887"/>
      <c r="Q44" s="1887"/>
      <c r="R44" s="1887"/>
      <c r="S44" s="1887"/>
      <c r="T44" s="1887"/>
      <c r="U44" s="1887"/>
      <c r="V44" s="1917"/>
      <c r="W44" s="4970"/>
    </row>
    <row r="45" spans="1:23" ht="18" customHeight="1">
      <c r="A45" s="4967"/>
      <c r="B45" s="4967"/>
      <c r="C45" s="1923"/>
      <c r="D45" s="1886"/>
      <c r="E45" s="1886"/>
      <c r="F45" s="1887"/>
      <c r="G45" s="1887"/>
      <c r="H45" s="1887"/>
      <c r="I45" s="1887"/>
      <c r="J45" s="1887"/>
      <c r="K45" s="1887"/>
      <c r="L45" s="1887"/>
      <c r="M45" s="1887"/>
      <c r="N45" s="1887"/>
      <c r="O45" s="1887"/>
      <c r="P45" s="1887"/>
      <c r="Q45" s="1887"/>
      <c r="R45" s="1887"/>
      <c r="S45" s="1887"/>
      <c r="T45" s="1887"/>
      <c r="U45" s="1887"/>
      <c r="V45" s="1917"/>
      <c r="W45" s="4970"/>
    </row>
    <row r="46" spans="1:23" ht="18" customHeight="1">
      <c r="A46" s="4968"/>
      <c r="B46" s="4968"/>
      <c r="C46" s="1924"/>
      <c r="D46" s="1901"/>
      <c r="E46" s="1901"/>
      <c r="F46" s="1902"/>
      <c r="G46" s="1902"/>
      <c r="H46" s="1902"/>
      <c r="I46" s="1902"/>
      <c r="J46" s="1902"/>
      <c r="K46" s="1902"/>
      <c r="L46" s="1902"/>
      <c r="M46" s="1902"/>
      <c r="N46" s="1902"/>
      <c r="O46" s="1902"/>
      <c r="P46" s="1902"/>
      <c r="Q46" s="1902"/>
      <c r="R46" s="1902"/>
      <c r="S46" s="1902"/>
      <c r="T46" s="1902"/>
      <c r="U46" s="1902"/>
      <c r="V46" s="1918"/>
      <c r="W46" s="4971"/>
    </row>
    <row r="47" spans="1:23" ht="18" customHeight="1">
      <c r="A47" s="4966">
        <v>8</v>
      </c>
      <c r="B47" s="4966" t="str">
        <f>'kt1'!B21</f>
        <v>Thảo Sắp</v>
      </c>
      <c r="C47" s="1922"/>
      <c r="D47" s="1903"/>
      <c r="E47" s="1903"/>
      <c r="F47" s="1904"/>
      <c r="G47" s="1904"/>
      <c r="H47" s="1904"/>
      <c r="I47" s="1904"/>
      <c r="J47" s="1904"/>
      <c r="K47" s="1904"/>
      <c r="L47" s="1904"/>
      <c r="M47" s="1904"/>
      <c r="N47" s="1904"/>
      <c r="O47" s="1904"/>
      <c r="P47" s="1904"/>
      <c r="Q47" s="1904"/>
      <c r="R47" s="1904"/>
      <c r="S47" s="1904"/>
      <c r="T47" s="1904"/>
      <c r="U47" s="1904"/>
      <c r="V47" s="1916"/>
      <c r="W47" s="4969"/>
    </row>
    <row r="48" spans="1:23" ht="18" customHeight="1">
      <c r="A48" s="4967"/>
      <c r="B48" s="4967"/>
      <c r="C48" s="1923"/>
      <c r="D48" s="1886"/>
      <c r="E48" s="1886"/>
      <c r="F48" s="1887"/>
      <c r="G48" s="1887"/>
      <c r="H48" s="1887"/>
      <c r="I48" s="1887"/>
      <c r="J48" s="1887"/>
      <c r="K48" s="1887"/>
      <c r="L48" s="1887"/>
      <c r="M48" s="1887"/>
      <c r="N48" s="1887"/>
      <c r="O48" s="1887"/>
      <c r="P48" s="1887"/>
      <c r="Q48" s="1887"/>
      <c r="R48" s="1887"/>
      <c r="S48" s="1887"/>
      <c r="T48" s="1887"/>
      <c r="U48" s="1887"/>
      <c r="V48" s="1917"/>
      <c r="W48" s="4970"/>
    </row>
    <row r="49" spans="1:23" ht="18" customHeight="1">
      <c r="A49" s="4967"/>
      <c r="B49" s="4967"/>
      <c r="C49" s="1923"/>
      <c r="D49" s="1886"/>
      <c r="E49" s="1886"/>
      <c r="F49" s="1887"/>
      <c r="G49" s="1887"/>
      <c r="H49" s="1887"/>
      <c r="I49" s="1887"/>
      <c r="J49" s="1887"/>
      <c r="K49" s="1887"/>
      <c r="L49" s="1887"/>
      <c r="M49" s="1887"/>
      <c r="N49" s="1887"/>
      <c r="O49" s="1887"/>
      <c r="P49" s="1887"/>
      <c r="Q49" s="1887"/>
      <c r="R49" s="1887"/>
      <c r="S49" s="1887"/>
      <c r="T49" s="1887"/>
      <c r="U49" s="1887"/>
      <c r="V49" s="1917"/>
      <c r="W49" s="4970"/>
    </row>
    <row r="50" spans="1:23" ht="18" customHeight="1">
      <c r="A50" s="4967"/>
      <c r="B50" s="4967"/>
      <c r="C50" s="1923"/>
      <c r="D50" s="1886"/>
      <c r="E50" s="1886"/>
      <c r="F50" s="1887"/>
      <c r="G50" s="1887"/>
      <c r="H50" s="1887"/>
      <c r="I50" s="1887"/>
      <c r="J50" s="1887"/>
      <c r="K50" s="1887"/>
      <c r="L50" s="1887"/>
      <c r="M50" s="1887"/>
      <c r="N50" s="1887"/>
      <c r="O50" s="1887"/>
      <c r="P50" s="1887"/>
      <c r="Q50" s="1887"/>
      <c r="R50" s="1887"/>
      <c r="S50" s="1887"/>
      <c r="T50" s="1887"/>
      <c r="U50" s="1887"/>
      <c r="V50" s="1917"/>
      <c r="W50" s="4970"/>
    </row>
    <row r="51" spans="1:23" ht="18" customHeight="1">
      <c r="A51" s="4968"/>
      <c r="B51" s="4968"/>
      <c r="C51" s="1924"/>
      <c r="D51" s="1901"/>
      <c r="E51" s="1901"/>
      <c r="F51" s="1902"/>
      <c r="G51" s="1902"/>
      <c r="H51" s="1902"/>
      <c r="I51" s="1902"/>
      <c r="J51" s="1902"/>
      <c r="K51" s="1902"/>
      <c r="L51" s="1902"/>
      <c r="M51" s="1902"/>
      <c r="N51" s="1902"/>
      <c r="O51" s="1902"/>
      <c r="P51" s="1902"/>
      <c r="Q51" s="1902"/>
      <c r="R51" s="1902"/>
      <c r="S51" s="1902"/>
      <c r="T51" s="1902"/>
      <c r="U51" s="1902"/>
      <c r="V51" s="1918"/>
      <c r="W51" s="4971"/>
    </row>
    <row r="52" spans="1:23" ht="18" customHeight="1">
      <c r="A52" s="4966">
        <v>9</v>
      </c>
      <c r="B52" s="4966" t="str">
        <f>'kt1'!B22</f>
        <v>Thảo Say</v>
      </c>
      <c r="C52" s="1922"/>
      <c r="D52" s="1903"/>
      <c r="E52" s="1903"/>
      <c r="F52" s="1904"/>
      <c r="G52" s="1904"/>
      <c r="H52" s="1904"/>
      <c r="I52" s="1904"/>
      <c r="J52" s="1904"/>
      <c r="K52" s="1904"/>
      <c r="L52" s="1904"/>
      <c r="M52" s="1904"/>
      <c r="N52" s="1904"/>
      <c r="O52" s="1904"/>
      <c r="P52" s="1904"/>
      <c r="Q52" s="1904"/>
      <c r="R52" s="1904"/>
      <c r="S52" s="1904"/>
      <c r="T52" s="1904"/>
      <c r="U52" s="1904"/>
      <c r="V52" s="1916"/>
      <c r="W52" s="4969"/>
    </row>
    <row r="53" spans="1:23" ht="18" customHeight="1">
      <c r="A53" s="4967"/>
      <c r="B53" s="4967"/>
      <c r="C53" s="1923"/>
      <c r="D53" s="1886"/>
      <c r="E53" s="1886"/>
      <c r="F53" s="1887"/>
      <c r="G53" s="1887"/>
      <c r="H53" s="1887"/>
      <c r="I53" s="1887"/>
      <c r="J53" s="1887"/>
      <c r="K53" s="1887"/>
      <c r="L53" s="1887"/>
      <c r="M53" s="1887"/>
      <c r="N53" s="1887"/>
      <c r="O53" s="1887"/>
      <c r="P53" s="1887"/>
      <c r="Q53" s="1887"/>
      <c r="R53" s="1887"/>
      <c r="S53" s="1887"/>
      <c r="T53" s="1887"/>
      <c r="U53" s="1887"/>
      <c r="V53" s="1917"/>
      <c r="W53" s="4970"/>
    </row>
    <row r="54" spans="1:23" ht="18" customHeight="1">
      <c r="A54" s="4967"/>
      <c r="B54" s="4967"/>
      <c r="C54" s="1923"/>
      <c r="D54" s="1886"/>
      <c r="E54" s="1886"/>
      <c r="F54" s="1887"/>
      <c r="G54" s="1887"/>
      <c r="H54" s="1887"/>
      <c r="I54" s="1887"/>
      <c r="J54" s="1887"/>
      <c r="K54" s="1887"/>
      <c r="L54" s="1887"/>
      <c r="M54" s="1887"/>
      <c r="N54" s="1887"/>
      <c r="O54" s="1887"/>
      <c r="P54" s="1887"/>
      <c r="Q54" s="1887"/>
      <c r="R54" s="1887"/>
      <c r="S54" s="1887"/>
      <c r="T54" s="1887"/>
      <c r="U54" s="1887"/>
      <c r="V54" s="1917"/>
      <c r="W54" s="4970"/>
    </row>
    <row r="55" spans="1:23" ht="18" customHeight="1">
      <c r="A55" s="4967"/>
      <c r="B55" s="4967"/>
      <c r="C55" s="1923"/>
      <c r="D55" s="1886"/>
      <c r="E55" s="1886"/>
      <c r="F55" s="1887"/>
      <c r="G55" s="1887"/>
      <c r="H55" s="1887"/>
      <c r="I55" s="1887"/>
      <c r="J55" s="1887"/>
      <c r="K55" s="1887"/>
      <c r="L55" s="1887"/>
      <c r="M55" s="1887"/>
      <c r="N55" s="1887"/>
      <c r="O55" s="1887"/>
      <c r="P55" s="1887"/>
      <c r="Q55" s="1887"/>
      <c r="R55" s="1887"/>
      <c r="S55" s="1887"/>
      <c r="T55" s="1887"/>
      <c r="U55" s="1887"/>
      <c r="V55" s="1917"/>
      <c r="W55" s="4970"/>
    </row>
    <row r="56" spans="1:23" ht="18" customHeight="1">
      <c r="A56" s="4968"/>
      <c r="B56" s="4968"/>
      <c r="C56" s="1924"/>
      <c r="D56" s="1901"/>
      <c r="E56" s="1901"/>
      <c r="F56" s="1902"/>
      <c r="G56" s="1902"/>
      <c r="H56" s="1902"/>
      <c r="I56" s="1902"/>
      <c r="J56" s="1902"/>
      <c r="K56" s="1902"/>
      <c r="L56" s="1902"/>
      <c r="M56" s="1902"/>
      <c r="N56" s="1902"/>
      <c r="O56" s="1902"/>
      <c r="P56" s="1902"/>
      <c r="Q56" s="1902"/>
      <c r="R56" s="1902"/>
      <c r="S56" s="1902"/>
      <c r="T56" s="1902"/>
      <c r="U56" s="1902"/>
      <c r="V56" s="1918"/>
      <c r="W56" s="4971"/>
    </row>
    <row r="57" spans="1:23" ht="15.75" customHeight="1">
      <c r="A57" s="4966">
        <v>10</v>
      </c>
      <c r="B57" s="4966" t="str">
        <f>'kt1'!B23</f>
        <v>Thảo Cợt</v>
      </c>
      <c r="C57" s="1922"/>
      <c r="D57" s="1903"/>
      <c r="E57" s="1903"/>
      <c r="F57" s="1904"/>
      <c r="G57" s="1904"/>
      <c r="H57" s="1904"/>
      <c r="I57" s="1904"/>
      <c r="J57" s="1904"/>
      <c r="K57" s="1904"/>
      <c r="L57" s="1904"/>
      <c r="M57" s="1904"/>
      <c r="N57" s="1904"/>
      <c r="O57" s="1904"/>
      <c r="P57" s="1904"/>
      <c r="Q57" s="1904"/>
      <c r="R57" s="1904"/>
      <c r="S57" s="1904"/>
      <c r="T57" s="1904"/>
      <c r="U57" s="1904"/>
      <c r="V57" s="1916"/>
      <c r="W57" s="4969"/>
    </row>
    <row r="58" spans="1:23" ht="15.75" customHeight="1">
      <c r="A58" s="4967"/>
      <c r="B58" s="4967"/>
      <c r="C58" s="1923"/>
      <c r="D58" s="1886"/>
      <c r="E58" s="1886"/>
      <c r="F58" s="1887"/>
      <c r="G58" s="1887"/>
      <c r="H58" s="1887"/>
      <c r="I58" s="1887"/>
      <c r="J58" s="1887"/>
      <c r="K58" s="1887"/>
      <c r="L58" s="1887"/>
      <c r="M58" s="1887"/>
      <c r="N58" s="1887"/>
      <c r="O58" s="1887"/>
      <c r="P58" s="1887"/>
      <c r="Q58" s="1887"/>
      <c r="R58" s="1887"/>
      <c r="S58" s="1887"/>
      <c r="T58" s="1887"/>
      <c r="U58" s="1887"/>
      <c r="V58" s="1917"/>
      <c r="W58" s="4970"/>
    </row>
    <row r="59" spans="1:23" ht="15.75" customHeight="1">
      <c r="A59" s="4967"/>
      <c r="B59" s="4967"/>
      <c r="C59" s="1923"/>
      <c r="D59" s="1886"/>
      <c r="E59" s="1886"/>
      <c r="F59" s="1887"/>
      <c r="G59" s="1887"/>
      <c r="H59" s="1887"/>
      <c r="I59" s="1887"/>
      <c r="J59" s="1887"/>
      <c r="K59" s="1887"/>
      <c r="L59" s="1887"/>
      <c r="M59" s="1887"/>
      <c r="N59" s="1887"/>
      <c r="O59" s="1887"/>
      <c r="P59" s="1887"/>
      <c r="Q59" s="1887"/>
      <c r="R59" s="1887"/>
      <c r="S59" s="1887"/>
      <c r="T59" s="1887"/>
      <c r="U59" s="1887"/>
      <c r="V59" s="1917"/>
      <c r="W59" s="4970"/>
    </row>
    <row r="60" spans="1:23" ht="15.75" customHeight="1">
      <c r="A60" s="4967"/>
      <c r="B60" s="4967"/>
      <c r="C60" s="1923"/>
      <c r="D60" s="1886"/>
      <c r="E60" s="1886"/>
      <c r="F60" s="1887"/>
      <c r="G60" s="1887"/>
      <c r="H60" s="1887"/>
      <c r="I60" s="1887"/>
      <c r="J60" s="1887"/>
      <c r="K60" s="1887"/>
      <c r="L60" s="1887"/>
      <c r="M60" s="1887"/>
      <c r="N60" s="1887"/>
      <c r="O60" s="1887"/>
      <c r="P60" s="1887"/>
      <c r="Q60" s="1887"/>
      <c r="R60" s="1887"/>
      <c r="S60" s="1887"/>
      <c r="T60" s="1887"/>
      <c r="U60" s="1887"/>
      <c r="V60" s="1917"/>
      <c r="W60" s="4970"/>
    </row>
    <row r="61" spans="1:23" ht="17.25" customHeight="1">
      <c r="A61" s="4968"/>
      <c r="B61" s="4968"/>
      <c r="C61" s="1924"/>
      <c r="D61" s="1901"/>
      <c r="E61" s="1901"/>
      <c r="F61" s="1902"/>
      <c r="G61" s="1902"/>
      <c r="H61" s="1902"/>
      <c r="I61" s="1902"/>
      <c r="J61" s="1902"/>
      <c r="K61" s="1902"/>
      <c r="L61" s="1902"/>
      <c r="M61" s="1902"/>
      <c r="N61" s="1902"/>
      <c r="O61" s="1902"/>
      <c r="P61" s="1902"/>
      <c r="Q61" s="1902"/>
      <c r="R61" s="1902"/>
      <c r="S61" s="1902"/>
      <c r="T61" s="1902"/>
      <c r="U61" s="1902"/>
      <c r="V61" s="1918"/>
      <c r="W61" s="4971"/>
    </row>
    <row r="62" spans="1:23" ht="20.25" customHeight="1">
      <c r="A62" s="4966">
        <v>11</v>
      </c>
      <c r="B62" s="4966" t="str">
        <f>'kt1'!B24</f>
        <v>Thảo Hôm</v>
      </c>
      <c r="C62" s="1922"/>
      <c r="D62" s="1903"/>
      <c r="E62" s="1903"/>
      <c r="F62" s="1904"/>
      <c r="G62" s="1904"/>
      <c r="H62" s="1904"/>
      <c r="I62" s="1904"/>
      <c r="J62" s="1904"/>
      <c r="K62" s="1904"/>
      <c r="L62" s="1904"/>
      <c r="M62" s="1904"/>
      <c r="N62" s="1904"/>
      <c r="O62" s="1904"/>
      <c r="P62" s="1904"/>
      <c r="Q62" s="1904"/>
      <c r="R62" s="1904"/>
      <c r="S62" s="1904"/>
      <c r="T62" s="1904"/>
      <c r="U62" s="1904"/>
      <c r="V62" s="1916"/>
      <c r="W62" s="4969"/>
    </row>
    <row r="63" spans="1:23" ht="20.25" customHeight="1">
      <c r="A63" s="4967"/>
      <c r="B63" s="4967"/>
      <c r="C63" s="1923"/>
      <c r="D63" s="1886"/>
      <c r="E63" s="1886"/>
      <c r="F63" s="1887"/>
      <c r="G63" s="1887"/>
      <c r="H63" s="1887"/>
      <c r="I63" s="1887"/>
      <c r="J63" s="1887"/>
      <c r="K63" s="1887"/>
      <c r="L63" s="1887"/>
      <c r="M63" s="1887"/>
      <c r="N63" s="1887"/>
      <c r="O63" s="1887"/>
      <c r="P63" s="1887"/>
      <c r="Q63" s="1887"/>
      <c r="R63" s="1887"/>
      <c r="S63" s="1887"/>
      <c r="T63" s="1887"/>
      <c r="U63" s="1887"/>
      <c r="V63" s="1917"/>
      <c r="W63" s="4970"/>
    </row>
    <row r="64" spans="1:23" ht="20.25" customHeight="1">
      <c r="A64" s="4967"/>
      <c r="B64" s="4967"/>
      <c r="C64" s="1923"/>
      <c r="D64" s="1886"/>
      <c r="E64" s="1886"/>
      <c r="F64" s="1887"/>
      <c r="G64" s="1887"/>
      <c r="H64" s="1887"/>
      <c r="I64" s="1887"/>
      <c r="J64" s="1887"/>
      <c r="K64" s="1887"/>
      <c r="L64" s="1887"/>
      <c r="M64" s="1887"/>
      <c r="N64" s="1887"/>
      <c r="O64" s="1887"/>
      <c r="P64" s="1887"/>
      <c r="Q64" s="1887"/>
      <c r="R64" s="1887"/>
      <c r="S64" s="1887"/>
      <c r="T64" s="1887"/>
      <c r="U64" s="1887"/>
      <c r="V64" s="1917"/>
      <c r="W64" s="4970"/>
    </row>
    <row r="65" spans="1:23" ht="20.25" customHeight="1">
      <c r="A65" s="4967"/>
      <c r="B65" s="4967"/>
      <c r="C65" s="1923"/>
      <c r="D65" s="1886"/>
      <c r="E65" s="1886"/>
      <c r="F65" s="1887"/>
      <c r="G65" s="1887"/>
      <c r="H65" s="1887"/>
      <c r="I65" s="1887"/>
      <c r="J65" s="1887"/>
      <c r="K65" s="1887"/>
      <c r="L65" s="1887"/>
      <c r="M65" s="1887"/>
      <c r="N65" s="1887"/>
      <c r="O65" s="1887"/>
      <c r="P65" s="1887"/>
      <c r="Q65" s="1887"/>
      <c r="R65" s="1887"/>
      <c r="S65" s="1887"/>
      <c r="T65" s="1887"/>
      <c r="U65" s="1887"/>
      <c r="V65" s="1917"/>
      <c r="W65" s="4970"/>
    </row>
    <row r="66" spans="1:23" ht="20.25" customHeight="1">
      <c r="A66" s="4968"/>
      <c r="B66" s="4968"/>
      <c r="C66" s="1924"/>
      <c r="D66" s="1901"/>
      <c r="E66" s="1901"/>
      <c r="F66" s="1902"/>
      <c r="G66" s="1902"/>
      <c r="H66" s="1902"/>
      <c r="I66" s="1902"/>
      <c r="J66" s="1902"/>
      <c r="K66" s="1902"/>
      <c r="L66" s="1902"/>
      <c r="M66" s="1902"/>
      <c r="N66" s="1902"/>
      <c r="O66" s="1902"/>
      <c r="P66" s="1902"/>
      <c r="Q66" s="1902"/>
      <c r="R66" s="1902"/>
      <c r="S66" s="1902"/>
      <c r="T66" s="1902"/>
      <c r="U66" s="1902"/>
      <c r="V66" s="1918"/>
      <c r="W66" s="4971"/>
    </row>
    <row r="67" spans="1:23" ht="20.25" customHeight="1">
      <c r="A67" s="4966">
        <v>12</v>
      </c>
      <c r="B67" s="4966" t="str">
        <f>'kt1'!B25</f>
        <v xml:space="preserve">Thảo Khăm  </v>
      </c>
      <c r="C67" s="1922"/>
      <c r="D67" s="1903"/>
      <c r="E67" s="1903"/>
      <c r="F67" s="1904"/>
      <c r="G67" s="1904"/>
      <c r="H67" s="1904"/>
      <c r="I67" s="1904"/>
      <c r="J67" s="1904"/>
      <c r="K67" s="1904"/>
      <c r="L67" s="1904"/>
      <c r="M67" s="1904"/>
      <c r="N67" s="1904"/>
      <c r="O67" s="1904"/>
      <c r="P67" s="1904"/>
      <c r="Q67" s="1904"/>
      <c r="R67" s="1904"/>
      <c r="S67" s="1904"/>
      <c r="T67" s="1904"/>
      <c r="U67" s="1904"/>
      <c r="V67" s="1916"/>
      <c r="W67" s="4969"/>
    </row>
    <row r="68" spans="1:23" ht="20.25" customHeight="1">
      <c r="A68" s="4967"/>
      <c r="B68" s="4967"/>
      <c r="C68" s="1923"/>
      <c r="D68" s="1886"/>
      <c r="E68" s="1886"/>
      <c r="F68" s="1887"/>
      <c r="G68" s="1887"/>
      <c r="H68" s="1887"/>
      <c r="I68" s="1887"/>
      <c r="J68" s="1887"/>
      <c r="K68" s="1887"/>
      <c r="L68" s="1887"/>
      <c r="M68" s="1887"/>
      <c r="N68" s="1887"/>
      <c r="O68" s="1887"/>
      <c r="P68" s="1887"/>
      <c r="Q68" s="1887"/>
      <c r="R68" s="1887"/>
      <c r="S68" s="1887"/>
      <c r="T68" s="1887"/>
      <c r="U68" s="1887"/>
      <c r="V68" s="1917"/>
      <c r="W68" s="4970"/>
    </row>
    <row r="69" spans="1:23" ht="20.25" customHeight="1">
      <c r="A69" s="4967"/>
      <c r="B69" s="4967"/>
      <c r="C69" s="1923"/>
      <c r="D69" s="1886"/>
      <c r="E69" s="1886"/>
      <c r="F69" s="1887"/>
      <c r="G69" s="1887"/>
      <c r="H69" s="1887"/>
      <c r="I69" s="1887"/>
      <c r="J69" s="1887"/>
      <c r="K69" s="1887"/>
      <c r="L69" s="1887"/>
      <c r="M69" s="1887"/>
      <c r="N69" s="1887"/>
      <c r="O69" s="1887"/>
      <c r="P69" s="1887"/>
      <c r="Q69" s="1887"/>
      <c r="R69" s="1887"/>
      <c r="S69" s="1887"/>
      <c r="T69" s="1887"/>
      <c r="U69" s="1887"/>
      <c r="V69" s="1917"/>
      <c r="W69" s="4970"/>
    </row>
    <row r="70" spans="1:23" ht="20.25" customHeight="1">
      <c r="A70" s="4967"/>
      <c r="B70" s="4967"/>
      <c r="C70" s="1923"/>
      <c r="D70" s="1886"/>
      <c r="E70" s="1886"/>
      <c r="F70" s="1887"/>
      <c r="G70" s="1887"/>
      <c r="H70" s="1887"/>
      <c r="I70" s="1887"/>
      <c r="J70" s="1887"/>
      <c r="K70" s="1887"/>
      <c r="L70" s="1887"/>
      <c r="M70" s="1887"/>
      <c r="N70" s="1887"/>
      <c r="O70" s="1887"/>
      <c r="P70" s="1887"/>
      <c r="Q70" s="1887"/>
      <c r="R70" s="1887"/>
      <c r="S70" s="1887"/>
      <c r="T70" s="1887"/>
      <c r="U70" s="1887"/>
      <c r="V70" s="1917"/>
      <c r="W70" s="4970"/>
    </row>
    <row r="71" spans="1:23" ht="20.25" customHeight="1">
      <c r="A71" s="4968"/>
      <c r="B71" s="4968"/>
      <c r="C71" s="1924"/>
      <c r="D71" s="1901"/>
      <c r="E71" s="1901"/>
      <c r="F71" s="1902"/>
      <c r="G71" s="1902"/>
      <c r="H71" s="1902"/>
      <c r="I71" s="1902"/>
      <c r="J71" s="1902"/>
      <c r="K71" s="1902"/>
      <c r="L71" s="1902"/>
      <c r="M71" s="1902"/>
      <c r="N71" s="1902"/>
      <c r="O71" s="1902"/>
      <c r="P71" s="1902"/>
      <c r="Q71" s="1902"/>
      <c r="R71" s="1902"/>
      <c r="S71" s="1902"/>
      <c r="T71" s="1902"/>
      <c r="U71" s="1902"/>
      <c r="V71" s="1918"/>
      <c r="W71" s="4971"/>
    </row>
    <row r="72" spans="1:23" ht="15" customHeight="1">
      <c r="A72" s="4966">
        <v>13</v>
      </c>
      <c r="B72" s="4966" t="str">
        <f>'kt1'!B26</f>
        <v>Thảo Hăm</v>
      </c>
      <c r="C72" s="1922"/>
      <c r="D72" s="1903"/>
      <c r="E72" s="1903"/>
      <c r="F72" s="1904"/>
      <c r="G72" s="1904"/>
      <c r="H72" s="1904"/>
      <c r="I72" s="1904"/>
      <c r="J72" s="1904"/>
      <c r="K72" s="1904"/>
      <c r="L72" s="1904"/>
      <c r="M72" s="1904"/>
      <c r="N72" s="1904"/>
      <c r="O72" s="1904"/>
      <c r="P72" s="1904"/>
      <c r="Q72" s="1904"/>
      <c r="R72" s="1904"/>
      <c r="S72" s="1904"/>
      <c r="T72" s="1904"/>
      <c r="U72" s="1904"/>
      <c r="V72" s="1916"/>
      <c r="W72" s="4969"/>
    </row>
    <row r="73" spans="1:23" ht="15" customHeight="1">
      <c r="A73" s="4967"/>
      <c r="B73" s="4967"/>
      <c r="C73" s="1923"/>
      <c r="D73" s="1886"/>
      <c r="E73" s="1886"/>
      <c r="F73" s="1887"/>
      <c r="G73" s="1887"/>
      <c r="H73" s="1887"/>
      <c r="I73" s="1887"/>
      <c r="J73" s="1887"/>
      <c r="K73" s="1887"/>
      <c r="L73" s="1887"/>
      <c r="M73" s="1887"/>
      <c r="N73" s="1887"/>
      <c r="O73" s="1887"/>
      <c r="P73" s="1887"/>
      <c r="Q73" s="1887"/>
      <c r="R73" s="1887"/>
      <c r="S73" s="1887"/>
      <c r="T73" s="1887"/>
      <c r="U73" s="1887"/>
      <c r="V73" s="1917"/>
      <c r="W73" s="4970"/>
    </row>
    <row r="74" spans="1:23" ht="15" customHeight="1">
      <c r="A74" s="4967"/>
      <c r="B74" s="4967"/>
      <c r="C74" s="1923"/>
      <c r="D74" s="1886"/>
      <c r="E74" s="1886"/>
      <c r="F74" s="1887"/>
      <c r="G74" s="1887"/>
      <c r="H74" s="1887"/>
      <c r="I74" s="1887"/>
      <c r="J74" s="1887"/>
      <c r="K74" s="1887"/>
      <c r="L74" s="1887"/>
      <c r="M74" s="1887"/>
      <c r="N74" s="1887"/>
      <c r="O74" s="1887"/>
      <c r="P74" s="1887"/>
      <c r="Q74" s="1887"/>
      <c r="R74" s="1887"/>
      <c r="S74" s="1887"/>
      <c r="T74" s="1887"/>
      <c r="U74" s="1887"/>
      <c r="V74" s="1917"/>
      <c r="W74" s="4970"/>
    </row>
    <row r="75" spans="1:23" ht="15" customHeight="1">
      <c r="A75" s="4967"/>
      <c r="B75" s="4967"/>
      <c r="C75" s="1923"/>
      <c r="D75" s="1886"/>
      <c r="E75" s="1886"/>
      <c r="F75" s="1887"/>
      <c r="G75" s="1887"/>
      <c r="H75" s="1887"/>
      <c r="I75" s="1887"/>
      <c r="J75" s="1887"/>
      <c r="K75" s="1887"/>
      <c r="L75" s="1887"/>
      <c r="M75" s="1887"/>
      <c r="N75" s="1887"/>
      <c r="O75" s="1887"/>
      <c r="P75" s="1887"/>
      <c r="Q75" s="1887"/>
      <c r="R75" s="1887"/>
      <c r="S75" s="1887"/>
      <c r="T75" s="1887"/>
      <c r="U75" s="1887"/>
      <c r="V75" s="1917"/>
      <c r="W75" s="4970"/>
    </row>
    <row r="76" spans="1:23" ht="15" customHeight="1">
      <c r="A76" s="4968"/>
      <c r="B76" s="4968"/>
      <c r="C76" s="1924"/>
      <c r="D76" s="1901"/>
      <c r="E76" s="1901"/>
      <c r="F76" s="1902"/>
      <c r="G76" s="1902"/>
      <c r="H76" s="1902"/>
      <c r="I76" s="1902"/>
      <c r="J76" s="1902"/>
      <c r="K76" s="1902"/>
      <c r="L76" s="1902"/>
      <c r="M76" s="1902"/>
      <c r="N76" s="1902"/>
      <c r="O76" s="1902"/>
      <c r="P76" s="1902"/>
      <c r="Q76" s="1902"/>
      <c r="R76" s="1902"/>
      <c r="S76" s="1902"/>
      <c r="T76" s="1902"/>
      <c r="U76" s="1902"/>
      <c r="V76" s="1918"/>
      <c r="W76" s="4971"/>
    </row>
    <row r="77" spans="1:23" ht="15" customHeight="1">
      <c r="A77" s="4966">
        <v>14</v>
      </c>
      <c r="B77" s="4966" t="str">
        <f>'kt1'!B27</f>
        <v>Nang Lon</v>
      </c>
      <c r="C77" s="1922"/>
      <c r="D77" s="1903"/>
      <c r="E77" s="1903"/>
      <c r="F77" s="1904"/>
      <c r="G77" s="1904"/>
      <c r="H77" s="1904"/>
      <c r="I77" s="1904"/>
      <c r="J77" s="1904"/>
      <c r="K77" s="1904"/>
      <c r="L77" s="1904"/>
      <c r="M77" s="1904"/>
      <c r="N77" s="1904"/>
      <c r="O77" s="1904"/>
      <c r="P77" s="1904"/>
      <c r="Q77" s="1904"/>
      <c r="R77" s="1904"/>
      <c r="S77" s="1904"/>
      <c r="T77" s="1904"/>
      <c r="U77" s="1904"/>
      <c r="V77" s="1916"/>
      <c r="W77" s="4969"/>
    </row>
    <row r="78" spans="1:23" ht="15" customHeight="1">
      <c r="A78" s="4967"/>
      <c r="B78" s="4967"/>
      <c r="C78" s="1923"/>
      <c r="D78" s="1886"/>
      <c r="E78" s="1886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917"/>
      <c r="W78" s="4970"/>
    </row>
    <row r="79" spans="1:23" ht="15" customHeight="1">
      <c r="A79" s="4967"/>
      <c r="B79" s="4967"/>
      <c r="C79" s="1923"/>
      <c r="D79" s="1886"/>
      <c r="E79" s="1886"/>
      <c r="F79" s="1887"/>
      <c r="G79" s="1887"/>
      <c r="H79" s="1887"/>
      <c r="I79" s="1887"/>
      <c r="J79" s="1887"/>
      <c r="K79" s="1887"/>
      <c r="L79" s="1887"/>
      <c r="M79" s="1887"/>
      <c r="N79" s="1887"/>
      <c r="O79" s="1887"/>
      <c r="P79" s="1887"/>
      <c r="Q79" s="1887"/>
      <c r="R79" s="1887"/>
      <c r="S79" s="1887"/>
      <c r="T79" s="1887"/>
      <c r="U79" s="1887"/>
      <c r="V79" s="1917"/>
      <c r="W79" s="4970"/>
    </row>
    <row r="80" spans="1:23" ht="15" customHeight="1">
      <c r="A80" s="4967"/>
      <c r="B80" s="4967"/>
      <c r="C80" s="1923"/>
      <c r="D80" s="1886"/>
      <c r="E80" s="1886"/>
      <c r="F80" s="1887"/>
      <c r="G80" s="1887"/>
      <c r="H80" s="1887"/>
      <c r="I80" s="1887"/>
      <c r="J80" s="1887"/>
      <c r="K80" s="1887"/>
      <c r="L80" s="1887"/>
      <c r="M80" s="1887"/>
      <c r="N80" s="1887"/>
      <c r="O80" s="1887"/>
      <c r="P80" s="1887"/>
      <c r="Q80" s="1887"/>
      <c r="R80" s="1887"/>
      <c r="S80" s="1887"/>
      <c r="T80" s="1887"/>
      <c r="U80" s="1887"/>
      <c r="V80" s="1917"/>
      <c r="W80" s="4970"/>
    </row>
    <row r="81" spans="1:23" ht="15" customHeight="1">
      <c r="A81" s="4968"/>
      <c r="B81" s="4968"/>
      <c r="C81" s="1924"/>
      <c r="D81" s="1901"/>
      <c r="E81" s="1901"/>
      <c r="F81" s="1902"/>
      <c r="G81" s="1902"/>
      <c r="H81" s="1902"/>
      <c r="I81" s="1902"/>
      <c r="J81" s="1902"/>
      <c r="K81" s="1902"/>
      <c r="L81" s="1902"/>
      <c r="M81" s="1902"/>
      <c r="N81" s="1902"/>
      <c r="O81" s="1902"/>
      <c r="P81" s="1902"/>
      <c r="Q81" s="1902"/>
      <c r="R81" s="1902"/>
      <c r="S81" s="1902"/>
      <c r="T81" s="1902"/>
      <c r="U81" s="1902"/>
      <c r="V81" s="1918"/>
      <c r="W81" s="4971"/>
    </row>
    <row r="82" spans="1:23" ht="15" customHeight="1">
      <c r="A82" s="4966">
        <v>15</v>
      </c>
      <c r="B82" s="4966" t="str">
        <f>'kt1'!B28</f>
        <v>Thảo Pheng</v>
      </c>
      <c r="C82" s="1922"/>
      <c r="D82" s="1903"/>
      <c r="E82" s="1903"/>
      <c r="F82" s="1904"/>
      <c r="G82" s="1904"/>
      <c r="H82" s="1904"/>
      <c r="I82" s="1904"/>
      <c r="J82" s="1904"/>
      <c r="K82" s="1904"/>
      <c r="L82" s="1904"/>
      <c r="M82" s="1904"/>
      <c r="N82" s="1904"/>
      <c r="O82" s="1904"/>
      <c r="P82" s="1904"/>
      <c r="Q82" s="1904"/>
      <c r="R82" s="1904"/>
      <c r="S82" s="1904"/>
      <c r="T82" s="1904"/>
      <c r="U82" s="1904"/>
      <c r="V82" s="1916"/>
      <c r="W82" s="4969"/>
    </row>
    <row r="83" spans="1:23" ht="15" customHeight="1">
      <c r="A83" s="4967"/>
      <c r="B83" s="4967"/>
      <c r="C83" s="1923"/>
      <c r="D83" s="1886"/>
      <c r="E83" s="1886"/>
      <c r="F83" s="1887"/>
      <c r="G83" s="1887"/>
      <c r="H83" s="1887"/>
      <c r="I83" s="1887"/>
      <c r="J83" s="1887"/>
      <c r="K83" s="1887"/>
      <c r="L83" s="1887"/>
      <c r="M83" s="1887"/>
      <c r="N83" s="1887"/>
      <c r="O83" s="1887"/>
      <c r="P83" s="1887"/>
      <c r="Q83" s="1887"/>
      <c r="R83" s="1887"/>
      <c r="S83" s="1887"/>
      <c r="T83" s="1887"/>
      <c r="U83" s="1887"/>
      <c r="V83" s="1917"/>
      <c r="W83" s="4970"/>
    </row>
    <row r="84" spans="1:23" ht="15" customHeight="1">
      <c r="A84" s="4967"/>
      <c r="B84" s="4967"/>
      <c r="C84" s="1923"/>
      <c r="D84" s="1886"/>
      <c r="E84" s="1886"/>
      <c r="F84" s="1887"/>
      <c r="G84" s="1887"/>
      <c r="H84" s="1887"/>
      <c r="I84" s="1887"/>
      <c r="J84" s="1887"/>
      <c r="K84" s="1887"/>
      <c r="L84" s="1887"/>
      <c r="M84" s="1887"/>
      <c r="N84" s="1887"/>
      <c r="O84" s="1887"/>
      <c r="P84" s="1887"/>
      <c r="Q84" s="1887"/>
      <c r="R84" s="1887"/>
      <c r="S84" s="1887"/>
      <c r="T84" s="1887"/>
      <c r="U84" s="1887"/>
      <c r="V84" s="1917"/>
      <c r="W84" s="4970"/>
    </row>
    <row r="85" spans="1:23" ht="15" customHeight="1">
      <c r="A85" s="4967"/>
      <c r="B85" s="4967"/>
      <c r="C85" s="1923"/>
      <c r="D85" s="1886"/>
      <c r="E85" s="1886"/>
      <c r="F85" s="1887"/>
      <c r="G85" s="1887"/>
      <c r="H85" s="1887"/>
      <c r="I85" s="1887"/>
      <c r="J85" s="1887"/>
      <c r="K85" s="1887"/>
      <c r="L85" s="1887"/>
      <c r="M85" s="1887"/>
      <c r="N85" s="1887"/>
      <c r="O85" s="1887"/>
      <c r="P85" s="1887"/>
      <c r="Q85" s="1887"/>
      <c r="R85" s="1887"/>
      <c r="S85" s="1887"/>
      <c r="T85" s="1887"/>
      <c r="U85" s="1887"/>
      <c r="V85" s="1917"/>
      <c r="W85" s="4970"/>
    </row>
    <row r="86" spans="1:23" ht="15" customHeight="1">
      <c r="A86" s="4968"/>
      <c r="B86" s="4968"/>
      <c r="C86" s="1924"/>
      <c r="D86" s="1901"/>
      <c r="E86" s="1901"/>
      <c r="F86" s="1902"/>
      <c r="G86" s="1902"/>
      <c r="H86" s="1902"/>
      <c r="I86" s="1902"/>
      <c r="J86" s="1902"/>
      <c r="K86" s="1902"/>
      <c r="L86" s="1902"/>
      <c r="M86" s="1902"/>
      <c r="N86" s="1902"/>
      <c r="O86" s="1902"/>
      <c r="P86" s="1902"/>
      <c r="Q86" s="1902"/>
      <c r="R86" s="1902"/>
      <c r="S86" s="1902"/>
      <c r="T86" s="1902"/>
      <c r="U86" s="1902"/>
      <c r="V86" s="1918"/>
      <c r="W86" s="4971"/>
    </row>
    <row r="87" spans="1:23" ht="15" customHeight="1">
      <c r="A87" s="4966">
        <v>16</v>
      </c>
      <c r="B87" s="4966" t="str">
        <f>'kt1'!B29</f>
        <v>Thảo kok</v>
      </c>
      <c r="C87" s="1922"/>
      <c r="D87" s="1903"/>
      <c r="E87" s="1903"/>
      <c r="F87" s="1904"/>
      <c r="G87" s="1904"/>
      <c r="H87" s="1904"/>
      <c r="I87" s="1904"/>
      <c r="J87" s="1904"/>
      <c r="K87" s="1904"/>
      <c r="L87" s="1904"/>
      <c r="M87" s="1904"/>
      <c r="N87" s="1904"/>
      <c r="O87" s="1904"/>
      <c r="P87" s="1904"/>
      <c r="Q87" s="1904"/>
      <c r="R87" s="1904"/>
      <c r="S87" s="1904"/>
      <c r="T87" s="1904"/>
      <c r="U87" s="1904"/>
      <c r="V87" s="1916"/>
      <c r="W87" s="4969"/>
    </row>
    <row r="88" spans="1:23" ht="15" customHeight="1">
      <c r="A88" s="4967"/>
      <c r="B88" s="4967"/>
      <c r="C88" s="1923"/>
      <c r="D88" s="1886"/>
      <c r="E88" s="1886"/>
      <c r="F88" s="1887"/>
      <c r="G88" s="1887"/>
      <c r="H88" s="1887"/>
      <c r="I88" s="1887"/>
      <c r="J88" s="1887"/>
      <c r="K88" s="1887"/>
      <c r="L88" s="1887"/>
      <c r="M88" s="1887"/>
      <c r="N88" s="1887"/>
      <c r="O88" s="1887"/>
      <c r="P88" s="1887"/>
      <c r="Q88" s="1887"/>
      <c r="R88" s="1887"/>
      <c r="S88" s="1887"/>
      <c r="T88" s="1887"/>
      <c r="U88" s="1887"/>
      <c r="V88" s="1917"/>
      <c r="W88" s="4970"/>
    </row>
    <row r="89" spans="1:23" ht="15" customHeight="1">
      <c r="A89" s="4967"/>
      <c r="B89" s="4967"/>
      <c r="C89" s="1923"/>
      <c r="D89" s="1886"/>
      <c r="E89" s="1886"/>
      <c r="F89" s="1887"/>
      <c r="G89" s="1887"/>
      <c r="H89" s="1887"/>
      <c r="I89" s="1887"/>
      <c r="J89" s="1887"/>
      <c r="K89" s="1887"/>
      <c r="L89" s="1887"/>
      <c r="M89" s="1887"/>
      <c r="N89" s="1887"/>
      <c r="O89" s="1887"/>
      <c r="P89" s="1887"/>
      <c r="Q89" s="1887"/>
      <c r="R89" s="1887"/>
      <c r="S89" s="1887"/>
      <c r="T89" s="1887"/>
      <c r="U89" s="1887"/>
      <c r="V89" s="1917"/>
      <c r="W89" s="4970"/>
    </row>
    <row r="90" spans="1:23" ht="15" customHeight="1">
      <c r="A90" s="4967"/>
      <c r="B90" s="4967"/>
      <c r="C90" s="1923"/>
      <c r="D90" s="1886"/>
      <c r="E90" s="1886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917"/>
      <c r="W90" s="4970"/>
    </row>
    <row r="91" spans="1:23" ht="15" customHeight="1">
      <c r="A91" s="4968"/>
      <c r="B91" s="4968"/>
      <c r="C91" s="1924"/>
      <c r="D91" s="1901"/>
      <c r="E91" s="1901"/>
      <c r="F91" s="1902"/>
      <c r="G91" s="1902"/>
      <c r="H91" s="1902"/>
      <c r="I91" s="1902"/>
      <c r="J91" s="1902"/>
      <c r="K91" s="1902"/>
      <c r="L91" s="1902"/>
      <c r="M91" s="1902"/>
      <c r="N91" s="1902"/>
      <c r="O91" s="1902"/>
      <c r="P91" s="1902"/>
      <c r="Q91" s="1902"/>
      <c r="R91" s="1902"/>
      <c r="S91" s="1902"/>
      <c r="T91" s="1902"/>
      <c r="U91" s="1902"/>
      <c r="V91" s="1918"/>
      <c r="W91" s="4971"/>
    </row>
    <row r="92" spans="1:23" ht="15" customHeight="1">
      <c r="A92" s="4966">
        <v>17</v>
      </c>
      <c r="B92" s="4966" t="str">
        <f>'kt1'!B30</f>
        <v>Nàng Sút Chay</v>
      </c>
      <c r="C92" s="1922"/>
      <c r="D92" s="1903"/>
      <c r="E92" s="1903"/>
      <c r="F92" s="1904"/>
      <c r="G92" s="1904"/>
      <c r="H92" s="1904"/>
      <c r="I92" s="1904"/>
      <c r="J92" s="1904"/>
      <c r="K92" s="1904"/>
      <c r="L92" s="1904"/>
      <c r="M92" s="1904"/>
      <c r="N92" s="1904"/>
      <c r="O92" s="1904"/>
      <c r="P92" s="1904"/>
      <c r="Q92" s="1904"/>
      <c r="R92" s="1904"/>
      <c r="S92" s="1904"/>
      <c r="T92" s="1904"/>
      <c r="U92" s="1904"/>
      <c r="V92" s="1916"/>
      <c r="W92" s="4969"/>
    </row>
    <row r="93" spans="1:23" ht="15" customHeight="1">
      <c r="A93" s="4967"/>
      <c r="B93" s="4967"/>
      <c r="C93" s="1923"/>
      <c r="D93" s="1886"/>
      <c r="E93" s="1886"/>
      <c r="F93" s="1887"/>
      <c r="G93" s="1887"/>
      <c r="H93" s="1887"/>
      <c r="I93" s="1887"/>
      <c r="J93" s="1887"/>
      <c r="K93" s="1887"/>
      <c r="L93" s="1887"/>
      <c r="M93" s="1887"/>
      <c r="N93" s="1887"/>
      <c r="O93" s="1887"/>
      <c r="P93" s="1887"/>
      <c r="Q93" s="1887"/>
      <c r="R93" s="1887"/>
      <c r="S93" s="1887"/>
      <c r="T93" s="1887"/>
      <c r="U93" s="1887"/>
      <c r="V93" s="1917"/>
      <c r="W93" s="4970"/>
    </row>
    <row r="94" spans="1:23" ht="15" customHeight="1">
      <c r="A94" s="4967"/>
      <c r="B94" s="4967"/>
      <c r="C94" s="1923"/>
      <c r="D94" s="1886"/>
      <c r="E94" s="1886"/>
      <c r="F94" s="1887"/>
      <c r="G94" s="1887"/>
      <c r="H94" s="1887"/>
      <c r="I94" s="1887"/>
      <c r="J94" s="1887"/>
      <c r="K94" s="1887"/>
      <c r="L94" s="1887"/>
      <c r="M94" s="1887"/>
      <c r="N94" s="1887"/>
      <c r="O94" s="1887"/>
      <c r="P94" s="1887"/>
      <c r="Q94" s="1887"/>
      <c r="R94" s="1887"/>
      <c r="S94" s="1887"/>
      <c r="T94" s="1887"/>
      <c r="U94" s="1887"/>
      <c r="V94" s="1917"/>
      <c r="W94" s="4970"/>
    </row>
    <row r="95" spans="1:23" ht="15" customHeight="1">
      <c r="A95" s="4967"/>
      <c r="B95" s="4967"/>
      <c r="C95" s="1923"/>
      <c r="D95" s="1886"/>
      <c r="E95" s="1886"/>
      <c r="F95" s="1887"/>
      <c r="G95" s="1887"/>
      <c r="H95" s="1887"/>
      <c r="I95" s="1887"/>
      <c r="J95" s="1887"/>
      <c r="K95" s="1887"/>
      <c r="L95" s="1887"/>
      <c r="M95" s="1887"/>
      <c r="N95" s="1887"/>
      <c r="O95" s="1887"/>
      <c r="P95" s="1887"/>
      <c r="Q95" s="1887"/>
      <c r="R95" s="1887"/>
      <c r="S95" s="1887"/>
      <c r="T95" s="1887"/>
      <c r="U95" s="1887"/>
      <c r="V95" s="1917"/>
      <c r="W95" s="4970"/>
    </row>
    <row r="96" spans="1:23" ht="15" customHeight="1">
      <c r="A96" s="4968"/>
      <c r="B96" s="4968"/>
      <c r="C96" s="1924"/>
      <c r="D96" s="1901"/>
      <c r="E96" s="1901"/>
      <c r="F96" s="1902"/>
      <c r="G96" s="1902"/>
      <c r="H96" s="1902"/>
      <c r="I96" s="1902"/>
      <c r="J96" s="1902"/>
      <c r="K96" s="1902"/>
      <c r="L96" s="1902"/>
      <c r="M96" s="1902"/>
      <c r="N96" s="1902"/>
      <c r="O96" s="1902"/>
      <c r="P96" s="1902"/>
      <c r="Q96" s="1902"/>
      <c r="R96" s="1902"/>
      <c r="S96" s="1902"/>
      <c r="T96" s="1902"/>
      <c r="U96" s="1902"/>
      <c r="V96" s="1918"/>
      <c r="W96" s="4971"/>
    </row>
    <row r="97" spans="1:23" ht="18.75" customHeight="1">
      <c r="A97" s="4966">
        <v>18</v>
      </c>
      <c r="B97" s="4966" t="str">
        <f>'kt1'!B31</f>
        <v>Thảo Khăm Phay</v>
      </c>
      <c r="C97" s="1922"/>
      <c r="D97" s="1903"/>
      <c r="E97" s="1903"/>
      <c r="F97" s="1904"/>
      <c r="G97" s="1904"/>
      <c r="H97" s="1904"/>
      <c r="I97" s="1904"/>
      <c r="J97" s="1904"/>
      <c r="K97" s="1904"/>
      <c r="L97" s="1904"/>
      <c r="M97" s="1904"/>
      <c r="N97" s="1904"/>
      <c r="O97" s="1904"/>
      <c r="P97" s="1904"/>
      <c r="Q97" s="1904"/>
      <c r="R97" s="1904"/>
      <c r="S97" s="1904"/>
      <c r="T97" s="1904"/>
      <c r="U97" s="1904"/>
      <c r="V97" s="1916"/>
      <c r="W97" s="4969"/>
    </row>
    <row r="98" spans="1:23" ht="18.75" customHeight="1">
      <c r="A98" s="4967"/>
      <c r="B98" s="4967"/>
      <c r="C98" s="1923"/>
      <c r="D98" s="1886"/>
      <c r="E98" s="1886"/>
      <c r="F98" s="1887"/>
      <c r="G98" s="1887"/>
      <c r="H98" s="1887"/>
      <c r="I98" s="1887"/>
      <c r="J98" s="1887"/>
      <c r="K98" s="1887"/>
      <c r="L98" s="1887"/>
      <c r="M98" s="1887"/>
      <c r="N98" s="1887"/>
      <c r="O98" s="1887"/>
      <c r="P98" s="1887"/>
      <c r="Q98" s="1887"/>
      <c r="R98" s="1887"/>
      <c r="S98" s="1887"/>
      <c r="T98" s="1887"/>
      <c r="U98" s="1887"/>
      <c r="V98" s="1917"/>
      <c r="W98" s="4970"/>
    </row>
    <row r="99" spans="1:23" ht="18.75" customHeight="1">
      <c r="A99" s="4967"/>
      <c r="B99" s="4967"/>
      <c r="C99" s="1923"/>
      <c r="D99" s="1886"/>
      <c r="E99" s="1886"/>
      <c r="F99" s="1887"/>
      <c r="G99" s="1887"/>
      <c r="H99" s="1887"/>
      <c r="I99" s="1887"/>
      <c r="J99" s="1887"/>
      <c r="K99" s="1887"/>
      <c r="L99" s="1887"/>
      <c r="M99" s="1887"/>
      <c r="N99" s="1887"/>
      <c r="O99" s="1887"/>
      <c r="P99" s="1887"/>
      <c r="Q99" s="1887"/>
      <c r="R99" s="1887"/>
      <c r="S99" s="1887"/>
      <c r="T99" s="1887"/>
      <c r="U99" s="1887"/>
      <c r="V99" s="1917"/>
      <c r="W99" s="4970"/>
    </row>
    <row r="100" spans="1:23" ht="18.75" customHeight="1">
      <c r="A100" s="4967"/>
      <c r="B100" s="4967"/>
      <c r="C100" s="1923"/>
      <c r="D100" s="1886"/>
      <c r="E100" s="1886"/>
      <c r="F100" s="1887"/>
      <c r="G100" s="1887"/>
      <c r="H100" s="1887"/>
      <c r="I100" s="1887"/>
      <c r="J100" s="1887"/>
      <c r="K100" s="1887"/>
      <c r="L100" s="1887"/>
      <c r="M100" s="1887"/>
      <c r="N100" s="1887"/>
      <c r="O100" s="1887"/>
      <c r="P100" s="1887"/>
      <c r="Q100" s="1887"/>
      <c r="R100" s="1887"/>
      <c r="S100" s="1887"/>
      <c r="T100" s="1887"/>
      <c r="U100" s="1887"/>
      <c r="V100" s="1917"/>
      <c r="W100" s="4970"/>
    </row>
    <row r="101" spans="1:23" ht="18.75" customHeight="1">
      <c r="A101" s="4968"/>
      <c r="B101" s="4968"/>
      <c r="C101" s="1924"/>
      <c r="D101" s="1901"/>
      <c r="E101" s="1901"/>
      <c r="F101" s="1902"/>
      <c r="G101" s="1902"/>
      <c r="H101" s="1902"/>
      <c r="I101" s="1902"/>
      <c r="J101" s="1902"/>
      <c r="K101" s="1902"/>
      <c r="L101" s="1902"/>
      <c r="M101" s="1902"/>
      <c r="N101" s="1902"/>
      <c r="O101" s="1902"/>
      <c r="P101" s="1902"/>
      <c r="Q101" s="1902"/>
      <c r="R101" s="1902"/>
      <c r="S101" s="1902"/>
      <c r="T101" s="1902"/>
      <c r="U101" s="1902"/>
      <c r="V101" s="1918"/>
      <c r="W101" s="4971"/>
    </row>
    <row r="102" spans="1:23" ht="18.75" customHeight="1">
      <c r="A102" s="4966">
        <v>19</v>
      </c>
      <c r="B102" s="4966" t="str">
        <f>'kt1'!B32</f>
        <v>Thảo Sớm</v>
      </c>
      <c r="C102" s="1922"/>
      <c r="D102" s="1903"/>
      <c r="E102" s="1903"/>
      <c r="F102" s="1904"/>
      <c r="G102" s="1904"/>
      <c r="H102" s="1904"/>
      <c r="I102" s="1904"/>
      <c r="J102" s="1904"/>
      <c r="K102" s="1904"/>
      <c r="L102" s="1904"/>
      <c r="M102" s="1904"/>
      <c r="N102" s="1904"/>
      <c r="O102" s="1904"/>
      <c r="P102" s="1904"/>
      <c r="Q102" s="1904"/>
      <c r="R102" s="1904"/>
      <c r="S102" s="1904"/>
      <c r="T102" s="1904"/>
      <c r="U102" s="1904"/>
      <c r="V102" s="1916"/>
      <c r="W102" s="4969"/>
    </row>
    <row r="103" spans="1:23" ht="18.75" customHeight="1">
      <c r="A103" s="4967"/>
      <c r="B103" s="4967"/>
      <c r="C103" s="1923"/>
      <c r="D103" s="1886"/>
      <c r="E103" s="1886"/>
      <c r="F103" s="1887"/>
      <c r="G103" s="1887"/>
      <c r="H103" s="1887"/>
      <c r="I103" s="1887"/>
      <c r="J103" s="1887"/>
      <c r="K103" s="1887"/>
      <c r="L103" s="1887"/>
      <c r="M103" s="1887"/>
      <c r="N103" s="1887"/>
      <c r="O103" s="1887"/>
      <c r="P103" s="1887"/>
      <c r="Q103" s="1887"/>
      <c r="R103" s="1887"/>
      <c r="S103" s="1887"/>
      <c r="T103" s="1887"/>
      <c r="U103" s="1887"/>
      <c r="V103" s="1917"/>
      <c r="W103" s="4970"/>
    </row>
    <row r="104" spans="1:23" ht="18.75" customHeight="1">
      <c r="A104" s="4967"/>
      <c r="B104" s="4967"/>
      <c r="C104" s="1923"/>
      <c r="D104" s="1886"/>
      <c r="E104" s="1886"/>
      <c r="F104" s="1887"/>
      <c r="G104" s="1887"/>
      <c r="H104" s="1887"/>
      <c r="I104" s="1887"/>
      <c r="J104" s="1887"/>
      <c r="K104" s="1887"/>
      <c r="L104" s="1887"/>
      <c r="M104" s="1887"/>
      <c r="N104" s="1887"/>
      <c r="O104" s="1887"/>
      <c r="P104" s="1887"/>
      <c r="Q104" s="1887"/>
      <c r="R104" s="1887"/>
      <c r="S104" s="1887"/>
      <c r="T104" s="1887"/>
      <c r="U104" s="1887"/>
      <c r="V104" s="1917"/>
      <c r="W104" s="4970"/>
    </row>
    <row r="105" spans="1:23" ht="18.75" customHeight="1">
      <c r="A105" s="4967"/>
      <c r="B105" s="4967"/>
      <c r="C105" s="1923"/>
      <c r="D105" s="1886"/>
      <c r="E105" s="1886"/>
      <c r="F105" s="1887"/>
      <c r="G105" s="1887"/>
      <c r="H105" s="1887"/>
      <c r="I105" s="1887"/>
      <c r="J105" s="1887"/>
      <c r="K105" s="1887"/>
      <c r="L105" s="1887"/>
      <c r="M105" s="1887"/>
      <c r="N105" s="1887"/>
      <c r="O105" s="1887"/>
      <c r="P105" s="1887"/>
      <c r="Q105" s="1887"/>
      <c r="R105" s="1887"/>
      <c r="S105" s="1887"/>
      <c r="T105" s="1887"/>
      <c r="U105" s="1887"/>
      <c r="V105" s="1917"/>
      <c r="W105" s="4970"/>
    </row>
    <row r="106" spans="1:23" ht="18.75" customHeight="1">
      <c r="A106" s="4968"/>
      <c r="B106" s="4968"/>
      <c r="C106" s="1924"/>
      <c r="D106" s="1901"/>
      <c r="E106" s="1901"/>
      <c r="F106" s="1902"/>
      <c r="G106" s="1902"/>
      <c r="H106" s="1902"/>
      <c r="I106" s="1902"/>
      <c r="J106" s="1902"/>
      <c r="K106" s="1902"/>
      <c r="L106" s="1902"/>
      <c r="M106" s="1902"/>
      <c r="N106" s="1902"/>
      <c r="O106" s="1902"/>
      <c r="P106" s="1902"/>
      <c r="Q106" s="1902"/>
      <c r="R106" s="1902"/>
      <c r="S106" s="1902"/>
      <c r="T106" s="1902"/>
      <c r="U106" s="1902"/>
      <c r="V106" s="1918"/>
      <c r="W106" s="4971"/>
    </row>
    <row r="107" spans="1:23" ht="18.75" customHeight="1">
      <c r="A107" s="4966">
        <v>20</v>
      </c>
      <c r="B107" s="4966" t="str">
        <f>'kt1'!B33</f>
        <v>Pha Xúc</v>
      </c>
      <c r="C107" s="1922"/>
      <c r="D107" s="1903"/>
      <c r="E107" s="1903"/>
      <c r="F107" s="1904"/>
      <c r="G107" s="1904"/>
      <c r="H107" s="1904"/>
      <c r="I107" s="1904"/>
      <c r="J107" s="1904"/>
      <c r="K107" s="1904"/>
      <c r="L107" s="1904"/>
      <c r="M107" s="1904"/>
      <c r="N107" s="1904"/>
      <c r="O107" s="1904"/>
      <c r="P107" s="1904"/>
      <c r="Q107" s="1904"/>
      <c r="R107" s="1904"/>
      <c r="S107" s="1904"/>
      <c r="T107" s="1904"/>
      <c r="U107" s="1904"/>
      <c r="V107" s="1916"/>
      <c r="W107" s="4969"/>
    </row>
    <row r="108" spans="1:23" ht="18.75" customHeight="1">
      <c r="A108" s="4967"/>
      <c r="B108" s="4967"/>
      <c r="C108" s="1923"/>
      <c r="D108" s="1886"/>
      <c r="E108" s="1886"/>
      <c r="F108" s="1887"/>
      <c r="G108" s="1887"/>
      <c r="H108" s="1887"/>
      <c r="I108" s="1887"/>
      <c r="J108" s="1887"/>
      <c r="K108" s="1887"/>
      <c r="L108" s="1887"/>
      <c r="M108" s="1887"/>
      <c r="N108" s="1887"/>
      <c r="O108" s="1887"/>
      <c r="P108" s="1887"/>
      <c r="Q108" s="1887"/>
      <c r="R108" s="1887"/>
      <c r="S108" s="1887"/>
      <c r="T108" s="1887"/>
      <c r="U108" s="1887"/>
      <c r="V108" s="1917"/>
      <c r="W108" s="4970"/>
    </row>
    <row r="109" spans="1:23" ht="18.75" customHeight="1">
      <c r="A109" s="4967"/>
      <c r="B109" s="4967"/>
      <c r="C109" s="1923"/>
      <c r="D109" s="1886"/>
      <c r="E109" s="1886"/>
      <c r="F109" s="1887"/>
      <c r="G109" s="1887"/>
      <c r="H109" s="1887"/>
      <c r="I109" s="1887"/>
      <c r="J109" s="1887"/>
      <c r="K109" s="1887"/>
      <c r="L109" s="1887"/>
      <c r="M109" s="1887"/>
      <c r="N109" s="1887"/>
      <c r="O109" s="1887"/>
      <c r="P109" s="1887"/>
      <c r="Q109" s="1887"/>
      <c r="R109" s="1887"/>
      <c r="S109" s="1887"/>
      <c r="T109" s="1887"/>
      <c r="U109" s="1887"/>
      <c r="V109" s="1917"/>
      <c r="W109" s="4970"/>
    </row>
    <row r="110" spans="1:23" ht="18.75" customHeight="1">
      <c r="A110" s="4967"/>
      <c r="B110" s="4967"/>
      <c r="C110" s="1923"/>
      <c r="D110" s="1886"/>
      <c r="E110" s="1886"/>
      <c r="F110" s="1887"/>
      <c r="G110" s="1887"/>
      <c r="H110" s="1887"/>
      <c r="I110" s="1887"/>
      <c r="J110" s="1887"/>
      <c r="K110" s="1887"/>
      <c r="L110" s="1887"/>
      <c r="M110" s="1887"/>
      <c r="N110" s="1887"/>
      <c r="O110" s="1887"/>
      <c r="P110" s="1887"/>
      <c r="Q110" s="1887"/>
      <c r="R110" s="1887"/>
      <c r="S110" s="1887"/>
      <c r="T110" s="1887"/>
      <c r="U110" s="1887"/>
      <c r="V110" s="1917"/>
      <c r="W110" s="4970"/>
    </row>
    <row r="111" spans="1:23" ht="18.75" customHeight="1">
      <c r="A111" s="4968"/>
      <c r="B111" s="4968"/>
      <c r="C111" s="1924"/>
      <c r="D111" s="1901"/>
      <c r="E111" s="1901"/>
      <c r="F111" s="1902"/>
      <c r="G111" s="1902"/>
      <c r="H111" s="1902"/>
      <c r="I111" s="1902"/>
      <c r="J111" s="1902"/>
      <c r="K111" s="1902"/>
      <c r="L111" s="1902"/>
      <c r="M111" s="1902"/>
      <c r="N111" s="1902"/>
      <c r="O111" s="1902"/>
      <c r="P111" s="1902"/>
      <c r="Q111" s="1902"/>
      <c r="R111" s="1902"/>
      <c r="S111" s="1902"/>
      <c r="T111" s="1902"/>
      <c r="U111" s="1902"/>
      <c r="V111" s="1918"/>
      <c r="W111" s="4971"/>
    </row>
    <row r="112" spans="1:23" ht="18.75" customHeight="1">
      <c r="A112" s="4966">
        <v>21</v>
      </c>
      <c r="B112" s="4966" t="str">
        <f>'kt1'!B34</f>
        <v>Nàng Phon</v>
      </c>
      <c r="C112" s="1922"/>
      <c r="D112" s="1903"/>
      <c r="E112" s="1903"/>
      <c r="F112" s="1904"/>
      <c r="G112" s="1904"/>
      <c r="H112" s="1904"/>
      <c r="I112" s="1904"/>
      <c r="J112" s="1904"/>
      <c r="K112" s="1904"/>
      <c r="L112" s="1904"/>
      <c r="M112" s="1904"/>
      <c r="N112" s="1904"/>
      <c r="O112" s="1904"/>
      <c r="P112" s="1904"/>
      <c r="Q112" s="1904"/>
      <c r="R112" s="1904"/>
      <c r="S112" s="1904"/>
      <c r="T112" s="1904"/>
      <c r="U112" s="1904"/>
      <c r="V112" s="1919"/>
      <c r="W112" s="4969"/>
    </row>
    <row r="113" spans="1:23" ht="18.75" customHeight="1">
      <c r="A113" s="4967"/>
      <c r="B113" s="4967"/>
      <c r="C113" s="1923"/>
      <c r="D113" s="1886"/>
      <c r="E113" s="1886"/>
      <c r="F113" s="1887"/>
      <c r="G113" s="1887"/>
      <c r="H113" s="1887"/>
      <c r="I113" s="1887"/>
      <c r="J113" s="1887"/>
      <c r="K113" s="1887"/>
      <c r="L113" s="1887"/>
      <c r="M113" s="1887"/>
      <c r="N113" s="1887"/>
      <c r="O113" s="1887"/>
      <c r="P113" s="1887"/>
      <c r="Q113" s="1887"/>
      <c r="R113" s="1887"/>
      <c r="S113" s="1887"/>
      <c r="T113" s="1887"/>
      <c r="U113" s="1887"/>
      <c r="V113" s="1920"/>
      <c r="W113" s="4970"/>
    </row>
    <row r="114" spans="1:23" ht="18.75" customHeight="1">
      <c r="A114" s="4967"/>
      <c r="B114" s="4967"/>
      <c r="C114" s="1923"/>
      <c r="D114" s="1886"/>
      <c r="E114" s="1886"/>
      <c r="F114" s="1887"/>
      <c r="G114" s="1887"/>
      <c r="H114" s="1887"/>
      <c r="I114" s="1887"/>
      <c r="J114" s="1887"/>
      <c r="K114" s="1887"/>
      <c r="L114" s="1887"/>
      <c r="M114" s="1887"/>
      <c r="N114" s="1887"/>
      <c r="O114" s="1887"/>
      <c r="P114" s="1887"/>
      <c r="Q114" s="1887"/>
      <c r="R114" s="1887"/>
      <c r="S114" s="1887"/>
      <c r="T114" s="1887"/>
      <c r="U114" s="1887"/>
      <c r="V114" s="1920"/>
      <c r="W114" s="4970"/>
    </row>
    <row r="115" spans="1:23" ht="18.75" customHeight="1">
      <c r="A115" s="4967"/>
      <c r="B115" s="4967"/>
      <c r="C115" s="1923"/>
      <c r="D115" s="1886"/>
      <c r="E115" s="1886"/>
      <c r="F115" s="1887"/>
      <c r="G115" s="1887"/>
      <c r="H115" s="1887"/>
      <c r="I115" s="1887"/>
      <c r="J115" s="1887"/>
      <c r="K115" s="1887"/>
      <c r="L115" s="1887"/>
      <c r="M115" s="1887"/>
      <c r="N115" s="1887"/>
      <c r="O115" s="1887"/>
      <c r="P115" s="1887"/>
      <c r="Q115" s="1887"/>
      <c r="R115" s="1887"/>
      <c r="S115" s="1887"/>
      <c r="T115" s="1887"/>
      <c r="U115" s="1887"/>
      <c r="V115" s="1920"/>
      <c r="W115" s="4970"/>
    </row>
    <row r="116" spans="1:23" ht="18.75" customHeight="1">
      <c r="A116" s="4968"/>
      <c r="B116" s="4968"/>
      <c r="C116" s="1924"/>
      <c r="D116" s="1901"/>
      <c r="E116" s="1901"/>
      <c r="F116" s="1902"/>
      <c r="G116" s="1902"/>
      <c r="H116" s="1902"/>
      <c r="I116" s="1902"/>
      <c r="J116" s="1902"/>
      <c r="K116" s="1902"/>
      <c r="L116" s="1902"/>
      <c r="M116" s="1902"/>
      <c r="N116" s="1902"/>
      <c r="O116" s="1902"/>
      <c r="P116" s="1902"/>
      <c r="Q116" s="1902"/>
      <c r="R116" s="1902"/>
      <c r="S116" s="1902"/>
      <c r="T116" s="1902"/>
      <c r="U116" s="1902"/>
      <c r="V116" s="1921"/>
      <c r="W116" s="4971"/>
    </row>
    <row r="117" spans="1:23" ht="18" customHeight="1">
      <c r="A117" s="4966">
        <v>22</v>
      </c>
      <c r="B117" s="4966" t="str">
        <f>'kt1'!B35</f>
        <v>Thảo Chăn</v>
      </c>
      <c r="C117" s="1922"/>
      <c r="D117" s="1903"/>
      <c r="E117" s="1903"/>
      <c r="F117" s="1904"/>
      <c r="G117" s="1904"/>
      <c r="H117" s="1904"/>
      <c r="I117" s="1904"/>
      <c r="J117" s="1904"/>
      <c r="K117" s="1904"/>
      <c r="L117" s="1904"/>
      <c r="M117" s="1904"/>
      <c r="N117" s="1904"/>
      <c r="O117" s="1904"/>
      <c r="P117" s="1904"/>
      <c r="Q117" s="1904"/>
      <c r="R117" s="1904"/>
      <c r="S117" s="1904"/>
      <c r="T117" s="1904"/>
      <c r="U117" s="1904"/>
      <c r="V117" s="1916"/>
      <c r="W117" s="4969"/>
    </row>
    <row r="118" spans="1:23" ht="18" customHeight="1">
      <c r="A118" s="4967"/>
      <c r="B118" s="4967"/>
      <c r="C118" s="1923"/>
      <c r="D118" s="1886"/>
      <c r="E118" s="1886"/>
      <c r="F118" s="1887"/>
      <c r="G118" s="1887"/>
      <c r="H118" s="1887"/>
      <c r="I118" s="1887"/>
      <c r="J118" s="1887"/>
      <c r="K118" s="1887"/>
      <c r="L118" s="1887"/>
      <c r="M118" s="1887"/>
      <c r="N118" s="1887"/>
      <c r="O118" s="1887"/>
      <c r="P118" s="1887"/>
      <c r="Q118" s="1887"/>
      <c r="R118" s="1887"/>
      <c r="S118" s="1887"/>
      <c r="T118" s="1887"/>
      <c r="U118" s="1887"/>
      <c r="V118" s="1917"/>
      <c r="W118" s="4970"/>
    </row>
    <row r="119" spans="1:23" ht="18" customHeight="1">
      <c r="A119" s="4967"/>
      <c r="B119" s="4967"/>
      <c r="C119" s="1923"/>
      <c r="D119" s="1886"/>
      <c r="E119" s="1886"/>
      <c r="F119" s="1887"/>
      <c r="G119" s="1887"/>
      <c r="H119" s="1887"/>
      <c r="I119" s="1887"/>
      <c r="J119" s="1887"/>
      <c r="K119" s="1887"/>
      <c r="L119" s="1887"/>
      <c r="M119" s="1887"/>
      <c r="N119" s="1887"/>
      <c r="O119" s="1887"/>
      <c r="P119" s="1887"/>
      <c r="Q119" s="1887"/>
      <c r="R119" s="1887"/>
      <c r="S119" s="1887"/>
      <c r="T119" s="1887"/>
      <c r="U119" s="1887"/>
      <c r="V119" s="1917"/>
      <c r="W119" s="4970"/>
    </row>
    <row r="120" spans="1:23" ht="18" customHeight="1">
      <c r="A120" s="4967"/>
      <c r="B120" s="4967"/>
      <c r="C120" s="1923"/>
      <c r="D120" s="1886"/>
      <c r="E120" s="1886"/>
      <c r="F120" s="1887"/>
      <c r="G120" s="1887"/>
      <c r="H120" s="1887"/>
      <c r="I120" s="1887"/>
      <c r="J120" s="1887"/>
      <c r="K120" s="1887"/>
      <c r="L120" s="1887"/>
      <c r="M120" s="1887"/>
      <c r="N120" s="1887"/>
      <c r="O120" s="1887"/>
      <c r="P120" s="1887"/>
      <c r="Q120" s="1887"/>
      <c r="R120" s="1887"/>
      <c r="S120" s="1887"/>
      <c r="T120" s="1887"/>
      <c r="U120" s="1887"/>
      <c r="V120" s="1917"/>
      <c r="W120" s="4970"/>
    </row>
    <row r="121" spans="1:23" ht="18" customHeight="1">
      <c r="A121" s="4968"/>
      <c r="B121" s="4968"/>
      <c r="C121" s="1924"/>
      <c r="D121" s="1901"/>
      <c r="E121" s="1901"/>
      <c r="F121" s="1902"/>
      <c r="G121" s="1902"/>
      <c r="H121" s="1902"/>
      <c r="I121" s="1902"/>
      <c r="J121" s="1902"/>
      <c r="K121" s="1902"/>
      <c r="L121" s="1902"/>
      <c r="M121" s="1902"/>
      <c r="N121" s="1902"/>
      <c r="O121" s="1902"/>
      <c r="P121" s="1902"/>
      <c r="Q121" s="1902"/>
      <c r="R121" s="1902"/>
      <c r="S121" s="1902"/>
      <c r="T121" s="1902"/>
      <c r="U121" s="1902"/>
      <c r="V121" s="1918"/>
      <c r="W121" s="4971"/>
    </row>
    <row r="122" spans="1:23" ht="18" customHeight="1">
      <c r="A122" s="4966">
        <v>23</v>
      </c>
      <c r="B122" s="4966" t="str">
        <f>'kt1'!B36</f>
        <v>Thong La</v>
      </c>
      <c r="C122" s="1922"/>
      <c r="D122" s="1903"/>
      <c r="E122" s="1903"/>
      <c r="F122" s="1904"/>
      <c r="G122" s="1904"/>
      <c r="H122" s="1904"/>
      <c r="I122" s="1904"/>
      <c r="J122" s="1904"/>
      <c r="K122" s="1904"/>
      <c r="L122" s="1904"/>
      <c r="M122" s="1904"/>
      <c r="N122" s="1904"/>
      <c r="O122" s="1904"/>
      <c r="P122" s="1904"/>
      <c r="Q122" s="1904"/>
      <c r="R122" s="1904"/>
      <c r="S122" s="1904"/>
      <c r="T122" s="1904"/>
      <c r="U122" s="1904"/>
      <c r="V122" s="1916"/>
      <c r="W122" s="4969"/>
    </row>
    <row r="123" spans="1:23" ht="18" customHeight="1">
      <c r="A123" s="4967"/>
      <c r="B123" s="4967"/>
      <c r="C123" s="1923"/>
      <c r="D123" s="1886"/>
      <c r="E123" s="1886"/>
      <c r="F123" s="1887"/>
      <c r="G123" s="1887"/>
      <c r="H123" s="1887"/>
      <c r="I123" s="1887"/>
      <c r="J123" s="1887"/>
      <c r="K123" s="1887"/>
      <c r="L123" s="1887"/>
      <c r="M123" s="1887"/>
      <c r="N123" s="1887"/>
      <c r="O123" s="1887"/>
      <c r="P123" s="1887"/>
      <c r="Q123" s="1887"/>
      <c r="R123" s="1887"/>
      <c r="S123" s="1887"/>
      <c r="T123" s="1887"/>
      <c r="U123" s="1887"/>
      <c r="V123" s="1917"/>
      <c r="W123" s="4970"/>
    </row>
    <row r="124" spans="1:23" ht="18" customHeight="1">
      <c r="A124" s="4967"/>
      <c r="B124" s="4967"/>
      <c r="C124" s="1923"/>
      <c r="D124" s="1886"/>
      <c r="E124" s="1886"/>
      <c r="F124" s="1887"/>
      <c r="G124" s="1887"/>
      <c r="H124" s="1887"/>
      <c r="I124" s="1887"/>
      <c r="J124" s="1887"/>
      <c r="K124" s="1887"/>
      <c r="L124" s="1887"/>
      <c r="M124" s="1887"/>
      <c r="N124" s="1887"/>
      <c r="O124" s="1887"/>
      <c r="P124" s="1887"/>
      <c r="Q124" s="1887"/>
      <c r="R124" s="1887"/>
      <c r="S124" s="1887"/>
      <c r="T124" s="1887"/>
      <c r="U124" s="1887"/>
      <c r="V124" s="1917"/>
      <c r="W124" s="4970"/>
    </row>
    <row r="125" spans="1:23" ht="18" customHeight="1">
      <c r="A125" s="4967"/>
      <c r="B125" s="4967"/>
      <c r="C125" s="1923"/>
      <c r="D125" s="1886"/>
      <c r="E125" s="1886"/>
      <c r="F125" s="1887"/>
      <c r="G125" s="1887"/>
      <c r="H125" s="1887"/>
      <c r="I125" s="1887"/>
      <c r="J125" s="1887"/>
      <c r="K125" s="1887"/>
      <c r="L125" s="1887"/>
      <c r="M125" s="1887"/>
      <c r="N125" s="1887"/>
      <c r="O125" s="1887"/>
      <c r="P125" s="1887"/>
      <c r="Q125" s="1887"/>
      <c r="R125" s="1887"/>
      <c r="S125" s="1887"/>
      <c r="T125" s="1887"/>
      <c r="U125" s="1887"/>
      <c r="V125" s="1917"/>
      <c r="W125" s="4970"/>
    </row>
    <row r="126" spans="1:23" ht="18" customHeight="1">
      <c r="A126" s="4968"/>
      <c r="B126" s="4968"/>
      <c r="C126" s="1924"/>
      <c r="D126" s="1901"/>
      <c r="E126" s="1901"/>
      <c r="F126" s="1902"/>
      <c r="G126" s="1902"/>
      <c r="H126" s="1902"/>
      <c r="I126" s="1902"/>
      <c r="J126" s="1902"/>
      <c r="K126" s="1902"/>
      <c r="L126" s="1902"/>
      <c r="M126" s="1902"/>
      <c r="N126" s="1902"/>
      <c r="O126" s="1902"/>
      <c r="P126" s="1902"/>
      <c r="Q126" s="1902"/>
      <c r="R126" s="1902"/>
      <c r="S126" s="1902"/>
      <c r="T126" s="1902"/>
      <c r="U126" s="1902"/>
      <c r="V126" s="1918"/>
      <c r="W126" s="4971"/>
    </row>
    <row r="127" spans="1:23" ht="18" customHeight="1">
      <c r="A127" s="4966">
        <v>24</v>
      </c>
      <c r="B127" s="4966" t="str">
        <f>'kt1'!B37</f>
        <v>Thảo Cum Pha</v>
      </c>
      <c r="C127" s="1922"/>
      <c r="D127" s="1903"/>
      <c r="E127" s="1903"/>
      <c r="F127" s="1904"/>
      <c r="G127" s="1904"/>
      <c r="H127" s="1904"/>
      <c r="I127" s="1904"/>
      <c r="J127" s="1904"/>
      <c r="K127" s="1904"/>
      <c r="L127" s="1904"/>
      <c r="M127" s="1904"/>
      <c r="N127" s="1904"/>
      <c r="O127" s="1904"/>
      <c r="P127" s="1904"/>
      <c r="Q127" s="1904"/>
      <c r="R127" s="1904"/>
      <c r="S127" s="1904"/>
      <c r="T127" s="1904"/>
      <c r="U127" s="1904"/>
      <c r="V127" s="1916"/>
      <c r="W127" s="4969"/>
    </row>
    <row r="128" spans="1:23" ht="18" customHeight="1">
      <c r="A128" s="4967"/>
      <c r="B128" s="4967"/>
      <c r="C128" s="1923"/>
      <c r="D128" s="1886"/>
      <c r="E128" s="1886"/>
      <c r="F128" s="1887"/>
      <c r="G128" s="1887"/>
      <c r="H128" s="1887"/>
      <c r="I128" s="1887"/>
      <c r="J128" s="1887"/>
      <c r="K128" s="1887"/>
      <c r="L128" s="1887"/>
      <c r="M128" s="1887"/>
      <c r="N128" s="1887"/>
      <c r="O128" s="1887"/>
      <c r="P128" s="1887"/>
      <c r="Q128" s="1887"/>
      <c r="R128" s="1887"/>
      <c r="S128" s="1887"/>
      <c r="T128" s="1887"/>
      <c r="U128" s="1887"/>
      <c r="V128" s="1917"/>
      <c r="W128" s="4970"/>
    </row>
    <row r="129" spans="1:23" ht="18" customHeight="1">
      <c r="A129" s="4967"/>
      <c r="B129" s="4967"/>
      <c r="C129" s="1923"/>
      <c r="D129" s="1886"/>
      <c r="E129" s="1886"/>
      <c r="F129" s="1887"/>
      <c r="G129" s="1887"/>
      <c r="H129" s="1887"/>
      <c r="I129" s="1887"/>
      <c r="J129" s="1887"/>
      <c r="K129" s="1887"/>
      <c r="L129" s="1887"/>
      <c r="M129" s="1887"/>
      <c r="N129" s="1887"/>
      <c r="O129" s="1887"/>
      <c r="P129" s="1887"/>
      <c r="Q129" s="1887"/>
      <c r="R129" s="1887"/>
      <c r="S129" s="1887"/>
      <c r="T129" s="1887"/>
      <c r="U129" s="1887"/>
      <c r="V129" s="1917"/>
      <c r="W129" s="4970"/>
    </row>
    <row r="130" spans="1:23" ht="18" customHeight="1">
      <c r="A130" s="4967"/>
      <c r="B130" s="4967"/>
      <c r="C130" s="1923"/>
      <c r="D130" s="1886"/>
      <c r="E130" s="1886"/>
      <c r="F130" s="1887"/>
      <c r="G130" s="1887"/>
      <c r="H130" s="1887"/>
      <c r="I130" s="1887"/>
      <c r="J130" s="1887"/>
      <c r="K130" s="1887"/>
      <c r="L130" s="1887"/>
      <c r="M130" s="1887"/>
      <c r="N130" s="1887"/>
      <c r="O130" s="1887"/>
      <c r="P130" s="1887"/>
      <c r="Q130" s="1887"/>
      <c r="R130" s="1887"/>
      <c r="S130" s="1887"/>
      <c r="T130" s="1887"/>
      <c r="U130" s="1887"/>
      <c r="V130" s="1917"/>
      <c r="W130" s="4970"/>
    </row>
    <row r="131" spans="1:23" ht="18" customHeight="1">
      <c r="A131" s="4968"/>
      <c r="B131" s="4968"/>
      <c r="C131" s="1924"/>
      <c r="D131" s="1901"/>
      <c r="E131" s="1901"/>
      <c r="F131" s="1902"/>
      <c r="G131" s="1902"/>
      <c r="H131" s="1902"/>
      <c r="I131" s="1902"/>
      <c r="J131" s="1902"/>
      <c r="K131" s="1902"/>
      <c r="L131" s="1902"/>
      <c r="M131" s="1902"/>
      <c r="N131" s="1902"/>
      <c r="O131" s="1902"/>
      <c r="P131" s="1902"/>
      <c r="Q131" s="1902"/>
      <c r="R131" s="1902"/>
      <c r="S131" s="1902"/>
      <c r="T131" s="1902"/>
      <c r="U131" s="1902"/>
      <c r="V131" s="1918"/>
      <c r="W131" s="4971"/>
    </row>
    <row r="132" spans="1:23" ht="18" customHeight="1">
      <c r="A132" s="4966">
        <v>25</v>
      </c>
      <c r="B132" s="4966" t="str">
        <f>'kt1'!B38</f>
        <v>T Ô Vên</v>
      </c>
      <c r="C132" s="1922"/>
      <c r="D132" s="1903"/>
      <c r="E132" s="1903"/>
      <c r="F132" s="1904"/>
      <c r="G132" s="1904"/>
      <c r="H132" s="1904"/>
      <c r="I132" s="1904"/>
      <c r="J132" s="1904"/>
      <c r="K132" s="1904"/>
      <c r="L132" s="1904"/>
      <c r="M132" s="1904"/>
      <c r="N132" s="1904"/>
      <c r="O132" s="1904"/>
      <c r="P132" s="1904"/>
      <c r="Q132" s="1904"/>
      <c r="R132" s="1904"/>
      <c r="S132" s="1904"/>
      <c r="T132" s="1904"/>
      <c r="U132" s="1904"/>
      <c r="V132" s="1916"/>
      <c r="W132" s="4969"/>
    </row>
    <row r="133" spans="1:23" ht="18" customHeight="1">
      <c r="A133" s="4967"/>
      <c r="B133" s="4967"/>
      <c r="C133" s="1923"/>
      <c r="D133" s="1886"/>
      <c r="E133" s="1886"/>
      <c r="F133" s="1887"/>
      <c r="G133" s="1887"/>
      <c r="H133" s="1887"/>
      <c r="I133" s="1887"/>
      <c r="J133" s="1887"/>
      <c r="K133" s="1887"/>
      <c r="L133" s="1887"/>
      <c r="M133" s="1887"/>
      <c r="N133" s="1887"/>
      <c r="O133" s="1887"/>
      <c r="P133" s="1887"/>
      <c r="Q133" s="1887"/>
      <c r="R133" s="1887"/>
      <c r="S133" s="1887"/>
      <c r="T133" s="1887"/>
      <c r="U133" s="1887"/>
      <c r="V133" s="1917"/>
      <c r="W133" s="4970"/>
    </row>
    <row r="134" spans="1:23" ht="18" customHeight="1">
      <c r="A134" s="4967"/>
      <c r="B134" s="4967"/>
      <c r="C134" s="1923"/>
      <c r="D134" s="1886"/>
      <c r="E134" s="1886"/>
      <c r="F134" s="1887"/>
      <c r="G134" s="1887"/>
      <c r="H134" s="1887"/>
      <c r="I134" s="1887"/>
      <c r="J134" s="1887"/>
      <c r="K134" s="1887"/>
      <c r="L134" s="1887"/>
      <c r="M134" s="1887"/>
      <c r="N134" s="1887"/>
      <c r="O134" s="1887"/>
      <c r="P134" s="1887"/>
      <c r="Q134" s="1887"/>
      <c r="R134" s="1887"/>
      <c r="S134" s="1887"/>
      <c r="T134" s="1887"/>
      <c r="U134" s="1887"/>
      <c r="V134" s="1917"/>
      <c r="W134" s="4970"/>
    </row>
    <row r="135" spans="1:23" ht="18" customHeight="1">
      <c r="A135" s="4967"/>
      <c r="B135" s="4967"/>
      <c r="C135" s="1923"/>
      <c r="D135" s="1886"/>
      <c r="E135" s="1886"/>
      <c r="F135" s="1887"/>
      <c r="G135" s="1887"/>
      <c r="H135" s="1887"/>
      <c r="I135" s="1887"/>
      <c r="J135" s="1887"/>
      <c r="K135" s="1887"/>
      <c r="L135" s="1887"/>
      <c r="M135" s="1887"/>
      <c r="N135" s="1887"/>
      <c r="O135" s="1887"/>
      <c r="P135" s="1887"/>
      <c r="Q135" s="1887"/>
      <c r="R135" s="1887"/>
      <c r="S135" s="1887"/>
      <c r="T135" s="1887"/>
      <c r="U135" s="1887"/>
      <c r="V135" s="1917"/>
      <c r="W135" s="4970"/>
    </row>
    <row r="136" spans="1:23" ht="18" customHeight="1">
      <c r="A136" s="4968"/>
      <c r="B136" s="4968"/>
      <c r="C136" s="1924"/>
      <c r="D136" s="1901"/>
      <c r="E136" s="1901"/>
      <c r="F136" s="1902"/>
      <c r="G136" s="1902"/>
      <c r="H136" s="1902"/>
      <c r="I136" s="1902"/>
      <c r="J136" s="1902"/>
      <c r="K136" s="1902"/>
      <c r="L136" s="1902"/>
      <c r="M136" s="1902"/>
      <c r="N136" s="1902"/>
      <c r="O136" s="1902"/>
      <c r="P136" s="1902"/>
      <c r="Q136" s="1902"/>
      <c r="R136" s="1902"/>
      <c r="S136" s="1902"/>
      <c r="T136" s="1902"/>
      <c r="U136" s="1902"/>
      <c r="V136" s="1918"/>
      <c r="W136" s="4971"/>
    </row>
    <row r="137" spans="1:23" ht="21.75" customHeight="1">
      <c r="A137" s="4966">
        <v>26</v>
      </c>
      <c r="B137" s="4966" t="str">
        <f>'kt1'!B39</f>
        <v>Nàng Lam</v>
      </c>
      <c r="C137" s="1922"/>
      <c r="D137" s="1903"/>
      <c r="E137" s="1903"/>
      <c r="F137" s="1904"/>
      <c r="G137" s="1904"/>
      <c r="H137" s="1904"/>
      <c r="I137" s="1904"/>
      <c r="J137" s="1904"/>
      <c r="K137" s="1904"/>
      <c r="L137" s="1904"/>
      <c r="M137" s="1904"/>
      <c r="N137" s="1904"/>
      <c r="O137" s="1904"/>
      <c r="P137" s="1904"/>
      <c r="Q137" s="1904"/>
      <c r="R137" s="1904"/>
      <c r="S137" s="1904"/>
      <c r="T137" s="1904"/>
      <c r="U137" s="1904"/>
      <c r="V137" s="1916"/>
      <c r="W137" s="4969"/>
    </row>
    <row r="138" spans="1:23" ht="21.75" customHeight="1">
      <c r="A138" s="4967"/>
      <c r="B138" s="4967"/>
      <c r="C138" s="1923"/>
      <c r="D138" s="1886"/>
      <c r="E138" s="1886"/>
      <c r="F138" s="1887"/>
      <c r="G138" s="1887"/>
      <c r="H138" s="1887"/>
      <c r="I138" s="1887"/>
      <c r="J138" s="1887"/>
      <c r="K138" s="1887"/>
      <c r="L138" s="1887"/>
      <c r="M138" s="1887"/>
      <c r="N138" s="1887"/>
      <c r="O138" s="1887"/>
      <c r="P138" s="1887"/>
      <c r="Q138" s="1887"/>
      <c r="R138" s="1887"/>
      <c r="S138" s="1887"/>
      <c r="T138" s="1887"/>
      <c r="U138" s="1887"/>
      <c r="V138" s="1917"/>
      <c r="W138" s="4970"/>
    </row>
    <row r="139" spans="1:23" ht="21.75" customHeight="1">
      <c r="A139" s="4967"/>
      <c r="B139" s="4967"/>
      <c r="C139" s="1923"/>
      <c r="D139" s="1886"/>
      <c r="E139" s="1886"/>
      <c r="F139" s="1887"/>
      <c r="G139" s="1887"/>
      <c r="H139" s="1887"/>
      <c r="I139" s="1887"/>
      <c r="J139" s="1887"/>
      <c r="K139" s="1887"/>
      <c r="L139" s="1887"/>
      <c r="M139" s="1887"/>
      <c r="N139" s="1887"/>
      <c r="O139" s="1887"/>
      <c r="P139" s="1887"/>
      <c r="Q139" s="1887"/>
      <c r="R139" s="1887"/>
      <c r="S139" s="1887"/>
      <c r="T139" s="1887"/>
      <c r="U139" s="1887"/>
      <c r="V139" s="1917"/>
      <c r="W139" s="4970"/>
    </row>
    <row r="140" spans="1:23" ht="21.75" customHeight="1">
      <c r="A140" s="4967"/>
      <c r="B140" s="4967"/>
      <c r="C140" s="1923"/>
      <c r="D140" s="1886"/>
      <c r="E140" s="1886"/>
      <c r="F140" s="1887"/>
      <c r="G140" s="1887"/>
      <c r="H140" s="1887"/>
      <c r="I140" s="1887"/>
      <c r="J140" s="1887"/>
      <c r="K140" s="1887"/>
      <c r="L140" s="1887"/>
      <c r="M140" s="1887"/>
      <c r="N140" s="1887"/>
      <c r="O140" s="1887"/>
      <c r="P140" s="1887"/>
      <c r="Q140" s="1887"/>
      <c r="R140" s="1887"/>
      <c r="S140" s="1887"/>
      <c r="T140" s="1887"/>
      <c r="U140" s="1887"/>
      <c r="V140" s="1917"/>
      <c r="W140" s="4970"/>
    </row>
    <row r="141" spans="1:23" ht="21.75" customHeight="1">
      <c r="A141" s="4968"/>
      <c r="B141" s="4968"/>
      <c r="C141" s="1924"/>
      <c r="D141" s="1901"/>
      <c r="E141" s="1901"/>
      <c r="F141" s="1902"/>
      <c r="G141" s="1902"/>
      <c r="H141" s="1902"/>
      <c r="I141" s="1902"/>
      <c r="J141" s="1902"/>
      <c r="K141" s="1902"/>
      <c r="L141" s="1902"/>
      <c r="M141" s="1902"/>
      <c r="N141" s="1902"/>
      <c r="O141" s="1902"/>
      <c r="P141" s="1902"/>
      <c r="Q141" s="1902"/>
      <c r="R141" s="1902"/>
      <c r="S141" s="1902"/>
      <c r="T141" s="1902"/>
      <c r="U141" s="1902"/>
      <c r="V141" s="1918"/>
      <c r="W141" s="4971"/>
    </row>
    <row r="142" spans="1:23" ht="18" customHeight="1">
      <c r="A142" s="4966">
        <v>27</v>
      </c>
      <c r="B142" s="4966" t="str">
        <f>'kt1'!B40</f>
        <v>Nàng Hđao</v>
      </c>
      <c r="C142" s="1922"/>
      <c r="D142" s="1903"/>
      <c r="E142" s="1903"/>
      <c r="F142" s="1904"/>
      <c r="G142" s="1904"/>
      <c r="H142" s="1904"/>
      <c r="I142" s="1904"/>
      <c r="J142" s="1904"/>
      <c r="K142" s="1904"/>
      <c r="L142" s="1904"/>
      <c r="M142" s="1904"/>
      <c r="N142" s="1904"/>
      <c r="O142" s="1904"/>
      <c r="P142" s="1904"/>
      <c r="Q142" s="1904"/>
      <c r="R142" s="1904"/>
      <c r="S142" s="1904"/>
      <c r="T142" s="1904"/>
      <c r="U142" s="1904"/>
      <c r="V142" s="1916"/>
      <c r="W142" s="4969"/>
    </row>
    <row r="143" spans="1:23" ht="18" customHeight="1">
      <c r="A143" s="4967"/>
      <c r="B143" s="4967"/>
      <c r="C143" s="1923"/>
      <c r="D143" s="1886"/>
      <c r="E143" s="1886"/>
      <c r="F143" s="1887"/>
      <c r="G143" s="1887"/>
      <c r="H143" s="1887"/>
      <c r="I143" s="1887"/>
      <c r="J143" s="1887"/>
      <c r="K143" s="1887"/>
      <c r="L143" s="1887"/>
      <c r="M143" s="1887"/>
      <c r="N143" s="1887"/>
      <c r="O143" s="1887"/>
      <c r="P143" s="1887"/>
      <c r="Q143" s="1887"/>
      <c r="R143" s="1887"/>
      <c r="S143" s="1887"/>
      <c r="T143" s="1887"/>
      <c r="U143" s="1887"/>
      <c r="V143" s="1917"/>
      <c r="W143" s="4970"/>
    </row>
    <row r="144" spans="1:23" ht="18" customHeight="1">
      <c r="A144" s="4967"/>
      <c r="B144" s="4967"/>
      <c r="C144" s="1923"/>
      <c r="D144" s="1886"/>
      <c r="E144" s="1886"/>
      <c r="F144" s="1887"/>
      <c r="G144" s="1887"/>
      <c r="H144" s="1887"/>
      <c r="I144" s="1887"/>
      <c r="J144" s="1887"/>
      <c r="K144" s="1887"/>
      <c r="L144" s="1887"/>
      <c r="M144" s="1887"/>
      <c r="N144" s="1887"/>
      <c r="O144" s="1887"/>
      <c r="P144" s="1887"/>
      <c r="Q144" s="1887"/>
      <c r="R144" s="1887"/>
      <c r="S144" s="1887"/>
      <c r="T144" s="1887"/>
      <c r="U144" s="1887"/>
      <c r="V144" s="1917"/>
      <c r="W144" s="4970"/>
    </row>
    <row r="145" spans="1:23" ht="18" customHeight="1">
      <c r="A145" s="4967"/>
      <c r="B145" s="4967"/>
      <c r="C145" s="1923"/>
      <c r="D145" s="1886"/>
      <c r="E145" s="1886"/>
      <c r="F145" s="1887"/>
      <c r="G145" s="1887"/>
      <c r="H145" s="1887"/>
      <c r="I145" s="1887"/>
      <c r="J145" s="1887"/>
      <c r="K145" s="1887"/>
      <c r="L145" s="1887"/>
      <c r="M145" s="1887"/>
      <c r="N145" s="1887"/>
      <c r="O145" s="1887"/>
      <c r="P145" s="1887"/>
      <c r="Q145" s="1887"/>
      <c r="R145" s="1887"/>
      <c r="S145" s="1887"/>
      <c r="T145" s="1887"/>
      <c r="U145" s="1887"/>
      <c r="V145" s="1917"/>
      <c r="W145" s="4970"/>
    </row>
    <row r="146" spans="1:23" ht="18" customHeight="1">
      <c r="A146" s="4968"/>
      <c r="B146" s="4968"/>
      <c r="C146" s="1924"/>
      <c r="D146" s="1901"/>
      <c r="E146" s="1901"/>
      <c r="F146" s="1902"/>
      <c r="G146" s="1902"/>
      <c r="H146" s="1902"/>
      <c r="I146" s="1902"/>
      <c r="J146" s="1902"/>
      <c r="K146" s="1902"/>
      <c r="L146" s="1902"/>
      <c r="M146" s="1902"/>
      <c r="N146" s="1902"/>
      <c r="O146" s="1902"/>
      <c r="P146" s="1902"/>
      <c r="Q146" s="1902"/>
      <c r="R146" s="1902"/>
      <c r="S146" s="1902"/>
      <c r="T146" s="1902"/>
      <c r="U146" s="1902"/>
      <c r="V146" s="1918"/>
      <c r="W146" s="4971"/>
    </row>
    <row r="147" spans="1:23" ht="18" customHeight="1">
      <c r="A147" s="4966">
        <v>28</v>
      </c>
      <c r="B147" s="4966" t="str">
        <f>'kt1'!B41</f>
        <v>Thảo Tong</v>
      </c>
      <c r="C147" s="1922"/>
      <c r="D147" s="1903"/>
      <c r="E147" s="1903"/>
      <c r="F147" s="1904"/>
      <c r="G147" s="1904"/>
      <c r="H147" s="1904"/>
      <c r="I147" s="1904"/>
      <c r="J147" s="1904"/>
      <c r="K147" s="1904"/>
      <c r="L147" s="1904"/>
      <c r="M147" s="1904"/>
      <c r="N147" s="1904"/>
      <c r="O147" s="1904"/>
      <c r="P147" s="1904"/>
      <c r="Q147" s="1904"/>
      <c r="R147" s="1904"/>
      <c r="S147" s="1904"/>
      <c r="T147" s="1904"/>
      <c r="U147" s="1904"/>
      <c r="V147" s="1916"/>
      <c r="W147" s="4969"/>
    </row>
    <row r="148" spans="1:23" ht="18" customHeight="1">
      <c r="A148" s="4967"/>
      <c r="B148" s="4967"/>
      <c r="C148" s="1923"/>
      <c r="D148" s="1886"/>
      <c r="E148" s="1886"/>
      <c r="F148" s="1887"/>
      <c r="G148" s="1887"/>
      <c r="H148" s="1887"/>
      <c r="I148" s="1887"/>
      <c r="J148" s="1887"/>
      <c r="K148" s="1887"/>
      <c r="L148" s="1887"/>
      <c r="M148" s="1887"/>
      <c r="N148" s="1887"/>
      <c r="O148" s="1887"/>
      <c r="P148" s="1887"/>
      <c r="Q148" s="1887"/>
      <c r="R148" s="1887"/>
      <c r="S148" s="1887"/>
      <c r="T148" s="1887"/>
      <c r="U148" s="1887"/>
      <c r="V148" s="1917"/>
      <c r="W148" s="4970"/>
    </row>
    <row r="149" spans="1:23" ht="18" customHeight="1">
      <c r="A149" s="4967"/>
      <c r="B149" s="4967"/>
      <c r="C149" s="1923"/>
      <c r="D149" s="1886"/>
      <c r="E149" s="1886"/>
      <c r="F149" s="1887"/>
      <c r="G149" s="1887"/>
      <c r="H149" s="1887"/>
      <c r="I149" s="1887"/>
      <c r="J149" s="1887"/>
      <c r="K149" s="1887"/>
      <c r="L149" s="1887"/>
      <c r="M149" s="1887"/>
      <c r="N149" s="1887"/>
      <c r="O149" s="1887"/>
      <c r="P149" s="1887"/>
      <c r="Q149" s="1887"/>
      <c r="R149" s="1887"/>
      <c r="S149" s="1887"/>
      <c r="T149" s="1887"/>
      <c r="U149" s="1887"/>
      <c r="V149" s="1917"/>
      <c r="W149" s="4970"/>
    </row>
    <row r="150" spans="1:23" ht="18" customHeight="1">
      <c r="A150" s="4967"/>
      <c r="B150" s="4967"/>
      <c r="C150" s="1923"/>
      <c r="D150" s="1886"/>
      <c r="E150" s="1886"/>
      <c r="F150" s="1887"/>
      <c r="G150" s="1887"/>
      <c r="H150" s="1887"/>
      <c r="I150" s="1887"/>
      <c r="J150" s="1887"/>
      <c r="K150" s="1887"/>
      <c r="L150" s="1887"/>
      <c r="M150" s="1887"/>
      <c r="N150" s="1887"/>
      <c r="O150" s="1887"/>
      <c r="P150" s="1887"/>
      <c r="Q150" s="1887"/>
      <c r="R150" s="1887"/>
      <c r="S150" s="1887"/>
      <c r="T150" s="1887"/>
      <c r="U150" s="1887"/>
      <c r="V150" s="1917"/>
      <c r="W150" s="4970"/>
    </row>
    <row r="151" spans="1:23" ht="18" customHeight="1">
      <c r="A151" s="4968"/>
      <c r="B151" s="4968"/>
      <c r="C151" s="1924"/>
      <c r="D151" s="1901"/>
      <c r="E151" s="1901"/>
      <c r="F151" s="1902"/>
      <c r="G151" s="1902"/>
      <c r="H151" s="1902"/>
      <c r="I151" s="1902"/>
      <c r="J151" s="1902"/>
      <c r="K151" s="1902"/>
      <c r="L151" s="1902"/>
      <c r="M151" s="1902"/>
      <c r="N151" s="1902"/>
      <c r="O151" s="1902"/>
      <c r="P151" s="1902"/>
      <c r="Q151" s="1902"/>
      <c r="R151" s="1902"/>
      <c r="S151" s="1902"/>
      <c r="T151" s="1902"/>
      <c r="U151" s="1902"/>
      <c r="V151" s="1918"/>
      <c r="W151" s="4971"/>
    </row>
    <row r="152" spans="1:23" ht="17.25" customHeight="1">
      <c r="A152" s="4966">
        <v>29</v>
      </c>
      <c r="B152" s="4966" t="str">
        <f>'kt1'!B42</f>
        <v>Thảo Khốc</v>
      </c>
      <c r="C152" s="1922"/>
      <c r="D152" s="1903"/>
      <c r="E152" s="1903"/>
      <c r="F152" s="1904"/>
      <c r="G152" s="1904"/>
      <c r="H152" s="1904"/>
      <c r="I152" s="1904"/>
      <c r="J152" s="1904"/>
      <c r="K152" s="1904"/>
      <c r="L152" s="1904"/>
      <c r="M152" s="1904"/>
      <c r="N152" s="1904"/>
      <c r="O152" s="1904"/>
      <c r="P152" s="1904"/>
      <c r="Q152" s="1904"/>
      <c r="R152" s="1904"/>
      <c r="S152" s="1904"/>
      <c r="T152" s="1904"/>
      <c r="U152" s="1904"/>
      <c r="V152" s="1916"/>
      <c r="W152" s="4969"/>
    </row>
    <row r="153" spans="1:23" ht="17.25" customHeight="1">
      <c r="A153" s="4967"/>
      <c r="B153" s="4967"/>
      <c r="C153" s="1923"/>
      <c r="D153" s="1886"/>
      <c r="E153" s="1886"/>
      <c r="F153" s="1887"/>
      <c r="G153" s="1887"/>
      <c r="H153" s="1887"/>
      <c r="I153" s="1887"/>
      <c r="J153" s="1887"/>
      <c r="K153" s="1887"/>
      <c r="L153" s="1887"/>
      <c r="M153" s="1887"/>
      <c r="N153" s="1887"/>
      <c r="O153" s="1887"/>
      <c r="P153" s="1887"/>
      <c r="Q153" s="1887"/>
      <c r="R153" s="1887"/>
      <c r="S153" s="1887"/>
      <c r="T153" s="1887"/>
      <c r="U153" s="1887"/>
      <c r="V153" s="1917"/>
      <c r="W153" s="4970"/>
    </row>
    <row r="154" spans="1:23" ht="17.25" customHeight="1">
      <c r="A154" s="4967"/>
      <c r="B154" s="4967"/>
      <c r="C154" s="1923"/>
      <c r="D154" s="1886"/>
      <c r="E154" s="1886"/>
      <c r="F154" s="1887"/>
      <c r="G154" s="1887"/>
      <c r="H154" s="1887"/>
      <c r="I154" s="1887"/>
      <c r="J154" s="1887"/>
      <c r="K154" s="1887"/>
      <c r="L154" s="1887"/>
      <c r="M154" s="1887"/>
      <c r="N154" s="1887"/>
      <c r="O154" s="1887"/>
      <c r="P154" s="1887"/>
      <c r="Q154" s="1887"/>
      <c r="R154" s="1887"/>
      <c r="S154" s="1887"/>
      <c r="T154" s="1887"/>
      <c r="U154" s="1887"/>
      <c r="V154" s="1917"/>
      <c r="W154" s="4970"/>
    </row>
    <row r="155" spans="1:23" ht="17.25" customHeight="1">
      <c r="A155" s="4967"/>
      <c r="B155" s="4967"/>
      <c r="C155" s="1923"/>
      <c r="D155" s="1886"/>
      <c r="E155" s="1886"/>
      <c r="F155" s="1887"/>
      <c r="G155" s="1887"/>
      <c r="H155" s="1887"/>
      <c r="I155" s="1887"/>
      <c r="J155" s="1887"/>
      <c r="K155" s="1887"/>
      <c r="L155" s="1887"/>
      <c r="M155" s="1887"/>
      <c r="N155" s="1887"/>
      <c r="O155" s="1887"/>
      <c r="P155" s="1887"/>
      <c r="Q155" s="1887"/>
      <c r="R155" s="1887"/>
      <c r="S155" s="1887"/>
      <c r="T155" s="1887"/>
      <c r="U155" s="1887"/>
      <c r="V155" s="1917"/>
      <c r="W155" s="4970"/>
    </row>
    <row r="156" spans="1:23" ht="17.25" customHeight="1">
      <c r="A156" s="4968"/>
      <c r="B156" s="4968"/>
      <c r="C156" s="1924"/>
      <c r="D156" s="1901"/>
      <c r="E156" s="1901"/>
      <c r="F156" s="1902"/>
      <c r="G156" s="1902"/>
      <c r="H156" s="1902"/>
      <c r="I156" s="1902"/>
      <c r="J156" s="1902"/>
      <c r="K156" s="1902"/>
      <c r="L156" s="1902"/>
      <c r="M156" s="1902"/>
      <c r="N156" s="1902"/>
      <c r="O156" s="1902"/>
      <c r="P156" s="1902"/>
      <c r="Q156" s="1902"/>
      <c r="R156" s="1902"/>
      <c r="S156" s="1902"/>
      <c r="T156" s="1902"/>
      <c r="U156" s="1902"/>
      <c r="V156" s="1918"/>
      <c r="W156" s="4971"/>
    </row>
    <row r="157" spans="1:23" ht="21" hidden="1" customHeight="1">
      <c r="A157" s="4966">
        <v>30</v>
      </c>
      <c r="B157" s="4966" t="str">
        <f>'kt1'!B43</f>
        <v>Thảo Sợt</v>
      </c>
      <c r="C157" s="1922"/>
      <c r="D157" s="1903"/>
      <c r="E157" s="1903"/>
      <c r="F157" s="1904"/>
      <c r="G157" s="1904"/>
      <c r="H157" s="1904"/>
      <c r="I157" s="1904"/>
      <c r="J157" s="1904"/>
      <c r="K157" s="1904"/>
      <c r="L157" s="1904"/>
      <c r="M157" s="1904"/>
      <c r="N157" s="1904"/>
      <c r="O157" s="1904"/>
      <c r="P157" s="1904"/>
      <c r="Q157" s="1904"/>
      <c r="R157" s="1904"/>
      <c r="S157" s="1904"/>
      <c r="T157" s="1904"/>
      <c r="U157" s="1904"/>
      <c r="V157" s="1916"/>
      <c r="W157" s="4969"/>
    </row>
    <row r="158" spans="1:23" ht="21" hidden="1" customHeight="1">
      <c r="A158" s="4967"/>
      <c r="B158" s="4967"/>
      <c r="C158" s="1923"/>
      <c r="D158" s="1886"/>
      <c r="E158" s="1886"/>
      <c r="F158" s="1887"/>
      <c r="G158" s="1887"/>
      <c r="H158" s="1887"/>
      <c r="I158" s="1887"/>
      <c r="J158" s="1887"/>
      <c r="K158" s="1887"/>
      <c r="L158" s="1887"/>
      <c r="M158" s="1887"/>
      <c r="N158" s="1887"/>
      <c r="O158" s="1887"/>
      <c r="P158" s="1887"/>
      <c r="Q158" s="1887"/>
      <c r="R158" s="1887"/>
      <c r="S158" s="1887"/>
      <c r="T158" s="1887"/>
      <c r="U158" s="1887"/>
      <c r="V158" s="1917"/>
      <c r="W158" s="4970"/>
    </row>
    <row r="159" spans="1:23" ht="21" hidden="1" customHeight="1">
      <c r="A159" s="4967"/>
      <c r="B159" s="4967"/>
      <c r="C159" s="1923"/>
      <c r="D159" s="1886"/>
      <c r="E159" s="1886"/>
      <c r="F159" s="1887"/>
      <c r="G159" s="1887"/>
      <c r="H159" s="1887"/>
      <c r="I159" s="1887"/>
      <c r="J159" s="1887"/>
      <c r="K159" s="1887"/>
      <c r="L159" s="1887"/>
      <c r="M159" s="1887"/>
      <c r="N159" s="1887"/>
      <c r="O159" s="1887"/>
      <c r="P159" s="1887"/>
      <c r="Q159" s="1887"/>
      <c r="R159" s="1887"/>
      <c r="S159" s="1887"/>
      <c r="T159" s="1887"/>
      <c r="U159" s="1887"/>
      <c r="V159" s="1917"/>
      <c r="W159" s="4970"/>
    </row>
    <row r="160" spans="1:23" ht="21" hidden="1" customHeight="1">
      <c r="A160" s="4967"/>
      <c r="B160" s="4967"/>
      <c r="C160" s="1923"/>
      <c r="D160" s="1886"/>
      <c r="E160" s="1886"/>
      <c r="F160" s="1887"/>
      <c r="G160" s="1887"/>
      <c r="H160" s="1887"/>
      <c r="I160" s="1887"/>
      <c r="J160" s="1887"/>
      <c r="K160" s="1887"/>
      <c r="L160" s="1887"/>
      <c r="M160" s="1887"/>
      <c r="N160" s="1887"/>
      <c r="O160" s="1887"/>
      <c r="P160" s="1887"/>
      <c r="Q160" s="1887"/>
      <c r="R160" s="1887"/>
      <c r="S160" s="1887"/>
      <c r="T160" s="1887"/>
      <c r="U160" s="1887"/>
      <c r="V160" s="1917"/>
      <c r="W160" s="4970"/>
    </row>
    <row r="161" spans="1:23" ht="21" hidden="1" customHeight="1">
      <c r="A161" s="4968"/>
      <c r="B161" s="4968"/>
      <c r="C161" s="1924"/>
      <c r="D161" s="1901"/>
      <c r="E161" s="1901"/>
      <c r="F161" s="1902"/>
      <c r="G161" s="1902"/>
      <c r="H161" s="1902"/>
      <c r="I161" s="1902"/>
      <c r="J161" s="1902"/>
      <c r="K161" s="1902"/>
      <c r="L161" s="1902"/>
      <c r="M161" s="1902"/>
      <c r="N161" s="1902"/>
      <c r="O161" s="1902"/>
      <c r="P161" s="1902"/>
      <c r="Q161" s="1902"/>
      <c r="R161" s="1902"/>
      <c r="S161" s="1902"/>
      <c r="T161" s="1902"/>
      <c r="U161" s="1902"/>
      <c r="V161" s="1918"/>
      <c r="W161" s="4971"/>
    </row>
    <row r="162" spans="1:23" ht="23.25" customHeight="1">
      <c r="A162" s="4966">
        <v>31</v>
      </c>
      <c r="B162" s="4966" t="str">
        <f>'kt1'!B44</f>
        <v>Thảo Văn</v>
      </c>
      <c r="C162" s="1922"/>
      <c r="D162" s="1903"/>
      <c r="E162" s="1903"/>
      <c r="F162" s="1904"/>
      <c r="G162" s="1904"/>
      <c r="H162" s="1904"/>
      <c r="I162" s="1904"/>
      <c r="J162" s="1904"/>
      <c r="K162" s="1904"/>
      <c r="L162" s="1904"/>
      <c r="M162" s="1904"/>
      <c r="N162" s="1904"/>
      <c r="O162" s="1904"/>
      <c r="P162" s="1904"/>
      <c r="Q162" s="1904"/>
      <c r="R162" s="1904"/>
      <c r="S162" s="1904"/>
      <c r="T162" s="1904"/>
      <c r="U162" s="1904"/>
      <c r="V162" s="1916"/>
      <c r="W162" s="4969"/>
    </row>
    <row r="163" spans="1:23" ht="23.25" customHeight="1">
      <c r="A163" s="4967"/>
      <c r="B163" s="4967"/>
      <c r="C163" s="1923"/>
      <c r="D163" s="1886"/>
      <c r="E163" s="1886"/>
      <c r="F163" s="1887"/>
      <c r="G163" s="1887"/>
      <c r="H163" s="1887"/>
      <c r="I163" s="1887"/>
      <c r="J163" s="1887"/>
      <c r="K163" s="1887"/>
      <c r="L163" s="1887"/>
      <c r="M163" s="1887"/>
      <c r="N163" s="1887"/>
      <c r="O163" s="1887"/>
      <c r="P163" s="1887"/>
      <c r="Q163" s="1887"/>
      <c r="R163" s="1887"/>
      <c r="S163" s="1887"/>
      <c r="T163" s="1887"/>
      <c r="U163" s="1887"/>
      <c r="V163" s="1917"/>
      <c r="W163" s="4970"/>
    </row>
    <row r="164" spans="1:23" ht="23.25" customHeight="1">
      <c r="A164" s="4967"/>
      <c r="B164" s="4967"/>
      <c r="C164" s="1923"/>
      <c r="D164" s="1886"/>
      <c r="E164" s="1886"/>
      <c r="F164" s="1887"/>
      <c r="G164" s="1887"/>
      <c r="H164" s="1887"/>
      <c r="I164" s="1887"/>
      <c r="J164" s="1887"/>
      <c r="K164" s="1887"/>
      <c r="L164" s="1887"/>
      <c r="M164" s="1887"/>
      <c r="N164" s="1887"/>
      <c r="O164" s="1887"/>
      <c r="P164" s="1887"/>
      <c r="Q164" s="1887"/>
      <c r="R164" s="1887"/>
      <c r="S164" s="1887"/>
      <c r="T164" s="1887"/>
      <c r="U164" s="1887"/>
      <c r="V164" s="1917"/>
      <c r="W164" s="4970"/>
    </row>
    <row r="165" spans="1:23" ht="23.25" customHeight="1">
      <c r="A165" s="4967"/>
      <c r="B165" s="4967"/>
      <c r="C165" s="1923"/>
      <c r="D165" s="1886"/>
      <c r="E165" s="1886"/>
      <c r="F165" s="1887"/>
      <c r="G165" s="1887"/>
      <c r="H165" s="1887"/>
      <c r="I165" s="1887"/>
      <c r="J165" s="1887"/>
      <c r="K165" s="1887"/>
      <c r="L165" s="1887"/>
      <c r="M165" s="1887"/>
      <c r="N165" s="1887"/>
      <c r="O165" s="1887"/>
      <c r="P165" s="1887"/>
      <c r="Q165" s="1887"/>
      <c r="R165" s="1887"/>
      <c r="S165" s="1887"/>
      <c r="T165" s="1887"/>
      <c r="U165" s="1887"/>
      <c r="V165" s="1917"/>
      <c r="W165" s="4970"/>
    </row>
    <row r="166" spans="1:23" ht="23.25" customHeight="1">
      <c r="A166" s="4968"/>
      <c r="B166" s="4968"/>
      <c r="C166" s="1924"/>
      <c r="D166" s="1901"/>
      <c r="E166" s="1901"/>
      <c r="F166" s="1902"/>
      <c r="G166" s="1902"/>
      <c r="H166" s="1902"/>
      <c r="I166" s="1902"/>
      <c r="J166" s="1902"/>
      <c r="K166" s="1902"/>
      <c r="L166" s="1902"/>
      <c r="M166" s="1902"/>
      <c r="N166" s="1902"/>
      <c r="O166" s="1902"/>
      <c r="P166" s="1902"/>
      <c r="Q166" s="1902"/>
      <c r="R166" s="1902"/>
      <c r="S166" s="1902"/>
      <c r="T166" s="1902"/>
      <c r="U166" s="1902"/>
      <c r="V166" s="1918"/>
      <c r="W166" s="4971"/>
    </row>
    <row r="167" spans="1:23" ht="24.75" customHeight="1">
      <c r="A167" s="4966">
        <v>32</v>
      </c>
      <c r="B167" s="4966" t="str">
        <f>'kt1'!B45</f>
        <v>Nàng Túc</v>
      </c>
      <c r="C167" s="1922"/>
      <c r="D167" s="1903"/>
      <c r="E167" s="1903"/>
      <c r="F167" s="1904"/>
      <c r="G167" s="1904"/>
      <c r="H167" s="1904"/>
      <c r="I167" s="1904"/>
      <c r="J167" s="1904"/>
      <c r="K167" s="1904"/>
      <c r="L167" s="1904"/>
      <c r="M167" s="1904"/>
      <c r="N167" s="1904"/>
      <c r="O167" s="1904"/>
      <c r="P167" s="1904"/>
      <c r="Q167" s="1904"/>
      <c r="R167" s="1904"/>
      <c r="S167" s="1904"/>
      <c r="T167" s="1904"/>
      <c r="U167" s="1904"/>
      <c r="V167" s="1916"/>
      <c r="W167" s="4969"/>
    </row>
    <row r="168" spans="1:23" ht="24.75" customHeight="1">
      <c r="A168" s="4967"/>
      <c r="B168" s="4967"/>
      <c r="C168" s="1923"/>
      <c r="D168" s="1886"/>
      <c r="E168" s="1886"/>
      <c r="F168" s="1887"/>
      <c r="G168" s="1887"/>
      <c r="H168" s="1887"/>
      <c r="I168" s="1887"/>
      <c r="J168" s="1887"/>
      <c r="K168" s="1887"/>
      <c r="L168" s="1887"/>
      <c r="M168" s="1887"/>
      <c r="N168" s="1887"/>
      <c r="O168" s="1887"/>
      <c r="P168" s="1887"/>
      <c r="Q168" s="1887"/>
      <c r="R168" s="1887"/>
      <c r="S168" s="1887"/>
      <c r="T168" s="1887"/>
      <c r="U168" s="1887"/>
      <c r="V168" s="1917"/>
      <c r="W168" s="4970"/>
    </row>
    <row r="169" spans="1:23" ht="24.75" customHeight="1">
      <c r="A169" s="4967"/>
      <c r="B169" s="4967"/>
      <c r="C169" s="1923"/>
      <c r="D169" s="1886"/>
      <c r="E169" s="1886"/>
      <c r="F169" s="1887"/>
      <c r="G169" s="1887"/>
      <c r="H169" s="1887"/>
      <c r="I169" s="1887"/>
      <c r="J169" s="1887"/>
      <c r="K169" s="1887"/>
      <c r="L169" s="1887"/>
      <c r="M169" s="1887"/>
      <c r="N169" s="1887"/>
      <c r="O169" s="1887"/>
      <c r="P169" s="1887"/>
      <c r="Q169" s="1887"/>
      <c r="R169" s="1887"/>
      <c r="S169" s="1887"/>
      <c r="T169" s="1887"/>
      <c r="U169" s="1887"/>
      <c r="V169" s="1917"/>
      <c r="W169" s="4970"/>
    </row>
    <row r="170" spans="1:23" ht="24.75" customHeight="1">
      <c r="A170" s="4967"/>
      <c r="B170" s="4967"/>
      <c r="C170" s="1923"/>
      <c r="D170" s="1886"/>
      <c r="E170" s="1886"/>
      <c r="F170" s="1887"/>
      <c r="G170" s="1887"/>
      <c r="H170" s="1887"/>
      <c r="I170" s="1887"/>
      <c r="J170" s="1887"/>
      <c r="K170" s="1887"/>
      <c r="L170" s="1887"/>
      <c r="M170" s="1887"/>
      <c r="N170" s="1887"/>
      <c r="O170" s="1887"/>
      <c r="P170" s="1887"/>
      <c r="Q170" s="1887"/>
      <c r="R170" s="1887"/>
      <c r="S170" s="1887"/>
      <c r="T170" s="1887"/>
      <c r="U170" s="1887"/>
      <c r="V170" s="1917"/>
      <c r="W170" s="4970"/>
    </row>
    <row r="171" spans="1:23" ht="24.75" customHeight="1">
      <c r="A171" s="4968"/>
      <c r="B171" s="4968"/>
      <c r="C171" s="1924"/>
      <c r="D171" s="1901"/>
      <c r="E171" s="1901"/>
      <c r="F171" s="1902"/>
      <c r="G171" s="1902"/>
      <c r="H171" s="1902"/>
      <c r="I171" s="1902"/>
      <c r="J171" s="1902"/>
      <c r="K171" s="1902"/>
      <c r="L171" s="1902"/>
      <c r="M171" s="1902"/>
      <c r="N171" s="1902"/>
      <c r="O171" s="1902"/>
      <c r="P171" s="1902"/>
      <c r="Q171" s="1902"/>
      <c r="R171" s="1902"/>
      <c r="S171" s="1902"/>
      <c r="T171" s="1902"/>
      <c r="U171" s="1902"/>
      <c r="V171" s="1918"/>
      <c r="W171" s="4971"/>
    </row>
    <row r="172" spans="1:23" ht="24.75" customHeight="1">
      <c r="A172" s="4966">
        <v>33</v>
      </c>
      <c r="B172" s="4966" t="str">
        <f>'kt1'!B46</f>
        <v>Nàng Chon</v>
      </c>
      <c r="C172" s="1922"/>
      <c r="D172" s="1903"/>
      <c r="E172" s="1903"/>
      <c r="F172" s="1904"/>
      <c r="G172" s="1904"/>
      <c r="H172" s="1904"/>
      <c r="I172" s="1904"/>
      <c r="J172" s="1904"/>
      <c r="K172" s="1904"/>
      <c r="L172" s="1904"/>
      <c r="M172" s="1904"/>
      <c r="N172" s="1904"/>
      <c r="O172" s="1904"/>
      <c r="P172" s="1904"/>
      <c r="Q172" s="1904"/>
      <c r="R172" s="1904"/>
      <c r="S172" s="1904"/>
      <c r="T172" s="1904"/>
      <c r="U172" s="1904"/>
      <c r="V172" s="1916"/>
      <c r="W172" s="4969"/>
    </row>
    <row r="173" spans="1:23" ht="24.75" customHeight="1">
      <c r="A173" s="4967"/>
      <c r="B173" s="4967"/>
      <c r="C173" s="1923"/>
      <c r="D173" s="1886"/>
      <c r="E173" s="1886"/>
      <c r="F173" s="1887"/>
      <c r="G173" s="1887"/>
      <c r="H173" s="1887"/>
      <c r="I173" s="1887"/>
      <c r="J173" s="1887"/>
      <c r="K173" s="1887"/>
      <c r="L173" s="1887"/>
      <c r="M173" s="1887"/>
      <c r="N173" s="1887"/>
      <c r="O173" s="1887"/>
      <c r="P173" s="1887"/>
      <c r="Q173" s="1887"/>
      <c r="R173" s="1887"/>
      <c r="S173" s="1887"/>
      <c r="T173" s="1887"/>
      <c r="U173" s="1887"/>
      <c r="V173" s="1917"/>
      <c r="W173" s="4970"/>
    </row>
    <row r="174" spans="1:23" ht="24.75" customHeight="1">
      <c r="A174" s="4967"/>
      <c r="B174" s="4967"/>
      <c r="C174" s="1923"/>
      <c r="D174" s="1886"/>
      <c r="E174" s="1886"/>
      <c r="F174" s="1887"/>
      <c r="G174" s="1887"/>
      <c r="H174" s="1887"/>
      <c r="I174" s="1887"/>
      <c r="J174" s="1887"/>
      <c r="K174" s="1887"/>
      <c r="L174" s="1887"/>
      <c r="M174" s="1887"/>
      <c r="N174" s="1887"/>
      <c r="O174" s="1887"/>
      <c r="P174" s="1887"/>
      <c r="Q174" s="1887"/>
      <c r="R174" s="1887"/>
      <c r="S174" s="1887"/>
      <c r="T174" s="1887"/>
      <c r="U174" s="1887"/>
      <c r="V174" s="1917"/>
      <c r="W174" s="4970"/>
    </row>
    <row r="175" spans="1:23" ht="24.75" customHeight="1">
      <c r="A175" s="4967"/>
      <c r="B175" s="4967"/>
      <c r="C175" s="1923"/>
      <c r="D175" s="1886"/>
      <c r="E175" s="1886"/>
      <c r="F175" s="1887"/>
      <c r="G175" s="1887"/>
      <c r="H175" s="1887"/>
      <c r="I175" s="1887"/>
      <c r="J175" s="1887"/>
      <c r="K175" s="1887"/>
      <c r="L175" s="1887"/>
      <c r="M175" s="1887"/>
      <c r="N175" s="1887"/>
      <c r="O175" s="1887"/>
      <c r="P175" s="1887"/>
      <c r="Q175" s="1887"/>
      <c r="R175" s="1887"/>
      <c r="S175" s="1887"/>
      <c r="T175" s="1887"/>
      <c r="U175" s="1887"/>
      <c r="V175" s="1917"/>
      <c r="W175" s="4970"/>
    </row>
    <row r="176" spans="1:23" ht="24.75" customHeight="1">
      <c r="A176" s="4968"/>
      <c r="B176" s="4968"/>
      <c r="C176" s="1924"/>
      <c r="D176" s="1901"/>
      <c r="E176" s="1901"/>
      <c r="F176" s="1902"/>
      <c r="G176" s="1902"/>
      <c r="H176" s="1902"/>
      <c r="I176" s="1902"/>
      <c r="J176" s="1902"/>
      <c r="K176" s="1902"/>
      <c r="L176" s="1902"/>
      <c r="M176" s="1902"/>
      <c r="N176" s="1902"/>
      <c r="O176" s="1902"/>
      <c r="P176" s="1902"/>
      <c r="Q176" s="1902"/>
      <c r="R176" s="1902"/>
      <c r="S176" s="1902"/>
      <c r="T176" s="1902"/>
      <c r="U176" s="1902"/>
      <c r="V176" s="1918"/>
      <c r="W176" s="4971"/>
    </row>
    <row r="177" spans="1:23" ht="24.75" hidden="1" customHeight="1">
      <c r="A177" s="4966">
        <v>34</v>
      </c>
      <c r="B177" s="4966" t="str">
        <f>'kt1'!B47</f>
        <v>Thảo Hơ Phơ</v>
      </c>
      <c r="C177" s="1922"/>
      <c r="D177" s="1903"/>
      <c r="E177" s="1903"/>
      <c r="F177" s="1904"/>
      <c r="G177" s="1904"/>
      <c r="H177" s="1904"/>
      <c r="I177" s="1904"/>
      <c r="J177" s="1904"/>
      <c r="K177" s="1904"/>
      <c r="L177" s="1904"/>
      <c r="M177" s="1904"/>
      <c r="N177" s="1904"/>
      <c r="O177" s="1904"/>
      <c r="P177" s="1904"/>
      <c r="Q177" s="1904"/>
      <c r="R177" s="1904"/>
      <c r="S177" s="1904"/>
      <c r="T177" s="1904"/>
      <c r="U177" s="1904"/>
      <c r="V177" s="1916"/>
      <c r="W177" s="4969"/>
    </row>
    <row r="178" spans="1:23" ht="24.75" hidden="1" customHeight="1">
      <c r="A178" s="4967"/>
      <c r="B178" s="4967"/>
      <c r="C178" s="1923"/>
      <c r="D178" s="1886"/>
      <c r="E178" s="1886"/>
      <c r="F178" s="1887"/>
      <c r="G178" s="1887"/>
      <c r="H178" s="1887"/>
      <c r="I178" s="1887"/>
      <c r="J178" s="1887"/>
      <c r="K178" s="1887"/>
      <c r="L178" s="1887"/>
      <c r="M178" s="1887"/>
      <c r="N178" s="1887"/>
      <c r="O178" s="1887"/>
      <c r="P178" s="1887"/>
      <c r="Q178" s="1887"/>
      <c r="R178" s="1887"/>
      <c r="S178" s="1887"/>
      <c r="T178" s="1887"/>
      <c r="U178" s="1887"/>
      <c r="V178" s="1917"/>
      <c r="W178" s="4970"/>
    </row>
    <row r="179" spans="1:23" ht="24.75" hidden="1" customHeight="1">
      <c r="A179" s="4967"/>
      <c r="B179" s="4967"/>
      <c r="C179" s="1923"/>
      <c r="D179" s="1886"/>
      <c r="E179" s="1886"/>
      <c r="F179" s="1887"/>
      <c r="G179" s="1887"/>
      <c r="H179" s="1887"/>
      <c r="I179" s="1887"/>
      <c r="J179" s="1887"/>
      <c r="K179" s="1887"/>
      <c r="L179" s="1887"/>
      <c r="M179" s="1887"/>
      <c r="N179" s="1887"/>
      <c r="O179" s="1887"/>
      <c r="P179" s="1887"/>
      <c r="Q179" s="1887"/>
      <c r="R179" s="1887"/>
      <c r="S179" s="1887"/>
      <c r="T179" s="1887"/>
      <c r="U179" s="1887"/>
      <c r="V179" s="1917"/>
      <c r="W179" s="4970"/>
    </row>
    <row r="180" spans="1:23" ht="24.75" hidden="1" customHeight="1">
      <c r="A180" s="4967"/>
      <c r="B180" s="4967"/>
      <c r="C180" s="1923"/>
      <c r="D180" s="1886"/>
      <c r="E180" s="1886"/>
      <c r="F180" s="1887"/>
      <c r="G180" s="1887"/>
      <c r="H180" s="1887"/>
      <c r="I180" s="1887"/>
      <c r="J180" s="1887"/>
      <c r="K180" s="1887"/>
      <c r="L180" s="1887"/>
      <c r="M180" s="1887"/>
      <c r="N180" s="1887"/>
      <c r="O180" s="1887"/>
      <c r="P180" s="1887"/>
      <c r="Q180" s="1887"/>
      <c r="R180" s="1887"/>
      <c r="S180" s="1887"/>
      <c r="T180" s="1887"/>
      <c r="U180" s="1887"/>
      <c r="V180" s="1917"/>
      <c r="W180" s="4970"/>
    </row>
    <row r="181" spans="1:23" ht="24.75" hidden="1" customHeight="1">
      <c r="A181" s="4968"/>
      <c r="B181" s="4968"/>
      <c r="C181" s="1924"/>
      <c r="D181" s="1901"/>
      <c r="E181" s="1901"/>
      <c r="F181" s="1902"/>
      <c r="G181" s="1902"/>
      <c r="H181" s="1902"/>
      <c r="I181" s="1902"/>
      <c r="J181" s="1902"/>
      <c r="K181" s="1902"/>
      <c r="L181" s="1902"/>
      <c r="M181" s="1902"/>
      <c r="N181" s="1902"/>
      <c r="O181" s="1902"/>
      <c r="P181" s="1902"/>
      <c r="Q181" s="1902"/>
      <c r="R181" s="1902"/>
      <c r="S181" s="1902"/>
      <c r="T181" s="1902"/>
      <c r="U181" s="1902"/>
      <c r="V181" s="1918"/>
      <c r="W181" s="4971"/>
    </row>
    <row r="182" spans="1:23" ht="19.5" customHeight="1">
      <c r="A182" s="4966">
        <v>35</v>
      </c>
      <c r="B182" s="4966" t="str">
        <f>'kt1'!B48</f>
        <v>Thảo Phét</v>
      </c>
      <c r="C182" s="1922"/>
      <c r="D182" s="1903"/>
      <c r="E182" s="1903"/>
      <c r="F182" s="1904"/>
      <c r="G182" s="1904"/>
      <c r="H182" s="1904"/>
      <c r="I182" s="1904"/>
      <c r="J182" s="1904"/>
      <c r="K182" s="1904"/>
      <c r="L182" s="1904"/>
      <c r="M182" s="1904"/>
      <c r="N182" s="1904"/>
      <c r="O182" s="1904"/>
      <c r="P182" s="1904"/>
      <c r="Q182" s="1904"/>
      <c r="R182" s="1904"/>
      <c r="S182" s="1904"/>
      <c r="T182" s="1904"/>
      <c r="U182" s="1904"/>
      <c r="V182" s="1916"/>
      <c r="W182" s="4969"/>
    </row>
    <row r="183" spans="1:23" ht="19.5" customHeight="1">
      <c r="A183" s="4967"/>
      <c r="B183" s="4967"/>
      <c r="C183" s="1923"/>
      <c r="D183" s="1886"/>
      <c r="E183" s="1886"/>
      <c r="F183" s="1887"/>
      <c r="G183" s="1887"/>
      <c r="H183" s="1887"/>
      <c r="I183" s="1887"/>
      <c r="J183" s="1887"/>
      <c r="K183" s="1887"/>
      <c r="L183" s="1887"/>
      <c r="M183" s="1887"/>
      <c r="N183" s="1887"/>
      <c r="O183" s="1887"/>
      <c r="P183" s="1887"/>
      <c r="Q183" s="1887"/>
      <c r="R183" s="1887"/>
      <c r="S183" s="1887"/>
      <c r="T183" s="1887"/>
      <c r="U183" s="1887"/>
      <c r="V183" s="1917"/>
      <c r="W183" s="4970"/>
    </row>
    <row r="184" spans="1:23" ht="19.5" customHeight="1">
      <c r="A184" s="4967"/>
      <c r="B184" s="4967"/>
      <c r="C184" s="1923"/>
      <c r="D184" s="1886"/>
      <c r="E184" s="1886"/>
      <c r="F184" s="1887"/>
      <c r="G184" s="1887"/>
      <c r="H184" s="1887"/>
      <c r="I184" s="1887"/>
      <c r="J184" s="1887"/>
      <c r="K184" s="1887"/>
      <c r="L184" s="1887"/>
      <c r="M184" s="1887"/>
      <c r="N184" s="1887"/>
      <c r="O184" s="1887"/>
      <c r="P184" s="1887"/>
      <c r="Q184" s="1887"/>
      <c r="R184" s="1887"/>
      <c r="S184" s="1887"/>
      <c r="T184" s="1887"/>
      <c r="U184" s="1887"/>
      <c r="V184" s="1917"/>
      <c r="W184" s="4970"/>
    </row>
    <row r="185" spans="1:23" ht="19.5" customHeight="1">
      <c r="A185" s="4967"/>
      <c r="B185" s="4967"/>
      <c r="C185" s="1923"/>
      <c r="D185" s="1886"/>
      <c r="E185" s="1886"/>
      <c r="F185" s="1887"/>
      <c r="G185" s="1887"/>
      <c r="H185" s="1887"/>
      <c r="I185" s="1887"/>
      <c r="J185" s="1887"/>
      <c r="K185" s="1887"/>
      <c r="L185" s="1887"/>
      <c r="M185" s="1887"/>
      <c r="N185" s="1887"/>
      <c r="O185" s="1887"/>
      <c r="P185" s="1887"/>
      <c r="Q185" s="1887"/>
      <c r="R185" s="1887"/>
      <c r="S185" s="1887"/>
      <c r="T185" s="1887"/>
      <c r="U185" s="1887"/>
      <c r="V185" s="1917"/>
      <c r="W185" s="4970"/>
    </row>
    <row r="186" spans="1:23" ht="19.5" customHeight="1">
      <c r="A186" s="4968"/>
      <c r="B186" s="4968"/>
      <c r="C186" s="1924"/>
      <c r="D186" s="1901"/>
      <c r="E186" s="1901"/>
      <c r="F186" s="1902"/>
      <c r="G186" s="1902"/>
      <c r="H186" s="1902"/>
      <c r="I186" s="1902"/>
      <c r="J186" s="1902"/>
      <c r="K186" s="1902"/>
      <c r="L186" s="1902"/>
      <c r="M186" s="1902"/>
      <c r="N186" s="1902"/>
      <c r="O186" s="1902"/>
      <c r="P186" s="1902"/>
      <c r="Q186" s="1902"/>
      <c r="R186" s="1902"/>
      <c r="S186" s="1902"/>
      <c r="T186" s="1902"/>
      <c r="U186" s="1902"/>
      <c r="V186" s="1918"/>
      <c r="W186" s="4971"/>
    </row>
    <row r="187" spans="1:23" ht="19.5" customHeight="1">
      <c r="A187" s="4966">
        <v>36</v>
      </c>
      <c r="B187" s="4966" t="str">
        <f>'kt1'!B49</f>
        <v>Hăn</v>
      </c>
      <c r="C187" s="1922"/>
      <c r="D187" s="1903"/>
      <c r="E187" s="1903"/>
      <c r="F187" s="1904"/>
      <c r="G187" s="1904"/>
      <c r="H187" s="1904"/>
      <c r="I187" s="1904"/>
      <c r="J187" s="1904"/>
      <c r="K187" s="1904"/>
      <c r="L187" s="1904"/>
      <c r="M187" s="1904"/>
      <c r="N187" s="1904"/>
      <c r="O187" s="1904"/>
      <c r="P187" s="1904"/>
      <c r="Q187" s="1904"/>
      <c r="R187" s="1904"/>
      <c r="S187" s="1904"/>
      <c r="T187" s="1904"/>
      <c r="U187" s="1904"/>
      <c r="V187" s="1916"/>
      <c r="W187" s="4969"/>
    </row>
    <row r="188" spans="1:23" ht="19.5" customHeight="1">
      <c r="A188" s="4967"/>
      <c r="B188" s="4967"/>
      <c r="C188" s="1923"/>
      <c r="D188" s="1886"/>
      <c r="E188" s="1886"/>
      <c r="F188" s="1887"/>
      <c r="G188" s="1887"/>
      <c r="H188" s="1887"/>
      <c r="I188" s="1887"/>
      <c r="J188" s="1887"/>
      <c r="K188" s="1887"/>
      <c r="L188" s="1887"/>
      <c r="M188" s="1887"/>
      <c r="N188" s="1887"/>
      <c r="O188" s="1887"/>
      <c r="P188" s="1887"/>
      <c r="Q188" s="1887"/>
      <c r="R188" s="1887"/>
      <c r="S188" s="1887"/>
      <c r="T188" s="1887"/>
      <c r="U188" s="1887"/>
      <c r="V188" s="1917"/>
      <c r="W188" s="4970"/>
    </row>
    <row r="189" spans="1:23" ht="19.5" customHeight="1">
      <c r="A189" s="4967"/>
      <c r="B189" s="4967"/>
      <c r="C189" s="1923"/>
      <c r="D189" s="1886"/>
      <c r="E189" s="1886"/>
      <c r="F189" s="1887"/>
      <c r="G189" s="1887"/>
      <c r="H189" s="1887"/>
      <c r="I189" s="1887"/>
      <c r="J189" s="1887"/>
      <c r="K189" s="1887"/>
      <c r="L189" s="1887"/>
      <c r="M189" s="1887"/>
      <c r="N189" s="1887"/>
      <c r="O189" s="1887"/>
      <c r="P189" s="1887"/>
      <c r="Q189" s="1887"/>
      <c r="R189" s="1887"/>
      <c r="S189" s="1887"/>
      <c r="T189" s="1887"/>
      <c r="U189" s="1887"/>
      <c r="V189" s="1917"/>
      <c r="W189" s="4970"/>
    </row>
    <row r="190" spans="1:23" ht="19.5" customHeight="1">
      <c r="A190" s="4967"/>
      <c r="B190" s="4967"/>
      <c r="C190" s="1923"/>
      <c r="D190" s="1886"/>
      <c r="E190" s="1886"/>
      <c r="F190" s="1887"/>
      <c r="G190" s="1887"/>
      <c r="H190" s="1887"/>
      <c r="I190" s="1887"/>
      <c r="J190" s="1887"/>
      <c r="K190" s="1887"/>
      <c r="L190" s="1887"/>
      <c r="M190" s="1887"/>
      <c r="N190" s="1887"/>
      <c r="O190" s="1887"/>
      <c r="P190" s="1887"/>
      <c r="Q190" s="1887"/>
      <c r="R190" s="1887"/>
      <c r="S190" s="1887"/>
      <c r="T190" s="1887"/>
      <c r="U190" s="1887"/>
      <c r="V190" s="1917"/>
      <c r="W190" s="4970"/>
    </row>
    <row r="191" spans="1:23" ht="19.5" customHeight="1">
      <c r="A191" s="4968"/>
      <c r="B191" s="4968"/>
      <c r="C191" s="1924"/>
      <c r="D191" s="1901"/>
      <c r="E191" s="1901"/>
      <c r="F191" s="1902"/>
      <c r="G191" s="1902"/>
      <c r="H191" s="1902"/>
      <c r="I191" s="1902"/>
      <c r="J191" s="1902"/>
      <c r="K191" s="1902"/>
      <c r="L191" s="1902"/>
      <c r="M191" s="1902"/>
      <c r="N191" s="1902"/>
      <c r="O191" s="1902"/>
      <c r="P191" s="1902"/>
      <c r="Q191" s="1902"/>
      <c r="R191" s="1902"/>
      <c r="S191" s="1902"/>
      <c r="T191" s="1902"/>
      <c r="U191" s="1902"/>
      <c r="V191" s="1918"/>
      <c r="W191" s="4971"/>
    </row>
    <row r="192" spans="1:23" ht="15" hidden="1" customHeight="1">
      <c r="A192" s="4966">
        <v>37</v>
      </c>
      <c r="B192" s="4996"/>
      <c r="C192" s="1900"/>
      <c r="D192" s="1900"/>
      <c r="E192" s="1900"/>
      <c r="F192" s="1897"/>
      <c r="G192" s="1897"/>
      <c r="H192" s="1897"/>
      <c r="I192" s="1897"/>
      <c r="J192" s="1897"/>
      <c r="K192" s="1897"/>
      <c r="L192" s="1897"/>
      <c r="M192" s="1897"/>
      <c r="N192" s="1897"/>
      <c r="O192" s="1897"/>
      <c r="P192" s="1897"/>
      <c r="Q192" s="1897"/>
      <c r="R192" s="1897"/>
      <c r="S192" s="1897"/>
      <c r="T192" s="1897"/>
      <c r="U192" s="1897"/>
      <c r="V192" s="1897"/>
      <c r="W192" s="1896"/>
    </row>
    <row r="193" spans="1:23" ht="15" hidden="1" customHeight="1">
      <c r="A193" s="4967"/>
      <c r="B193" s="4992"/>
      <c r="C193" s="1886"/>
      <c r="D193" s="1886"/>
      <c r="E193" s="1886"/>
      <c r="F193" s="1887"/>
      <c r="G193" s="1887"/>
      <c r="H193" s="1887"/>
      <c r="I193" s="1887"/>
      <c r="J193" s="1887"/>
      <c r="K193" s="1887"/>
      <c r="L193" s="1887"/>
      <c r="M193" s="1887"/>
      <c r="N193" s="1887"/>
      <c r="O193" s="1887"/>
      <c r="P193" s="1887"/>
      <c r="Q193" s="1887"/>
      <c r="R193" s="1887"/>
      <c r="S193" s="1887"/>
      <c r="T193" s="1887"/>
      <c r="U193" s="1887"/>
      <c r="V193" s="1887"/>
      <c r="W193" s="1888"/>
    </row>
    <row r="194" spans="1:23" ht="15" hidden="1" customHeight="1">
      <c r="A194" s="4967"/>
      <c r="B194" s="4992"/>
      <c r="C194" s="1886"/>
      <c r="D194" s="1886"/>
      <c r="E194" s="1886"/>
      <c r="F194" s="1887"/>
      <c r="G194" s="1887"/>
      <c r="H194" s="1887"/>
      <c r="I194" s="1887"/>
      <c r="J194" s="1887"/>
      <c r="K194" s="1887"/>
      <c r="L194" s="1887"/>
      <c r="M194" s="1887"/>
      <c r="N194" s="1887"/>
      <c r="O194" s="1887"/>
      <c r="P194" s="1887"/>
      <c r="Q194" s="1887"/>
      <c r="R194" s="1887"/>
      <c r="S194" s="1887"/>
      <c r="T194" s="1887"/>
      <c r="U194" s="1887"/>
      <c r="V194" s="1887"/>
      <c r="W194" s="1888"/>
    </row>
    <row r="195" spans="1:23" ht="15" hidden="1" customHeight="1">
      <c r="A195" s="4967"/>
      <c r="B195" s="4992"/>
      <c r="C195" s="1886"/>
      <c r="D195" s="1886"/>
      <c r="E195" s="1886"/>
      <c r="F195" s="1887"/>
      <c r="G195" s="1887"/>
      <c r="H195" s="1887"/>
      <c r="I195" s="1887"/>
      <c r="J195" s="1887"/>
      <c r="K195" s="1887"/>
      <c r="L195" s="1887"/>
      <c r="M195" s="1887"/>
      <c r="N195" s="1887"/>
      <c r="O195" s="1887"/>
      <c r="P195" s="1887"/>
      <c r="Q195" s="1887"/>
      <c r="R195" s="1887"/>
      <c r="S195" s="1887"/>
      <c r="T195" s="1887"/>
      <c r="U195" s="1887"/>
      <c r="V195" s="1887"/>
      <c r="W195" s="1888"/>
    </row>
    <row r="196" spans="1:23" ht="15" hidden="1" customHeight="1">
      <c r="A196" s="4968"/>
      <c r="B196" s="4992"/>
      <c r="C196" s="1886"/>
      <c r="D196" s="1886"/>
      <c r="E196" s="1886"/>
      <c r="F196" s="1887"/>
      <c r="G196" s="1887"/>
      <c r="H196" s="1887"/>
      <c r="I196" s="1887"/>
      <c r="J196" s="1887"/>
      <c r="K196" s="1887"/>
      <c r="L196" s="1887"/>
      <c r="M196" s="1887"/>
      <c r="N196" s="1887"/>
      <c r="O196" s="1887"/>
      <c r="P196" s="1887"/>
      <c r="Q196" s="1887"/>
      <c r="R196" s="1887"/>
      <c r="S196" s="1887"/>
      <c r="T196" s="1887"/>
      <c r="U196" s="1887"/>
      <c r="V196" s="1887"/>
      <c r="W196" s="1888"/>
    </row>
    <row r="197" spans="1:23" ht="15" hidden="1" customHeight="1">
      <c r="A197" s="4966">
        <v>38</v>
      </c>
      <c r="B197" s="4992"/>
      <c r="C197" s="1886"/>
      <c r="D197" s="1886"/>
      <c r="E197" s="1886"/>
      <c r="F197" s="1887"/>
      <c r="G197" s="1887"/>
      <c r="H197" s="1887"/>
      <c r="I197" s="1887"/>
      <c r="J197" s="1887"/>
      <c r="K197" s="1887"/>
      <c r="L197" s="1887"/>
      <c r="M197" s="1887"/>
      <c r="N197" s="1887"/>
      <c r="O197" s="1887"/>
      <c r="P197" s="1887"/>
      <c r="Q197" s="1887"/>
      <c r="R197" s="1887"/>
      <c r="S197" s="1887"/>
      <c r="T197" s="1887"/>
      <c r="U197" s="1887"/>
      <c r="V197" s="1887"/>
      <c r="W197" s="1888"/>
    </row>
    <row r="198" spans="1:23" ht="15" hidden="1" customHeight="1">
      <c r="A198" s="4967"/>
      <c r="B198" s="4992"/>
      <c r="C198" s="1886"/>
      <c r="D198" s="1886"/>
      <c r="E198" s="1886"/>
      <c r="F198" s="1887"/>
      <c r="G198" s="1887"/>
      <c r="H198" s="1887"/>
      <c r="I198" s="1887"/>
      <c r="J198" s="1887"/>
      <c r="K198" s="1887"/>
      <c r="L198" s="1887"/>
      <c r="M198" s="1887"/>
      <c r="N198" s="1887"/>
      <c r="O198" s="1887"/>
      <c r="P198" s="1887"/>
      <c r="Q198" s="1887"/>
      <c r="R198" s="1887"/>
      <c r="S198" s="1887"/>
      <c r="T198" s="1887"/>
      <c r="U198" s="1887"/>
      <c r="V198" s="1887"/>
      <c r="W198" s="1888"/>
    </row>
    <row r="199" spans="1:23" ht="15" hidden="1" customHeight="1">
      <c r="A199" s="4967"/>
      <c r="B199" s="4992"/>
      <c r="C199" s="1886"/>
      <c r="D199" s="1886"/>
      <c r="E199" s="1886"/>
      <c r="F199" s="1887"/>
      <c r="G199" s="1887"/>
      <c r="H199" s="1887"/>
      <c r="I199" s="1887"/>
      <c r="J199" s="1887"/>
      <c r="K199" s="1887"/>
      <c r="L199" s="1887"/>
      <c r="M199" s="1887"/>
      <c r="N199" s="1887"/>
      <c r="O199" s="1887"/>
      <c r="P199" s="1887"/>
      <c r="Q199" s="1887"/>
      <c r="R199" s="1887"/>
      <c r="S199" s="1887"/>
      <c r="T199" s="1887"/>
      <c r="U199" s="1887"/>
      <c r="V199" s="1887"/>
      <c r="W199" s="1888"/>
    </row>
    <row r="200" spans="1:23" ht="15" hidden="1" customHeight="1">
      <c r="A200" s="4967"/>
      <c r="B200" s="4992"/>
      <c r="C200" s="1886"/>
      <c r="D200" s="1886"/>
      <c r="E200" s="1886"/>
      <c r="F200" s="1887"/>
      <c r="G200" s="1887"/>
      <c r="H200" s="1887"/>
      <c r="I200" s="1887"/>
      <c r="J200" s="1887"/>
      <c r="K200" s="1887"/>
      <c r="L200" s="1887"/>
      <c r="M200" s="1887"/>
      <c r="N200" s="1887"/>
      <c r="O200" s="1887"/>
      <c r="P200" s="1887"/>
      <c r="Q200" s="1887"/>
      <c r="R200" s="1887"/>
      <c r="S200" s="1887"/>
      <c r="T200" s="1887"/>
      <c r="U200" s="1887"/>
      <c r="V200" s="1887"/>
      <c r="W200" s="1888"/>
    </row>
    <row r="201" spans="1:23" ht="15" hidden="1" customHeight="1">
      <c r="A201" s="4968"/>
      <c r="B201" s="4992"/>
      <c r="C201" s="1886"/>
      <c r="D201" s="1886"/>
      <c r="E201" s="1886"/>
      <c r="F201" s="1887"/>
      <c r="G201" s="1887"/>
      <c r="H201" s="1887"/>
      <c r="I201" s="1887"/>
      <c r="J201" s="1887"/>
      <c r="K201" s="1887"/>
      <c r="L201" s="1887"/>
      <c r="M201" s="1887"/>
      <c r="N201" s="1887"/>
      <c r="O201" s="1887"/>
      <c r="P201" s="1887"/>
      <c r="Q201" s="1887"/>
      <c r="R201" s="1887"/>
      <c r="S201" s="1887"/>
      <c r="T201" s="1887"/>
      <c r="U201" s="1887"/>
      <c r="V201" s="1887"/>
      <c r="W201" s="1888"/>
    </row>
    <row r="202" spans="1:23" ht="15" hidden="1" customHeight="1">
      <c r="A202" s="4966">
        <v>39</v>
      </c>
      <c r="B202" s="4992"/>
      <c r="C202" s="1886"/>
      <c r="D202" s="1886"/>
      <c r="E202" s="1886"/>
      <c r="F202" s="1887"/>
      <c r="G202" s="1887"/>
      <c r="H202" s="1887"/>
      <c r="I202" s="1887"/>
      <c r="J202" s="1887"/>
      <c r="K202" s="1887"/>
      <c r="L202" s="1887"/>
      <c r="M202" s="1887"/>
      <c r="N202" s="1887"/>
      <c r="O202" s="1887"/>
      <c r="P202" s="1887"/>
      <c r="Q202" s="1887"/>
      <c r="R202" s="1887"/>
      <c r="S202" s="1887"/>
      <c r="T202" s="1887"/>
      <c r="U202" s="1887"/>
      <c r="V202" s="1887"/>
      <c r="W202" s="1888"/>
    </row>
    <row r="203" spans="1:23" ht="15" hidden="1" customHeight="1">
      <c r="A203" s="4967"/>
      <c r="B203" s="4992"/>
      <c r="C203" s="1886"/>
      <c r="D203" s="1886"/>
      <c r="E203" s="1886"/>
      <c r="F203" s="1887"/>
      <c r="G203" s="1887"/>
      <c r="H203" s="1887"/>
      <c r="I203" s="1887"/>
      <c r="J203" s="1887"/>
      <c r="K203" s="1887"/>
      <c r="L203" s="1887"/>
      <c r="M203" s="1887"/>
      <c r="N203" s="1887"/>
      <c r="O203" s="1887"/>
      <c r="P203" s="1887"/>
      <c r="Q203" s="1887"/>
      <c r="R203" s="1887"/>
      <c r="S203" s="1887"/>
      <c r="T203" s="1887"/>
      <c r="U203" s="1887"/>
      <c r="V203" s="1887"/>
      <c r="W203" s="1888"/>
    </row>
    <row r="204" spans="1:23" ht="15" hidden="1" customHeight="1">
      <c r="A204" s="4967"/>
      <c r="B204" s="4992"/>
      <c r="C204" s="1886"/>
      <c r="D204" s="1886"/>
      <c r="E204" s="1886"/>
      <c r="F204" s="1887"/>
      <c r="G204" s="1887"/>
      <c r="H204" s="1887"/>
      <c r="I204" s="1887"/>
      <c r="J204" s="1887"/>
      <c r="K204" s="1887"/>
      <c r="L204" s="1887"/>
      <c r="M204" s="1887"/>
      <c r="N204" s="1887"/>
      <c r="O204" s="1887"/>
      <c r="P204" s="1887"/>
      <c r="Q204" s="1887"/>
      <c r="R204" s="1887"/>
      <c r="S204" s="1887"/>
      <c r="T204" s="1887"/>
      <c r="U204" s="1887"/>
      <c r="V204" s="1887"/>
      <c r="W204" s="1888"/>
    </row>
    <row r="205" spans="1:23" ht="15" hidden="1" customHeight="1">
      <c r="A205" s="4967"/>
      <c r="B205" s="4992"/>
      <c r="C205" s="1886"/>
      <c r="D205" s="1886"/>
      <c r="E205" s="1886"/>
      <c r="F205" s="1887"/>
      <c r="G205" s="1887"/>
      <c r="H205" s="1887"/>
      <c r="I205" s="1887"/>
      <c r="J205" s="1887"/>
      <c r="K205" s="1887"/>
      <c r="L205" s="1887"/>
      <c r="M205" s="1887"/>
      <c r="N205" s="1887"/>
      <c r="O205" s="1887"/>
      <c r="P205" s="1887"/>
      <c r="Q205" s="1887"/>
      <c r="R205" s="1887"/>
      <c r="S205" s="1887"/>
      <c r="T205" s="1887"/>
      <c r="U205" s="1887"/>
      <c r="V205" s="1887"/>
      <c r="W205" s="1888"/>
    </row>
    <row r="206" spans="1:23" ht="15" hidden="1" customHeight="1">
      <c r="A206" s="4968"/>
      <c r="B206" s="4992"/>
      <c r="C206" s="1886"/>
      <c r="D206" s="1886"/>
      <c r="E206" s="1886"/>
      <c r="F206" s="1887"/>
      <c r="G206" s="1887"/>
      <c r="H206" s="1887"/>
      <c r="I206" s="1887"/>
      <c r="J206" s="1887"/>
      <c r="K206" s="1887"/>
      <c r="L206" s="1887"/>
      <c r="M206" s="1887"/>
      <c r="N206" s="1887"/>
      <c r="O206" s="1887"/>
      <c r="P206" s="1887"/>
      <c r="Q206" s="1887"/>
      <c r="R206" s="1887"/>
      <c r="S206" s="1887"/>
      <c r="T206" s="1887"/>
      <c r="U206" s="1887"/>
      <c r="V206" s="1887"/>
      <c r="W206" s="1888"/>
    </row>
    <row r="207" spans="1:23" ht="15" hidden="1" customHeight="1">
      <c r="A207" s="4966">
        <v>40</v>
      </c>
      <c r="B207" s="4992"/>
      <c r="C207" s="1886"/>
      <c r="D207" s="1886"/>
      <c r="E207" s="1886"/>
      <c r="F207" s="1887"/>
      <c r="G207" s="1887"/>
      <c r="H207" s="1887"/>
      <c r="I207" s="1887"/>
      <c r="J207" s="1887"/>
      <c r="K207" s="1887"/>
      <c r="L207" s="1887"/>
      <c r="M207" s="1887"/>
      <c r="N207" s="1887"/>
      <c r="O207" s="1887"/>
      <c r="P207" s="1887"/>
      <c r="Q207" s="1887"/>
      <c r="R207" s="1887"/>
      <c r="S207" s="1887"/>
      <c r="T207" s="1887"/>
      <c r="U207" s="1887"/>
      <c r="V207" s="1887"/>
      <c r="W207" s="1888"/>
    </row>
    <row r="208" spans="1:23" ht="15" hidden="1" customHeight="1">
      <c r="A208" s="4967"/>
      <c r="B208" s="4992"/>
      <c r="C208" s="1886"/>
      <c r="D208" s="1886"/>
      <c r="E208" s="1886"/>
      <c r="F208" s="1887"/>
      <c r="G208" s="1887"/>
      <c r="H208" s="1887"/>
      <c r="I208" s="1887"/>
      <c r="J208" s="1887"/>
      <c r="K208" s="1887"/>
      <c r="L208" s="1887"/>
      <c r="M208" s="1887"/>
      <c r="N208" s="1887"/>
      <c r="O208" s="1887"/>
      <c r="P208" s="1887"/>
      <c r="Q208" s="1887"/>
      <c r="R208" s="1887"/>
      <c r="S208" s="1887"/>
      <c r="T208" s="1887"/>
      <c r="U208" s="1887"/>
      <c r="V208" s="1887"/>
      <c r="W208" s="1888"/>
    </row>
    <row r="209" spans="1:23" ht="15" hidden="1" customHeight="1">
      <c r="A209" s="4967"/>
      <c r="B209" s="4992"/>
      <c r="C209" s="1886"/>
      <c r="D209" s="1886"/>
      <c r="E209" s="1886"/>
      <c r="F209" s="1887"/>
      <c r="G209" s="1887"/>
      <c r="H209" s="1887"/>
      <c r="I209" s="1887"/>
      <c r="J209" s="1887"/>
      <c r="K209" s="1887"/>
      <c r="L209" s="1887"/>
      <c r="M209" s="1887"/>
      <c r="N209" s="1887"/>
      <c r="O209" s="1887"/>
      <c r="P209" s="1887"/>
      <c r="Q209" s="1887"/>
      <c r="R209" s="1887"/>
      <c r="S209" s="1887"/>
      <c r="T209" s="1887"/>
      <c r="U209" s="1887"/>
      <c r="V209" s="1887"/>
      <c r="W209" s="1888"/>
    </row>
    <row r="210" spans="1:23" ht="15" hidden="1" customHeight="1">
      <c r="A210" s="4967"/>
      <c r="B210" s="4992"/>
      <c r="C210" s="1886"/>
      <c r="D210" s="1886"/>
      <c r="E210" s="1886"/>
      <c r="F210" s="1887"/>
      <c r="G210" s="1887"/>
      <c r="H210" s="1887"/>
      <c r="I210" s="1887"/>
      <c r="J210" s="1887"/>
      <c r="K210" s="1887"/>
      <c r="L210" s="1887"/>
      <c r="M210" s="1887"/>
      <c r="N210" s="1887"/>
      <c r="O210" s="1887"/>
      <c r="P210" s="1887"/>
      <c r="Q210" s="1887"/>
      <c r="R210" s="1887"/>
      <c r="S210" s="1887"/>
      <c r="T210" s="1887"/>
      <c r="U210" s="1887"/>
      <c r="V210" s="1887"/>
      <c r="W210" s="1888"/>
    </row>
    <row r="211" spans="1:23" ht="15" hidden="1" customHeight="1">
      <c r="A211" s="4968"/>
      <c r="B211" s="4992"/>
      <c r="C211" s="1886"/>
      <c r="D211" s="1886"/>
      <c r="E211" s="1886"/>
      <c r="F211" s="1887"/>
      <c r="G211" s="1887"/>
      <c r="H211" s="1887"/>
      <c r="I211" s="1887"/>
      <c r="J211" s="1887"/>
      <c r="K211" s="1887"/>
      <c r="L211" s="1887"/>
      <c r="M211" s="1887"/>
      <c r="N211" s="1887"/>
      <c r="O211" s="1887"/>
      <c r="P211" s="1887"/>
      <c r="Q211" s="1887"/>
      <c r="R211" s="1887"/>
      <c r="S211" s="1887"/>
      <c r="T211" s="1887"/>
      <c r="U211" s="1887"/>
      <c r="V211" s="1887"/>
      <c r="W211" s="1888"/>
    </row>
    <row r="212" spans="1:23" ht="15" hidden="1" customHeight="1">
      <c r="A212" s="4966">
        <v>41</v>
      </c>
      <c r="B212" s="4992"/>
      <c r="C212" s="1886"/>
      <c r="D212" s="1886"/>
      <c r="E212" s="1886"/>
      <c r="F212" s="1887"/>
      <c r="G212" s="1887"/>
      <c r="H212" s="1887"/>
      <c r="I212" s="1887"/>
      <c r="J212" s="1887"/>
      <c r="K212" s="1887"/>
      <c r="L212" s="1887"/>
      <c r="M212" s="1887"/>
      <c r="N212" s="1887"/>
      <c r="O212" s="1887"/>
      <c r="P212" s="1887"/>
      <c r="Q212" s="1887"/>
      <c r="R212" s="1887"/>
      <c r="S212" s="1887"/>
      <c r="T212" s="1887"/>
      <c r="U212" s="1887"/>
      <c r="V212" s="1887"/>
      <c r="W212" s="1888"/>
    </row>
    <row r="213" spans="1:23" ht="15" hidden="1" customHeight="1">
      <c r="A213" s="4967"/>
      <c r="B213" s="4992"/>
      <c r="C213" s="1886"/>
      <c r="D213" s="1886"/>
      <c r="E213" s="1886"/>
      <c r="F213" s="1887"/>
      <c r="G213" s="1887"/>
      <c r="H213" s="1887"/>
      <c r="I213" s="1887"/>
      <c r="J213" s="1887"/>
      <c r="K213" s="1887"/>
      <c r="L213" s="1887"/>
      <c r="M213" s="1887"/>
      <c r="N213" s="1887"/>
      <c r="O213" s="1887"/>
      <c r="P213" s="1887"/>
      <c r="Q213" s="1887"/>
      <c r="R213" s="1887"/>
      <c r="S213" s="1887"/>
      <c r="T213" s="1887"/>
      <c r="U213" s="1887"/>
      <c r="V213" s="1887"/>
      <c r="W213" s="1888"/>
    </row>
    <row r="214" spans="1:23" ht="15" hidden="1" customHeight="1">
      <c r="A214" s="4967"/>
      <c r="B214" s="4992"/>
      <c r="C214" s="1886"/>
      <c r="D214" s="1886"/>
      <c r="E214" s="1886"/>
      <c r="F214" s="1887"/>
      <c r="G214" s="1887"/>
      <c r="H214" s="1887"/>
      <c r="I214" s="1887"/>
      <c r="J214" s="1887"/>
      <c r="K214" s="1887"/>
      <c r="L214" s="1887"/>
      <c r="M214" s="1887"/>
      <c r="N214" s="1887"/>
      <c r="O214" s="1887"/>
      <c r="P214" s="1887"/>
      <c r="Q214" s="1887"/>
      <c r="R214" s="1887"/>
      <c r="S214" s="1887"/>
      <c r="T214" s="1887"/>
      <c r="U214" s="1887"/>
      <c r="V214" s="1887"/>
      <c r="W214" s="1888"/>
    </row>
    <row r="215" spans="1:23" ht="15" hidden="1" customHeight="1">
      <c r="A215" s="4967"/>
      <c r="B215" s="4992"/>
      <c r="C215" s="1886"/>
      <c r="D215" s="1886"/>
      <c r="E215" s="1886"/>
      <c r="F215" s="1887"/>
      <c r="G215" s="1887"/>
      <c r="H215" s="1887"/>
      <c r="I215" s="1887"/>
      <c r="J215" s="1887"/>
      <c r="K215" s="1887"/>
      <c r="L215" s="1887"/>
      <c r="M215" s="1887"/>
      <c r="N215" s="1887"/>
      <c r="O215" s="1887"/>
      <c r="P215" s="1887"/>
      <c r="Q215" s="1887"/>
      <c r="R215" s="1887"/>
      <c r="S215" s="1887"/>
      <c r="T215" s="1887"/>
      <c r="U215" s="1887"/>
      <c r="V215" s="1887"/>
      <c r="W215" s="1888"/>
    </row>
    <row r="216" spans="1:23" ht="15" hidden="1" customHeight="1">
      <c r="A216" s="4968"/>
      <c r="B216" s="4992"/>
      <c r="C216" s="1886"/>
      <c r="D216" s="1886"/>
      <c r="E216" s="1886"/>
      <c r="F216" s="1887"/>
      <c r="G216" s="1887"/>
      <c r="H216" s="1887"/>
      <c r="I216" s="1887"/>
      <c r="J216" s="1887"/>
      <c r="K216" s="1887"/>
      <c r="L216" s="1887"/>
      <c r="M216" s="1887"/>
      <c r="N216" s="1887"/>
      <c r="O216" s="1887"/>
      <c r="P216" s="1887"/>
      <c r="Q216" s="1887"/>
      <c r="R216" s="1887"/>
      <c r="S216" s="1887"/>
      <c r="T216" s="1887"/>
      <c r="U216" s="1887"/>
      <c r="V216" s="1887"/>
      <c r="W216" s="1888"/>
    </row>
    <row r="217" spans="1:23" ht="15" hidden="1" customHeight="1">
      <c r="A217" s="4966">
        <v>42</v>
      </c>
      <c r="B217" s="4992"/>
      <c r="C217" s="1886"/>
      <c r="D217" s="1886"/>
      <c r="E217" s="1886"/>
      <c r="F217" s="1887"/>
      <c r="G217" s="1887"/>
      <c r="H217" s="1887"/>
      <c r="I217" s="1887"/>
      <c r="J217" s="1887"/>
      <c r="K217" s="1887"/>
      <c r="L217" s="1887"/>
      <c r="M217" s="1887"/>
      <c r="N217" s="1887"/>
      <c r="O217" s="1887"/>
      <c r="P217" s="1887"/>
      <c r="Q217" s="1887"/>
      <c r="R217" s="1887"/>
      <c r="S217" s="1887"/>
      <c r="T217" s="1887"/>
      <c r="U217" s="1887"/>
      <c r="V217" s="1887"/>
      <c r="W217" s="1888"/>
    </row>
    <row r="218" spans="1:23" ht="15" hidden="1" customHeight="1">
      <c r="A218" s="4967"/>
      <c r="B218" s="4992"/>
      <c r="C218" s="1886"/>
      <c r="D218" s="1886"/>
      <c r="E218" s="1886"/>
      <c r="F218" s="1887"/>
      <c r="G218" s="1887"/>
      <c r="H218" s="1887"/>
      <c r="I218" s="1887"/>
      <c r="J218" s="1887"/>
      <c r="K218" s="1887"/>
      <c r="L218" s="1887"/>
      <c r="M218" s="1887"/>
      <c r="N218" s="1887"/>
      <c r="O218" s="1887"/>
      <c r="P218" s="1887"/>
      <c r="Q218" s="1887"/>
      <c r="R218" s="1887"/>
      <c r="S218" s="1887"/>
      <c r="T218" s="1887"/>
      <c r="U218" s="1887"/>
      <c r="V218" s="1887"/>
      <c r="W218" s="1888"/>
    </row>
    <row r="219" spans="1:23" ht="15" hidden="1" customHeight="1">
      <c r="A219" s="4967"/>
      <c r="B219" s="4992"/>
      <c r="C219" s="1886"/>
      <c r="D219" s="1886"/>
      <c r="E219" s="1886"/>
      <c r="F219" s="1887"/>
      <c r="G219" s="1887"/>
      <c r="H219" s="1887"/>
      <c r="I219" s="1887"/>
      <c r="J219" s="1887"/>
      <c r="K219" s="1887"/>
      <c r="L219" s="1887"/>
      <c r="M219" s="1887"/>
      <c r="N219" s="1887"/>
      <c r="O219" s="1887"/>
      <c r="P219" s="1887"/>
      <c r="Q219" s="1887"/>
      <c r="R219" s="1887"/>
      <c r="S219" s="1887"/>
      <c r="T219" s="1887"/>
      <c r="U219" s="1887"/>
      <c r="V219" s="1887"/>
      <c r="W219" s="1888"/>
    </row>
    <row r="220" spans="1:23" ht="15" hidden="1" customHeight="1">
      <c r="A220" s="4967"/>
      <c r="B220" s="4992"/>
      <c r="C220" s="1886"/>
      <c r="D220" s="1886"/>
      <c r="E220" s="1886"/>
      <c r="F220" s="1887"/>
      <c r="G220" s="1887"/>
      <c r="H220" s="1887"/>
      <c r="I220" s="1887"/>
      <c r="J220" s="1887"/>
      <c r="K220" s="1887"/>
      <c r="L220" s="1887"/>
      <c r="M220" s="1887"/>
      <c r="N220" s="1887"/>
      <c r="O220" s="1887"/>
      <c r="P220" s="1887"/>
      <c r="Q220" s="1887"/>
      <c r="R220" s="1887"/>
      <c r="S220" s="1887"/>
      <c r="T220" s="1887"/>
      <c r="U220" s="1887"/>
      <c r="V220" s="1887"/>
      <c r="W220" s="1888"/>
    </row>
    <row r="221" spans="1:23" ht="15" hidden="1" customHeight="1">
      <c r="A221" s="4968"/>
      <c r="B221" s="4992"/>
      <c r="C221" s="1886"/>
      <c r="D221" s="1886"/>
      <c r="E221" s="1886"/>
      <c r="F221" s="1887"/>
      <c r="G221" s="1887"/>
      <c r="H221" s="1887"/>
      <c r="I221" s="1887"/>
      <c r="J221" s="1887"/>
      <c r="K221" s="1887"/>
      <c r="L221" s="1887"/>
      <c r="M221" s="1887"/>
      <c r="N221" s="1887"/>
      <c r="O221" s="1887"/>
      <c r="P221" s="1887"/>
      <c r="Q221" s="1887"/>
      <c r="R221" s="1887"/>
      <c r="S221" s="1887"/>
      <c r="T221" s="1887"/>
      <c r="U221" s="1887"/>
      <c r="V221" s="1887"/>
      <c r="W221" s="1888"/>
    </row>
    <row r="222" spans="1:23" ht="15" hidden="1" customHeight="1">
      <c r="A222" s="4966">
        <v>43</v>
      </c>
      <c r="B222" s="4992"/>
      <c r="C222" s="1886"/>
      <c r="D222" s="1886"/>
      <c r="E222" s="1886"/>
      <c r="F222" s="1887"/>
      <c r="G222" s="1887"/>
      <c r="H222" s="1887"/>
      <c r="I222" s="1887"/>
      <c r="J222" s="1887"/>
      <c r="K222" s="1887"/>
      <c r="L222" s="1887"/>
      <c r="M222" s="1887"/>
      <c r="N222" s="1887"/>
      <c r="O222" s="1887"/>
      <c r="P222" s="1887"/>
      <c r="Q222" s="1887"/>
      <c r="R222" s="1887"/>
      <c r="S222" s="1887"/>
      <c r="T222" s="1887"/>
      <c r="U222" s="1887"/>
      <c r="V222" s="1887"/>
      <c r="W222" s="1888"/>
    </row>
    <row r="223" spans="1:23" ht="15" hidden="1" customHeight="1">
      <c r="A223" s="4967"/>
      <c r="B223" s="4992"/>
      <c r="C223" s="1886"/>
      <c r="D223" s="1886"/>
      <c r="E223" s="1886"/>
      <c r="F223" s="1887"/>
      <c r="G223" s="1887"/>
      <c r="H223" s="1887"/>
      <c r="I223" s="1887"/>
      <c r="J223" s="1887"/>
      <c r="K223" s="1887"/>
      <c r="L223" s="1887"/>
      <c r="M223" s="1887"/>
      <c r="N223" s="1887"/>
      <c r="O223" s="1887"/>
      <c r="P223" s="1887"/>
      <c r="Q223" s="1887"/>
      <c r="R223" s="1887"/>
      <c r="S223" s="1887"/>
      <c r="T223" s="1887"/>
      <c r="U223" s="1887"/>
      <c r="V223" s="1887"/>
      <c r="W223" s="1888"/>
    </row>
    <row r="224" spans="1:23" ht="15" hidden="1" customHeight="1">
      <c r="A224" s="4967"/>
      <c r="B224" s="4992"/>
      <c r="C224" s="1886"/>
      <c r="D224" s="1886"/>
      <c r="E224" s="1886"/>
      <c r="F224" s="1887"/>
      <c r="G224" s="1887"/>
      <c r="H224" s="1887"/>
      <c r="I224" s="1887"/>
      <c r="J224" s="1887"/>
      <c r="K224" s="1887"/>
      <c r="L224" s="1887"/>
      <c r="M224" s="1887"/>
      <c r="N224" s="1887"/>
      <c r="O224" s="1887"/>
      <c r="P224" s="1887"/>
      <c r="Q224" s="1887"/>
      <c r="R224" s="1887"/>
      <c r="S224" s="1887"/>
      <c r="T224" s="1887"/>
      <c r="U224" s="1887"/>
      <c r="V224" s="1887"/>
      <c r="W224" s="1888"/>
    </row>
    <row r="225" spans="1:23" ht="15" hidden="1" customHeight="1">
      <c r="A225" s="4967"/>
      <c r="B225" s="4992"/>
      <c r="C225" s="1886"/>
      <c r="D225" s="1886"/>
      <c r="E225" s="1886"/>
      <c r="F225" s="1887"/>
      <c r="G225" s="1887"/>
      <c r="H225" s="1887"/>
      <c r="I225" s="1887"/>
      <c r="J225" s="1887"/>
      <c r="K225" s="1887"/>
      <c r="L225" s="1887"/>
      <c r="M225" s="1887"/>
      <c r="N225" s="1887"/>
      <c r="O225" s="1887"/>
      <c r="P225" s="1887"/>
      <c r="Q225" s="1887"/>
      <c r="R225" s="1887"/>
      <c r="S225" s="1887"/>
      <c r="T225" s="1887"/>
      <c r="U225" s="1887"/>
      <c r="V225" s="1887"/>
      <c r="W225" s="1888"/>
    </row>
    <row r="226" spans="1:23" ht="16.5" hidden="1" customHeight="1">
      <c r="A226" s="4968"/>
      <c r="B226" s="4992"/>
      <c r="C226" s="1886"/>
      <c r="D226" s="1886"/>
      <c r="E226" s="1886"/>
      <c r="F226" s="1887"/>
      <c r="G226" s="1887"/>
      <c r="H226" s="1887"/>
      <c r="I226" s="1887"/>
      <c r="J226" s="1887"/>
      <c r="K226" s="1887"/>
      <c r="L226" s="1887"/>
      <c r="M226" s="1887"/>
      <c r="N226" s="1887"/>
      <c r="O226" s="1887"/>
      <c r="P226" s="1887"/>
      <c r="Q226" s="1887"/>
      <c r="R226" s="1887"/>
      <c r="S226" s="1887"/>
      <c r="T226" s="1887"/>
      <c r="U226" s="1887"/>
      <c r="V226" s="1887"/>
      <c r="W226" s="1888"/>
    </row>
    <row r="227" spans="1:23" ht="16.5">
      <c r="S227" s="4993" t="s">
        <v>1116</v>
      </c>
      <c r="T227" s="4993"/>
      <c r="U227" s="4993"/>
      <c r="V227" s="4993"/>
      <c r="W227" s="4993"/>
    </row>
    <row r="228" spans="1:23" ht="17.25" customHeight="1">
      <c r="A228" s="1895" t="s">
        <v>1108</v>
      </c>
      <c r="B228" s="1895"/>
      <c r="C228" s="1895"/>
      <c r="D228" s="1895"/>
      <c r="E228" s="1895"/>
      <c r="F228" s="1895"/>
      <c r="H228" s="1890"/>
      <c r="J228" s="1890" t="s">
        <v>1109</v>
      </c>
      <c r="K228" s="1890"/>
      <c r="L228" s="1890"/>
      <c r="M228" s="4963" t="s">
        <v>1110</v>
      </c>
      <c r="N228" s="4963"/>
      <c r="O228" s="4963"/>
      <c r="P228" s="4963"/>
      <c r="Q228" s="4963"/>
      <c r="R228" s="4963"/>
      <c r="S228" s="1890"/>
      <c r="T228" s="1890"/>
      <c r="U228" s="4963" t="s">
        <v>1111</v>
      </c>
      <c r="V228" s="4963"/>
      <c r="W228" s="4963"/>
    </row>
    <row r="229" spans="1:23" ht="17.25" customHeight="1">
      <c r="B229" s="1891" t="s">
        <v>113</v>
      </c>
      <c r="C229" s="1891" t="s">
        <v>1112</v>
      </c>
      <c r="D229" s="1891"/>
      <c r="E229" s="1889"/>
    </row>
    <row r="230" spans="1:23" ht="17.25" customHeight="1">
      <c r="B230" s="1891" t="s">
        <v>113</v>
      </c>
      <c r="C230" s="1891" t="s">
        <v>52</v>
      </c>
      <c r="D230" s="1891"/>
      <c r="E230" s="1889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4994"/>
      <c r="S230" s="4994"/>
      <c r="T230" s="4994"/>
      <c r="U230" s="4994"/>
      <c r="V230" s="4994"/>
    </row>
    <row r="231" spans="1:23" ht="17.25" customHeight="1">
      <c r="B231" s="1891" t="s">
        <v>113</v>
      </c>
      <c r="C231" s="1891" t="s">
        <v>92</v>
      </c>
      <c r="D231" s="1891"/>
      <c r="E231" s="1889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4994"/>
      <c r="S231" s="4994"/>
      <c r="T231" s="4994"/>
      <c r="U231" s="4994"/>
      <c r="V231" s="4994"/>
    </row>
    <row r="232" spans="1:23" ht="17.25" customHeight="1">
      <c r="B232" s="1891" t="s">
        <v>113</v>
      </c>
      <c r="C232" s="1891" t="s">
        <v>53</v>
      </c>
      <c r="D232" s="1891"/>
      <c r="E232" s="1889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4994"/>
      <c r="S232" s="4994"/>
      <c r="T232" s="4994"/>
      <c r="U232" s="4994"/>
      <c r="V232" s="4994"/>
    </row>
    <row r="233" spans="1:23" ht="17.25" customHeight="1">
      <c r="B233" s="1891" t="s">
        <v>113</v>
      </c>
      <c r="C233" s="1891" t="s">
        <v>93</v>
      </c>
      <c r="D233" s="1891"/>
      <c r="E233" s="1889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4994"/>
      <c r="S233" s="4994"/>
      <c r="T233" s="4994"/>
      <c r="U233" s="4994"/>
      <c r="V233" s="4994"/>
    </row>
    <row r="234" spans="1:23" ht="17.25" customHeight="1">
      <c r="B234" s="4995" t="s">
        <v>21</v>
      </c>
      <c r="C234" s="4995"/>
      <c r="D234" s="1892"/>
      <c r="E234" s="1889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4994"/>
      <c r="S234" s="4994"/>
      <c r="T234" s="4994"/>
      <c r="U234" s="4994"/>
      <c r="V234" s="4994"/>
    </row>
    <row r="235" spans="1:23" s="1894" customFormat="1" ht="16.5">
      <c r="A235" s="4991"/>
      <c r="B235" s="4991"/>
      <c r="C235" s="4991"/>
      <c r="D235" s="4991"/>
      <c r="E235" s="4991"/>
      <c r="F235" s="4991"/>
      <c r="G235" s="1893"/>
      <c r="H235" s="1893"/>
      <c r="I235" s="1893"/>
      <c r="J235" s="4991"/>
      <c r="K235" s="4991"/>
      <c r="L235" s="4991"/>
      <c r="M235" s="4991"/>
      <c r="N235" s="4991"/>
      <c r="O235" s="4991"/>
      <c r="P235" s="1893"/>
      <c r="Q235" s="1893"/>
      <c r="R235" s="1893"/>
      <c r="S235" s="1893"/>
      <c r="T235" s="1893"/>
      <c r="U235" s="4991"/>
      <c r="V235" s="4991"/>
      <c r="W235" s="4991"/>
    </row>
    <row r="236" spans="1:23" ht="17.25" customHeight="1"/>
  </sheetData>
  <mergeCells count="152">
    <mergeCell ref="A235:F235"/>
    <mergeCell ref="J235:O235"/>
    <mergeCell ref="U235:W235"/>
    <mergeCell ref="A222:A226"/>
    <mergeCell ref="B222:B226"/>
    <mergeCell ref="S227:W227"/>
    <mergeCell ref="M228:R228"/>
    <mergeCell ref="U228:W228"/>
    <mergeCell ref="G230:V234"/>
    <mergeCell ref="B234:C234"/>
    <mergeCell ref="A207:A211"/>
    <mergeCell ref="B207:B211"/>
    <mergeCell ref="A212:A216"/>
    <mergeCell ref="B212:B216"/>
    <mergeCell ref="A217:A221"/>
    <mergeCell ref="B217:B221"/>
    <mergeCell ref="A192:A196"/>
    <mergeCell ref="B192:B196"/>
    <mergeCell ref="A197:A201"/>
    <mergeCell ref="B197:B201"/>
    <mergeCell ref="A202:A206"/>
    <mergeCell ref="B202:B206"/>
    <mergeCell ref="A182:A186"/>
    <mergeCell ref="B182:B186"/>
    <mergeCell ref="W182:W186"/>
    <mergeCell ref="A187:A191"/>
    <mergeCell ref="B187:B191"/>
    <mergeCell ref="W187:W191"/>
    <mergeCell ref="A172:A176"/>
    <mergeCell ref="B172:B176"/>
    <mergeCell ref="W172:W176"/>
    <mergeCell ref="A177:A181"/>
    <mergeCell ref="B177:B181"/>
    <mergeCell ref="W177:W181"/>
    <mergeCell ref="A162:A166"/>
    <mergeCell ref="B162:B166"/>
    <mergeCell ref="W162:W166"/>
    <mergeCell ref="A167:A171"/>
    <mergeCell ref="B167:B171"/>
    <mergeCell ref="W167:W171"/>
    <mergeCell ref="A152:A156"/>
    <mergeCell ref="B152:B156"/>
    <mergeCell ref="W152:W156"/>
    <mergeCell ref="A157:A161"/>
    <mergeCell ref="B157:B161"/>
    <mergeCell ref="W157:W161"/>
    <mergeCell ref="A142:A146"/>
    <mergeCell ref="B142:B146"/>
    <mergeCell ref="W142:W146"/>
    <mergeCell ref="A147:A151"/>
    <mergeCell ref="B147:B151"/>
    <mergeCell ref="W147:W151"/>
    <mergeCell ref="A132:A136"/>
    <mergeCell ref="B132:B136"/>
    <mergeCell ref="W132:W136"/>
    <mergeCell ref="A137:A141"/>
    <mergeCell ref="B137:B141"/>
    <mergeCell ref="W137:W141"/>
    <mergeCell ref="A122:A126"/>
    <mergeCell ref="B122:B126"/>
    <mergeCell ref="W122:W126"/>
    <mergeCell ref="A127:A131"/>
    <mergeCell ref="B127:B131"/>
    <mergeCell ref="W127:W131"/>
    <mergeCell ref="A112:A116"/>
    <mergeCell ref="B112:B116"/>
    <mergeCell ref="W112:W116"/>
    <mergeCell ref="A117:A121"/>
    <mergeCell ref="B117:B121"/>
    <mergeCell ref="W117:W121"/>
    <mergeCell ref="A102:A106"/>
    <mergeCell ref="B102:B106"/>
    <mergeCell ref="W102:W106"/>
    <mergeCell ref="A107:A111"/>
    <mergeCell ref="B107:B111"/>
    <mergeCell ref="W107:W111"/>
    <mergeCell ref="A92:A96"/>
    <mergeCell ref="B92:B96"/>
    <mergeCell ref="W92:W96"/>
    <mergeCell ref="A97:A101"/>
    <mergeCell ref="B97:B101"/>
    <mergeCell ref="W97:W101"/>
    <mergeCell ref="A82:A86"/>
    <mergeCell ref="B82:B86"/>
    <mergeCell ref="W82:W86"/>
    <mergeCell ref="A87:A91"/>
    <mergeCell ref="B87:B91"/>
    <mergeCell ref="W87:W91"/>
    <mergeCell ref="A72:A76"/>
    <mergeCell ref="B72:B76"/>
    <mergeCell ref="W72:W76"/>
    <mergeCell ref="A77:A81"/>
    <mergeCell ref="B77:B81"/>
    <mergeCell ref="W77:W8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W7:W11"/>
    <mergeCell ref="F8:F9"/>
    <mergeCell ref="G8:H8"/>
    <mergeCell ref="I8:J8"/>
    <mergeCell ref="K8:M8"/>
    <mergeCell ref="N8:Q8"/>
    <mergeCell ref="P1:W1"/>
    <mergeCell ref="A2:I2"/>
    <mergeCell ref="P2:W2"/>
    <mergeCell ref="A3:G3"/>
    <mergeCell ref="A5:W5"/>
    <mergeCell ref="V6:W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workbookViewId="0">
      <selection sqref="A1:XFD1048576"/>
    </sheetView>
  </sheetViews>
  <sheetFormatPr defaultColWidth="9.25" defaultRowHeight="12.75"/>
  <cols>
    <col min="1" max="1" width="4.375" style="1879" customWidth="1"/>
    <col min="2" max="2" width="7.875" style="1879" customWidth="1"/>
    <col min="3" max="5" width="3.375" style="1879" customWidth="1"/>
    <col min="6" max="6" width="4.25" style="1879" customWidth="1"/>
    <col min="7" max="7" width="4.625" style="1879" customWidth="1"/>
    <col min="8" max="8" width="4.25" style="1879" customWidth="1"/>
    <col min="9" max="9" width="5" style="1879" customWidth="1"/>
    <col min="10" max="10" width="3.75" style="1879" customWidth="1"/>
    <col min="11" max="13" width="4.875" style="1879" customWidth="1"/>
    <col min="14" max="14" width="5.375" style="1879" customWidth="1"/>
    <col min="15" max="18" width="4.875" style="1879" customWidth="1"/>
    <col min="19" max="20" width="5.375" style="1879" customWidth="1"/>
    <col min="21" max="21" width="6.625" style="1879" customWidth="1"/>
    <col min="22" max="22" width="9" style="1879" customWidth="1"/>
    <col min="23" max="23" width="8.125" style="1879" customWidth="1"/>
    <col min="24" max="16384" width="9.25" style="1879"/>
  </cols>
  <sheetData>
    <row r="1" spans="1:26" s="1878" customFormat="1" ht="15.75">
      <c r="A1" s="1877" t="s">
        <v>574</v>
      </c>
      <c r="B1" s="1877"/>
      <c r="C1" s="1877"/>
      <c r="D1" s="1877"/>
      <c r="E1" s="1877"/>
      <c r="F1" s="1877"/>
      <c r="G1" s="1877"/>
      <c r="P1" s="4963" t="s">
        <v>165</v>
      </c>
      <c r="Q1" s="4963"/>
      <c r="R1" s="4963"/>
      <c r="S1" s="4963"/>
      <c r="T1" s="4963"/>
      <c r="U1" s="4963"/>
      <c r="V1" s="4963"/>
      <c r="W1" s="4963"/>
    </row>
    <row r="2" spans="1:26" ht="15.75">
      <c r="A2" s="4963" t="s">
        <v>1105</v>
      </c>
      <c r="B2" s="4963"/>
      <c r="C2" s="4963"/>
      <c r="D2" s="4963"/>
      <c r="E2" s="4963"/>
      <c r="F2" s="4963"/>
      <c r="G2" s="4963"/>
      <c r="H2" s="4963"/>
      <c r="I2" s="4963"/>
      <c r="P2" s="4963" t="s">
        <v>171</v>
      </c>
      <c r="Q2" s="4963"/>
      <c r="R2" s="4963"/>
      <c r="S2" s="4963"/>
      <c r="T2" s="4963"/>
      <c r="U2" s="4963"/>
      <c r="V2" s="4963"/>
      <c r="W2" s="4963"/>
    </row>
    <row r="3" spans="1:26" ht="15.75">
      <c r="A3" s="4963" t="s">
        <v>322</v>
      </c>
      <c r="B3" s="4963"/>
      <c r="C3" s="4963"/>
      <c r="D3" s="4963"/>
      <c r="E3" s="4963"/>
      <c r="F3" s="4963"/>
      <c r="G3" s="4963"/>
    </row>
    <row r="4" spans="1:26" ht="9" customHeight="1">
      <c r="A4" s="1880"/>
      <c r="B4" s="1880"/>
      <c r="C4" s="1880"/>
      <c r="D4" s="1880"/>
      <c r="E4" s="1880"/>
    </row>
    <row r="5" spans="1:26" ht="18.75">
      <c r="A5" s="4964" t="s">
        <v>1106</v>
      </c>
      <c r="B5" s="4964"/>
      <c r="C5" s="4964"/>
      <c r="D5" s="4964"/>
      <c r="E5" s="4964"/>
      <c r="F5" s="4964"/>
      <c r="G5" s="4964"/>
      <c r="H5" s="4964"/>
      <c r="I5" s="4964"/>
      <c r="J5" s="4964"/>
      <c r="K5" s="4964"/>
      <c r="L5" s="4964"/>
      <c r="M5" s="4964"/>
      <c r="N5" s="4964"/>
      <c r="O5" s="4964"/>
      <c r="P5" s="4964"/>
      <c r="Q5" s="4964"/>
      <c r="R5" s="4964"/>
      <c r="S5" s="4964"/>
      <c r="T5" s="4964"/>
      <c r="U5" s="4964"/>
      <c r="V5" s="4964"/>
      <c r="W5" s="4964"/>
    </row>
    <row r="6" spans="1:26" ht="21" customHeight="1">
      <c r="V6" s="4965"/>
      <c r="W6" s="4965"/>
    </row>
    <row r="7" spans="1:26" ht="17.25" customHeight="1">
      <c r="A7" s="4980" t="s">
        <v>19</v>
      </c>
      <c r="B7" s="4980" t="s">
        <v>1107</v>
      </c>
      <c r="C7" s="4983" t="s">
        <v>116</v>
      </c>
      <c r="D7" s="4984"/>
      <c r="E7" s="4984"/>
      <c r="F7" s="4989" t="s">
        <v>117</v>
      </c>
      <c r="G7" s="4989"/>
      <c r="H7" s="4989"/>
      <c r="I7" s="4989"/>
      <c r="J7" s="4989"/>
      <c r="K7" s="4989"/>
      <c r="L7" s="4989"/>
      <c r="M7" s="4989"/>
      <c r="N7" s="4989"/>
      <c r="O7" s="4989"/>
      <c r="P7" s="4989"/>
      <c r="Q7" s="4989"/>
      <c r="R7" s="4989"/>
      <c r="S7" s="4989"/>
      <c r="T7" s="4989"/>
      <c r="U7" s="4989"/>
      <c r="V7" s="4990"/>
      <c r="W7" s="4972" t="s">
        <v>118</v>
      </c>
      <c r="Z7" s="1881"/>
    </row>
    <row r="8" spans="1:26" ht="16.5">
      <c r="A8" s="4981"/>
      <c r="B8" s="4981"/>
      <c r="C8" s="4985"/>
      <c r="D8" s="4986"/>
      <c r="E8" s="4986"/>
      <c r="F8" s="4975" t="s">
        <v>119</v>
      </c>
      <c r="G8" s="4976" t="s">
        <v>120</v>
      </c>
      <c r="H8" s="4976"/>
      <c r="I8" s="4976" t="s">
        <v>121</v>
      </c>
      <c r="J8" s="4976"/>
      <c r="K8" s="4976" t="s">
        <v>122</v>
      </c>
      <c r="L8" s="4976"/>
      <c r="M8" s="4976"/>
      <c r="N8" s="4976" t="s">
        <v>123</v>
      </c>
      <c r="O8" s="4976"/>
      <c r="P8" s="4976"/>
      <c r="Q8" s="4976"/>
      <c r="R8" s="4975" t="s">
        <v>124</v>
      </c>
      <c r="S8" s="4975" t="s">
        <v>125</v>
      </c>
      <c r="T8" s="4975" t="s">
        <v>126</v>
      </c>
      <c r="U8" s="4975" t="s">
        <v>127</v>
      </c>
      <c r="V8" s="4977" t="s">
        <v>128</v>
      </c>
      <c r="W8" s="4973"/>
      <c r="Z8" s="1882"/>
    </row>
    <row r="9" spans="1:26" ht="57.75" customHeight="1">
      <c r="A9" s="4981"/>
      <c r="B9" s="4981"/>
      <c r="C9" s="4985"/>
      <c r="D9" s="4986"/>
      <c r="E9" s="4986"/>
      <c r="F9" s="4975"/>
      <c r="G9" s="1883" t="s">
        <v>129</v>
      </c>
      <c r="H9" s="1883" t="s">
        <v>130</v>
      </c>
      <c r="I9" s="1884" t="s">
        <v>129</v>
      </c>
      <c r="J9" s="1883" t="s">
        <v>130</v>
      </c>
      <c r="K9" s="1883" t="s">
        <v>131</v>
      </c>
      <c r="L9" s="1883" t="s">
        <v>132</v>
      </c>
      <c r="M9" s="1883" t="s">
        <v>133</v>
      </c>
      <c r="N9" s="1883" t="s">
        <v>134</v>
      </c>
      <c r="O9" s="1884" t="s">
        <v>135</v>
      </c>
      <c r="P9" s="1883" t="s">
        <v>136</v>
      </c>
      <c r="Q9" s="1883" t="s">
        <v>137</v>
      </c>
      <c r="R9" s="4975"/>
      <c r="S9" s="4975"/>
      <c r="T9" s="4975"/>
      <c r="U9" s="4975"/>
      <c r="V9" s="4977"/>
      <c r="W9" s="4973"/>
      <c r="Z9" s="1885"/>
    </row>
    <row r="10" spans="1:26" ht="23.25" customHeight="1">
      <c r="A10" s="4982"/>
      <c r="B10" s="4982"/>
      <c r="C10" s="4987"/>
      <c r="D10" s="4988"/>
      <c r="E10" s="4988"/>
      <c r="F10" s="1907" t="s">
        <v>138</v>
      </c>
      <c r="G10" s="1908" t="s">
        <v>139</v>
      </c>
      <c r="H10" s="1908" t="s">
        <v>139</v>
      </c>
      <c r="I10" s="1908" t="s">
        <v>140</v>
      </c>
      <c r="J10" s="1908" t="s">
        <v>140</v>
      </c>
      <c r="K10" s="1908" t="s">
        <v>141</v>
      </c>
      <c r="L10" s="1907"/>
      <c r="M10" s="1907" t="s">
        <v>142</v>
      </c>
      <c r="N10" s="1909"/>
      <c r="O10" s="1910"/>
      <c r="P10" s="1911" t="s">
        <v>143</v>
      </c>
      <c r="Q10" s="1911"/>
      <c r="R10" s="1912" t="s">
        <v>144</v>
      </c>
      <c r="S10" s="1909"/>
      <c r="T10" s="1913" t="s">
        <v>145</v>
      </c>
      <c r="U10" s="1911"/>
      <c r="V10" s="1914"/>
      <c r="W10" s="4973"/>
    </row>
    <row r="11" spans="1:26" ht="18" customHeight="1">
      <c r="A11" s="5003" t="s">
        <v>146</v>
      </c>
      <c r="B11" s="5004"/>
      <c r="C11" s="1925" t="s">
        <v>147</v>
      </c>
      <c r="D11" s="1926" t="s">
        <v>148</v>
      </c>
      <c r="E11" s="1926" t="s">
        <v>149</v>
      </c>
      <c r="F11" s="1927">
        <v>1</v>
      </c>
      <c r="G11" s="1927">
        <v>4</v>
      </c>
      <c r="H11" s="1927">
        <v>2</v>
      </c>
      <c r="I11" s="1927">
        <v>5</v>
      </c>
      <c r="J11" s="1927">
        <v>3</v>
      </c>
      <c r="K11" s="1927">
        <v>3</v>
      </c>
      <c r="L11" s="1927">
        <v>2</v>
      </c>
      <c r="M11" s="1927">
        <v>5</v>
      </c>
      <c r="N11" s="1927">
        <v>1</v>
      </c>
      <c r="O11" s="1927">
        <v>2</v>
      </c>
      <c r="P11" s="1927">
        <v>1</v>
      </c>
      <c r="Q11" s="1927">
        <v>1</v>
      </c>
      <c r="R11" s="1927">
        <v>3</v>
      </c>
      <c r="S11" s="1927">
        <v>5</v>
      </c>
      <c r="T11" s="1927">
        <v>2</v>
      </c>
      <c r="U11" s="1927">
        <v>2</v>
      </c>
      <c r="V11" s="1928">
        <v>2</v>
      </c>
      <c r="W11" s="4974"/>
    </row>
    <row r="12" spans="1:26" ht="17.25" customHeight="1">
      <c r="A12" s="4966">
        <v>1</v>
      </c>
      <c r="B12" s="4966" t="s">
        <v>984</v>
      </c>
      <c r="C12" s="1922"/>
      <c r="D12" s="1903"/>
      <c r="E12" s="1903"/>
      <c r="F12" s="1904"/>
      <c r="G12" s="1904"/>
      <c r="H12" s="1904"/>
      <c r="I12" s="1904"/>
      <c r="J12" s="1904"/>
      <c r="K12" s="1904"/>
      <c r="L12" s="1904"/>
      <c r="M12" s="1904"/>
      <c r="N12" s="1904"/>
      <c r="O12" s="1904"/>
      <c r="P12" s="1904"/>
      <c r="Q12" s="1904"/>
      <c r="R12" s="1904"/>
      <c r="S12" s="1904"/>
      <c r="T12" s="1904"/>
      <c r="U12" s="1904"/>
      <c r="V12" s="1916"/>
      <c r="W12" s="4969"/>
    </row>
    <row r="13" spans="1:26" ht="17.25" customHeight="1">
      <c r="A13" s="4967"/>
      <c r="B13" s="4967"/>
      <c r="C13" s="1923"/>
      <c r="D13" s="1886"/>
      <c r="E13" s="1886"/>
      <c r="F13" s="1887"/>
      <c r="G13" s="1887"/>
      <c r="H13" s="1887"/>
      <c r="I13" s="1887"/>
      <c r="J13" s="1887"/>
      <c r="K13" s="1887"/>
      <c r="L13" s="1887"/>
      <c r="M13" s="1887"/>
      <c r="N13" s="1887"/>
      <c r="O13" s="1887"/>
      <c r="P13" s="1887"/>
      <c r="Q13" s="1887"/>
      <c r="R13" s="1887"/>
      <c r="S13" s="1887"/>
      <c r="T13" s="1887"/>
      <c r="U13" s="1887"/>
      <c r="V13" s="1917"/>
      <c r="W13" s="4970"/>
    </row>
    <row r="14" spans="1:26" ht="17.25" customHeight="1">
      <c r="A14" s="4967"/>
      <c r="B14" s="4967"/>
      <c r="C14" s="1923"/>
      <c r="D14" s="1886"/>
      <c r="E14" s="1886"/>
      <c r="F14" s="1887"/>
      <c r="G14" s="1887"/>
      <c r="H14" s="1887"/>
      <c r="I14" s="1887"/>
      <c r="J14" s="1887"/>
      <c r="K14" s="1887"/>
      <c r="L14" s="1887"/>
      <c r="M14" s="1887"/>
      <c r="N14" s="1887"/>
      <c r="O14" s="1887"/>
      <c r="P14" s="1887"/>
      <c r="Q14" s="1887"/>
      <c r="R14" s="1887"/>
      <c r="S14" s="1887"/>
      <c r="T14" s="1887"/>
      <c r="U14" s="1887"/>
      <c r="V14" s="1917"/>
      <c r="W14" s="4970"/>
    </row>
    <row r="15" spans="1:26" ht="17.25" customHeight="1">
      <c r="A15" s="4967"/>
      <c r="B15" s="4967"/>
      <c r="C15" s="1923"/>
      <c r="D15" s="1886"/>
      <c r="E15" s="1886"/>
      <c r="F15" s="1887"/>
      <c r="G15" s="1887"/>
      <c r="H15" s="1887"/>
      <c r="I15" s="1887"/>
      <c r="J15" s="1887"/>
      <c r="K15" s="1887"/>
      <c r="L15" s="1887"/>
      <c r="M15" s="1887"/>
      <c r="N15" s="1887"/>
      <c r="O15" s="1887"/>
      <c r="P15" s="1887"/>
      <c r="Q15" s="1887"/>
      <c r="R15" s="1887"/>
      <c r="S15" s="1887"/>
      <c r="T15" s="1887"/>
      <c r="U15" s="1887"/>
      <c r="V15" s="1917"/>
      <c r="W15" s="4970"/>
    </row>
    <row r="16" spans="1:26" ht="17.25" customHeight="1">
      <c r="A16" s="4968"/>
      <c r="B16" s="4968"/>
      <c r="C16" s="1924"/>
      <c r="D16" s="1901"/>
      <c r="E16" s="1901"/>
      <c r="F16" s="1902"/>
      <c r="G16" s="1902"/>
      <c r="H16" s="1902"/>
      <c r="I16" s="1902"/>
      <c r="J16" s="1902"/>
      <c r="K16" s="1902"/>
      <c r="L16" s="1902"/>
      <c r="M16" s="1902"/>
      <c r="N16" s="1902"/>
      <c r="O16" s="1902"/>
      <c r="P16" s="1902"/>
      <c r="Q16" s="1902"/>
      <c r="R16" s="1902"/>
      <c r="S16" s="1902"/>
      <c r="T16" s="1902"/>
      <c r="U16" s="1902"/>
      <c r="V16" s="1918"/>
      <c r="W16" s="4971"/>
    </row>
    <row r="17" spans="1:23" ht="17.25" customHeight="1">
      <c r="A17" s="4966">
        <v>2</v>
      </c>
      <c r="B17" s="5005" t="s">
        <v>985</v>
      </c>
      <c r="C17" s="1922"/>
      <c r="D17" s="1903"/>
      <c r="E17" s="1903"/>
      <c r="F17" s="1904"/>
      <c r="G17" s="1904"/>
      <c r="H17" s="1904"/>
      <c r="I17" s="1904"/>
      <c r="J17" s="1904"/>
      <c r="K17" s="1904"/>
      <c r="L17" s="1904"/>
      <c r="M17" s="1904"/>
      <c r="N17" s="1904"/>
      <c r="O17" s="1904"/>
      <c r="P17" s="1904"/>
      <c r="Q17" s="1904"/>
      <c r="R17" s="1904"/>
      <c r="S17" s="1904"/>
      <c r="T17" s="1904"/>
      <c r="U17" s="1904"/>
      <c r="V17" s="1916"/>
      <c r="W17" s="4969"/>
    </row>
    <row r="18" spans="1:23" ht="17.25" customHeight="1">
      <c r="A18" s="4967"/>
      <c r="B18" s="5006"/>
      <c r="C18" s="1923"/>
      <c r="D18" s="1886"/>
      <c r="E18" s="1886"/>
      <c r="F18" s="1887"/>
      <c r="G18" s="1887"/>
      <c r="H18" s="1887"/>
      <c r="I18" s="1887"/>
      <c r="J18" s="1887"/>
      <c r="K18" s="1887"/>
      <c r="L18" s="1887"/>
      <c r="M18" s="1887"/>
      <c r="N18" s="1887"/>
      <c r="O18" s="1887"/>
      <c r="P18" s="1887"/>
      <c r="Q18" s="1887"/>
      <c r="R18" s="1887"/>
      <c r="S18" s="1887"/>
      <c r="T18" s="1887"/>
      <c r="U18" s="1887"/>
      <c r="V18" s="1917"/>
      <c r="W18" s="4970"/>
    </row>
    <row r="19" spans="1:23" ht="17.25" customHeight="1">
      <c r="A19" s="4967"/>
      <c r="B19" s="5006"/>
      <c r="C19" s="1923"/>
      <c r="D19" s="1886"/>
      <c r="E19" s="1886"/>
      <c r="F19" s="1887"/>
      <c r="G19" s="1887"/>
      <c r="H19" s="1887"/>
      <c r="I19" s="1887"/>
      <c r="J19" s="1887"/>
      <c r="K19" s="1887"/>
      <c r="L19" s="1887"/>
      <c r="M19" s="1887"/>
      <c r="N19" s="1887"/>
      <c r="O19" s="1887"/>
      <c r="P19" s="1887"/>
      <c r="Q19" s="1887"/>
      <c r="R19" s="1887"/>
      <c r="S19" s="1887"/>
      <c r="T19" s="1887"/>
      <c r="U19" s="1887"/>
      <c r="V19" s="1917"/>
      <c r="W19" s="4970"/>
    </row>
    <row r="20" spans="1:23" ht="17.25" customHeight="1">
      <c r="A20" s="4967"/>
      <c r="B20" s="5006"/>
      <c r="C20" s="1923"/>
      <c r="D20" s="1886"/>
      <c r="E20" s="1886"/>
      <c r="F20" s="1887"/>
      <c r="G20" s="1887"/>
      <c r="H20" s="1887"/>
      <c r="I20" s="1887"/>
      <c r="J20" s="1887"/>
      <c r="K20" s="1887"/>
      <c r="L20" s="1887"/>
      <c r="M20" s="1887"/>
      <c r="N20" s="1887"/>
      <c r="O20" s="1887"/>
      <c r="P20" s="1887"/>
      <c r="Q20" s="1887"/>
      <c r="R20" s="1887"/>
      <c r="S20" s="1887"/>
      <c r="T20" s="1887"/>
      <c r="U20" s="1887"/>
      <c r="V20" s="1917"/>
      <c r="W20" s="4970"/>
    </row>
    <row r="21" spans="1:23" ht="17.25" customHeight="1">
      <c r="A21" s="4968"/>
      <c r="B21" s="5007"/>
      <c r="C21" s="1924"/>
      <c r="D21" s="1901"/>
      <c r="E21" s="1901"/>
      <c r="F21" s="1902"/>
      <c r="G21" s="1902"/>
      <c r="H21" s="1902"/>
      <c r="I21" s="1902"/>
      <c r="J21" s="1902"/>
      <c r="K21" s="1902"/>
      <c r="L21" s="1902"/>
      <c r="M21" s="1902"/>
      <c r="N21" s="1902"/>
      <c r="O21" s="1902"/>
      <c r="P21" s="1902"/>
      <c r="Q21" s="1902"/>
      <c r="R21" s="1902"/>
      <c r="S21" s="1902"/>
      <c r="T21" s="1902"/>
      <c r="U21" s="1902"/>
      <c r="V21" s="1918"/>
      <c r="W21" s="4971"/>
    </row>
    <row r="22" spans="1:23" ht="21" customHeight="1">
      <c r="A22" s="4966">
        <v>3</v>
      </c>
      <c r="B22" s="5005" t="s">
        <v>962</v>
      </c>
      <c r="C22" s="1922"/>
      <c r="D22" s="1903"/>
      <c r="E22" s="1903"/>
      <c r="F22" s="1904"/>
      <c r="G22" s="1904"/>
      <c r="H22" s="1904"/>
      <c r="I22" s="1904"/>
      <c r="J22" s="1904"/>
      <c r="K22" s="1904"/>
      <c r="L22" s="1904"/>
      <c r="M22" s="1904"/>
      <c r="N22" s="1904"/>
      <c r="O22" s="1904"/>
      <c r="P22" s="1904"/>
      <c r="Q22" s="1904"/>
      <c r="R22" s="1904"/>
      <c r="S22" s="1904"/>
      <c r="T22" s="1904"/>
      <c r="U22" s="1904"/>
      <c r="V22" s="1916"/>
      <c r="W22" s="4969"/>
    </row>
    <row r="23" spans="1:23" ht="21" customHeight="1">
      <c r="A23" s="4967"/>
      <c r="B23" s="5006"/>
      <c r="C23" s="1923"/>
      <c r="D23" s="1886"/>
      <c r="E23" s="1886"/>
      <c r="F23" s="1887"/>
      <c r="G23" s="1887"/>
      <c r="H23" s="1887"/>
      <c r="I23" s="1887"/>
      <c r="J23" s="1887"/>
      <c r="K23" s="1887"/>
      <c r="L23" s="1887"/>
      <c r="M23" s="1887"/>
      <c r="N23" s="1887"/>
      <c r="O23" s="1887"/>
      <c r="P23" s="1887"/>
      <c r="Q23" s="1887"/>
      <c r="R23" s="1887"/>
      <c r="S23" s="1887"/>
      <c r="T23" s="1887"/>
      <c r="U23" s="1887"/>
      <c r="V23" s="1917"/>
      <c r="W23" s="4970"/>
    </row>
    <row r="24" spans="1:23" ht="21" customHeight="1">
      <c r="A24" s="4967"/>
      <c r="B24" s="5006"/>
      <c r="C24" s="1923"/>
      <c r="D24" s="1886"/>
      <c r="E24" s="1886"/>
      <c r="F24" s="1887"/>
      <c r="G24" s="1887"/>
      <c r="H24" s="1887"/>
      <c r="I24" s="1887"/>
      <c r="J24" s="1887"/>
      <c r="K24" s="1887"/>
      <c r="L24" s="1887"/>
      <c r="M24" s="1887"/>
      <c r="N24" s="1887"/>
      <c r="O24" s="1887"/>
      <c r="P24" s="1887"/>
      <c r="Q24" s="1887"/>
      <c r="R24" s="1887"/>
      <c r="S24" s="1887"/>
      <c r="T24" s="1887"/>
      <c r="U24" s="1887"/>
      <c r="V24" s="1917"/>
      <c r="W24" s="4970"/>
    </row>
    <row r="25" spans="1:23" ht="21" customHeight="1">
      <c r="A25" s="4967"/>
      <c r="B25" s="5006"/>
      <c r="C25" s="1923"/>
      <c r="D25" s="1886"/>
      <c r="E25" s="1886"/>
      <c r="F25" s="1887"/>
      <c r="G25" s="1887"/>
      <c r="H25" s="1887"/>
      <c r="I25" s="1887"/>
      <c r="J25" s="1887"/>
      <c r="K25" s="1887"/>
      <c r="L25" s="1887"/>
      <c r="M25" s="1887"/>
      <c r="N25" s="1887"/>
      <c r="O25" s="1887"/>
      <c r="P25" s="1887"/>
      <c r="Q25" s="1887"/>
      <c r="R25" s="1887"/>
      <c r="S25" s="1887"/>
      <c r="T25" s="1887"/>
      <c r="U25" s="1887"/>
      <c r="V25" s="1917"/>
      <c r="W25" s="4970"/>
    </row>
    <row r="26" spans="1:23" ht="21" customHeight="1">
      <c r="A26" s="4968"/>
      <c r="B26" s="5007"/>
      <c r="C26" s="1924"/>
      <c r="D26" s="1901"/>
      <c r="E26" s="1901"/>
      <c r="F26" s="1902"/>
      <c r="G26" s="1902"/>
      <c r="H26" s="1902"/>
      <c r="I26" s="1902"/>
      <c r="J26" s="1902"/>
      <c r="K26" s="1902"/>
      <c r="L26" s="1902"/>
      <c r="M26" s="1902"/>
      <c r="N26" s="1902"/>
      <c r="O26" s="1902"/>
      <c r="P26" s="1902"/>
      <c r="Q26" s="1902"/>
      <c r="R26" s="1902"/>
      <c r="S26" s="1902"/>
      <c r="T26" s="1902"/>
      <c r="U26" s="1902"/>
      <c r="V26" s="1918"/>
      <c r="W26" s="4971"/>
    </row>
    <row r="27" spans="1:23" ht="19.5" customHeight="1">
      <c r="A27" s="4966">
        <v>4</v>
      </c>
      <c r="B27" s="5005" t="s">
        <v>963</v>
      </c>
      <c r="C27" s="1922"/>
      <c r="D27" s="1903"/>
      <c r="E27" s="1903"/>
      <c r="F27" s="1904"/>
      <c r="G27" s="1904"/>
      <c r="H27" s="1904"/>
      <c r="I27" s="1904"/>
      <c r="J27" s="1904"/>
      <c r="K27" s="1904"/>
      <c r="L27" s="1904"/>
      <c r="M27" s="1904"/>
      <c r="N27" s="1904"/>
      <c r="O27" s="1904"/>
      <c r="P27" s="1904"/>
      <c r="Q27" s="1904"/>
      <c r="R27" s="1904"/>
      <c r="S27" s="1904"/>
      <c r="T27" s="1904"/>
      <c r="U27" s="1904"/>
      <c r="V27" s="1916"/>
      <c r="W27" s="4969"/>
    </row>
    <row r="28" spans="1:23" ht="19.5" customHeight="1">
      <c r="A28" s="4967"/>
      <c r="B28" s="5006"/>
      <c r="C28" s="1923"/>
      <c r="D28" s="1886"/>
      <c r="E28" s="1886"/>
      <c r="F28" s="1887"/>
      <c r="G28" s="1887"/>
      <c r="H28" s="1887"/>
      <c r="I28" s="1887"/>
      <c r="J28" s="1887"/>
      <c r="K28" s="1887"/>
      <c r="L28" s="1887"/>
      <c r="M28" s="1887"/>
      <c r="N28" s="1887"/>
      <c r="O28" s="1887"/>
      <c r="P28" s="1887"/>
      <c r="Q28" s="1887"/>
      <c r="R28" s="1887"/>
      <c r="S28" s="1887"/>
      <c r="T28" s="1887"/>
      <c r="U28" s="1887"/>
      <c r="V28" s="1917"/>
      <c r="W28" s="4970"/>
    </row>
    <row r="29" spans="1:23" ht="19.5" customHeight="1">
      <c r="A29" s="4967"/>
      <c r="B29" s="5006"/>
      <c r="C29" s="1923"/>
      <c r="D29" s="1886"/>
      <c r="E29" s="1886"/>
      <c r="F29" s="1887"/>
      <c r="G29" s="1887"/>
      <c r="H29" s="1887"/>
      <c r="I29" s="1887"/>
      <c r="J29" s="1887"/>
      <c r="K29" s="1887"/>
      <c r="L29" s="1887"/>
      <c r="M29" s="1887"/>
      <c r="N29" s="1887"/>
      <c r="O29" s="1887"/>
      <c r="P29" s="1887"/>
      <c r="Q29" s="1887"/>
      <c r="R29" s="1887"/>
      <c r="S29" s="1887"/>
      <c r="T29" s="1887"/>
      <c r="U29" s="1887"/>
      <c r="V29" s="1917"/>
      <c r="W29" s="4970"/>
    </row>
    <row r="30" spans="1:23" ht="19.5" customHeight="1">
      <c r="A30" s="4967"/>
      <c r="B30" s="5006"/>
      <c r="C30" s="1923"/>
      <c r="D30" s="1886"/>
      <c r="E30" s="1886"/>
      <c r="F30" s="1887"/>
      <c r="G30" s="1887"/>
      <c r="H30" s="1887"/>
      <c r="I30" s="1887"/>
      <c r="J30" s="1887"/>
      <c r="K30" s="1887"/>
      <c r="L30" s="1887"/>
      <c r="M30" s="1887"/>
      <c r="N30" s="1887"/>
      <c r="O30" s="1887"/>
      <c r="P30" s="1887"/>
      <c r="Q30" s="1887"/>
      <c r="R30" s="1887"/>
      <c r="S30" s="1887"/>
      <c r="T30" s="1887"/>
      <c r="U30" s="1887"/>
      <c r="V30" s="1917"/>
      <c r="W30" s="4970"/>
    </row>
    <row r="31" spans="1:23" ht="19.5" customHeight="1">
      <c r="A31" s="4968"/>
      <c r="B31" s="5007"/>
      <c r="C31" s="1924"/>
      <c r="D31" s="1901"/>
      <c r="E31" s="1901"/>
      <c r="F31" s="1902"/>
      <c r="G31" s="1902"/>
      <c r="H31" s="1902"/>
      <c r="I31" s="1902"/>
      <c r="J31" s="1902"/>
      <c r="K31" s="1902"/>
      <c r="L31" s="1902"/>
      <c r="M31" s="1902"/>
      <c r="N31" s="1902"/>
      <c r="O31" s="1902"/>
      <c r="P31" s="1902"/>
      <c r="Q31" s="1902"/>
      <c r="R31" s="1902"/>
      <c r="S31" s="1902"/>
      <c r="T31" s="1902"/>
      <c r="U31" s="1902"/>
      <c r="V31" s="1918"/>
      <c r="W31" s="4971"/>
    </row>
    <row r="32" spans="1:23" ht="17.25" customHeight="1">
      <c r="A32" s="4966">
        <v>5</v>
      </c>
      <c r="B32" s="5005" t="s">
        <v>950</v>
      </c>
      <c r="C32" s="1922"/>
      <c r="D32" s="1903"/>
      <c r="E32" s="1903"/>
      <c r="F32" s="1904"/>
      <c r="G32" s="1904"/>
      <c r="H32" s="1904"/>
      <c r="I32" s="1904"/>
      <c r="J32" s="1904"/>
      <c r="K32" s="1904"/>
      <c r="L32" s="1904"/>
      <c r="M32" s="1904"/>
      <c r="N32" s="1904"/>
      <c r="O32" s="1904"/>
      <c r="P32" s="1904"/>
      <c r="Q32" s="1904"/>
      <c r="R32" s="1904"/>
      <c r="S32" s="1904"/>
      <c r="T32" s="1904"/>
      <c r="U32" s="1904"/>
      <c r="V32" s="1916"/>
      <c r="W32" s="4969"/>
    </row>
    <row r="33" spans="1:23" ht="17.25" customHeight="1">
      <c r="A33" s="4967"/>
      <c r="B33" s="5006"/>
      <c r="C33" s="1923"/>
      <c r="D33" s="1886"/>
      <c r="E33" s="1886"/>
      <c r="F33" s="1887"/>
      <c r="G33" s="1887"/>
      <c r="H33" s="1887"/>
      <c r="I33" s="1887"/>
      <c r="J33" s="1887"/>
      <c r="K33" s="1887"/>
      <c r="L33" s="1887"/>
      <c r="M33" s="1887"/>
      <c r="N33" s="1887"/>
      <c r="O33" s="1887"/>
      <c r="P33" s="1887"/>
      <c r="Q33" s="1887"/>
      <c r="R33" s="1887"/>
      <c r="S33" s="1887"/>
      <c r="T33" s="1887"/>
      <c r="U33" s="1887"/>
      <c r="V33" s="1917"/>
      <c r="W33" s="4970"/>
    </row>
    <row r="34" spans="1:23" ht="17.25" customHeight="1">
      <c r="A34" s="4967"/>
      <c r="B34" s="5006"/>
      <c r="C34" s="1923"/>
      <c r="D34" s="1886"/>
      <c r="E34" s="1886"/>
      <c r="F34" s="1887"/>
      <c r="G34" s="1887"/>
      <c r="H34" s="1887"/>
      <c r="I34" s="1887"/>
      <c r="J34" s="1887"/>
      <c r="K34" s="1887"/>
      <c r="L34" s="1887"/>
      <c r="M34" s="1887"/>
      <c r="N34" s="1887"/>
      <c r="O34" s="1887"/>
      <c r="P34" s="1887"/>
      <c r="Q34" s="1887"/>
      <c r="R34" s="1887"/>
      <c r="S34" s="1887"/>
      <c r="T34" s="1887"/>
      <c r="U34" s="1887"/>
      <c r="V34" s="1917"/>
      <c r="W34" s="4970"/>
    </row>
    <row r="35" spans="1:23" ht="17.25" customHeight="1">
      <c r="A35" s="4967"/>
      <c r="B35" s="5006"/>
      <c r="C35" s="1923"/>
      <c r="D35" s="1886"/>
      <c r="E35" s="1886"/>
      <c r="F35" s="1887"/>
      <c r="G35" s="1887"/>
      <c r="H35" s="1887"/>
      <c r="I35" s="1887"/>
      <c r="J35" s="1887"/>
      <c r="K35" s="1887"/>
      <c r="L35" s="1887"/>
      <c r="M35" s="1887"/>
      <c r="N35" s="1887"/>
      <c r="O35" s="1887"/>
      <c r="P35" s="1887"/>
      <c r="Q35" s="1887"/>
      <c r="R35" s="1887"/>
      <c r="S35" s="1887"/>
      <c r="T35" s="1887"/>
      <c r="U35" s="1887"/>
      <c r="V35" s="1917"/>
      <c r="W35" s="4970"/>
    </row>
    <row r="36" spans="1:23" ht="17.25" customHeight="1">
      <c r="A36" s="4968"/>
      <c r="B36" s="5007"/>
      <c r="C36" s="1924"/>
      <c r="D36" s="1901"/>
      <c r="E36" s="1901"/>
      <c r="F36" s="1902"/>
      <c r="G36" s="1902"/>
      <c r="H36" s="1902"/>
      <c r="I36" s="1902"/>
      <c r="J36" s="1902"/>
      <c r="K36" s="1902"/>
      <c r="L36" s="1902"/>
      <c r="M36" s="1902"/>
      <c r="N36" s="1902"/>
      <c r="O36" s="1902"/>
      <c r="P36" s="1902"/>
      <c r="Q36" s="1902"/>
      <c r="R36" s="1902"/>
      <c r="S36" s="1902"/>
      <c r="T36" s="1902"/>
      <c r="U36" s="1902"/>
      <c r="V36" s="1918"/>
      <c r="W36" s="4971"/>
    </row>
    <row r="37" spans="1:23" ht="18" customHeight="1">
      <c r="A37" s="4966">
        <v>6</v>
      </c>
      <c r="B37" s="5005" t="s">
        <v>951</v>
      </c>
      <c r="C37" s="1922"/>
      <c r="D37" s="1903"/>
      <c r="E37" s="1903"/>
      <c r="F37" s="1904"/>
      <c r="G37" s="1904"/>
      <c r="H37" s="1904"/>
      <c r="I37" s="1904"/>
      <c r="J37" s="1904"/>
      <c r="K37" s="1904"/>
      <c r="L37" s="1904"/>
      <c r="M37" s="1904"/>
      <c r="N37" s="1904"/>
      <c r="O37" s="1904"/>
      <c r="P37" s="1904"/>
      <c r="Q37" s="1904"/>
      <c r="R37" s="1904"/>
      <c r="S37" s="1904"/>
      <c r="T37" s="1904"/>
      <c r="U37" s="1904"/>
      <c r="V37" s="1919"/>
      <c r="W37" s="4969"/>
    </row>
    <row r="38" spans="1:23" ht="18" customHeight="1">
      <c r="A38" s="4967"/>
      <c r="B38" s="5006"/>
      <c r="C38" s="1923"/>
      <c r="D38" s="1886"/>
      <c r="E38" s="1886"/>
      <c r="F38" s="1887"/>
      <c r="G38" s="1887"/>
      <c r="H38" s="1887"/>
      <c r="I38" s="1887"/>
      <c r="J38" s="1887"/>
      <c r="K38" s="1887"/>
      <c r="L38" s="1887"/>
      <c r="M38" s="1887"/>
      <c r="N38" s="1887"/>
      <c r="O38" s="1887"/>
      <c r="P38" s="1887"/>
      <c r="Q38" s="1887"/>
      <c r="R38" s="1887"/>
      <c r="S38" s="1887"/>
      <c r="T38" s="1887"/>
      <c r="U38" s="1887"/>
      <c r="V38" s="1920"/>
      <c r="W38" s="4970"/>
    </row>
    <row r="39" spans="1:23" ht="18" customHeight="1">
      <c r="A39" s="4967"/>
      <c r="B39" s="5006"/>
      <c r="C39" s="1923"/>
      <c r="D39" s="1886"/>
      <c r="E39" s="1886"/>
      <c r="F39" s="1887"/>
      <c r="G39" s="1887"/>
      <c r="H39" s="1887"/>
      <c r="I39" s="1887"/>
      <c r="J39" s="1887"/>
      <c r="K39" s="1887"/>
      <c r="L39" s="1887"/>
      <c r="M39" s="1887"/>
      <c r="N39" s="1887"/>
      <c r="O39" s="1887"/>
      <c r="P39" s="1887"/>
      <c r="Q39" s="1887"/>
      <c r="R39" s="1887"/>
      <c r="S39" s="1887"/>
      <c r="T39" s="1887"/>
      <c r="U39" s="1887"/>
      <c r="V39" s="1920"/>
      <c r="W39" s="4970"/>
    </row>
    <row r="40" spans="1:23" ht="18" customHeight="1">
      <c r="A40" s="4967"/>
      <c r="B40" s="5006"/>
      <c r="C40" s="1923"/>
      <c r="D40" s="1886"/>
      <c r="E40" s="1886"/>
      <c r="F40" s="1887"/>
      <c r="G40" s="1887"/>
      <c r="H40" s="1887"/>
      <c r="I40" s="1887"/>
      <c r="J40" s="1887"/>
      <c r="K40" s="1887"/>
      <c r="L40" s="1887"/>
      <c r="M40" s="1887"/>
      <c r="N40" s="1887"/>
      <c r="O40" s="1887"/>
      <c r="P40" s="1887"/>
      <c r="Q40" s="1887"/>
      <c r="R40" s="1887"/>
      <c r="S40" s="1887"/>
      <c r="T40" s="1887"/>
      <c r="U40" s="1887"/>
      <c r="V40" s="1920"/>
      <c r="W40" s="4970"/>
    </row>
    <row r="41" spans="1:23" ht="18" customHeight="1">
      <c r="A41" s="4968"/>
      <c r="B41" s="5007"/>
      <c r="C41" s="1924"/>
      <c r="D41" s="1901"/>
      <c r="E41" s="1901"/>
      <c r="F41" s="1902"/>
      <c r="G41" s="1902"/>
      <c r="H41" s="1902"/>
      <c r="I41" s="1902"/>
      <c r="J41" s="1902"/>
      <c r="K41" s="1902"/>
      <c r="L41" s="1902"/>
      <c r="M41" s="1902"/>
      <c r="N41" s="1902"/>
      <c r="O41" s="1902"/>
      <c r="P41" s="1902"/>
      <c r="Q41" s="1902"/>
      <c r="R41" s="1902"/>
      <c r="S41" s="1902"/>
      <c r="T41" s="1902"/>
      <c r="U41" s="1902"/>
      <c r="V41" s="1921"/>
      <c r="W41" s="4971"/>
    </row>
    <row r="42" spans="1:23" ht="18" customHeight="1">
      <c r="A42" s="4966">
        <v>7</v>
      </c>
      <c r="B42" s="5005" t="s">
        <v>952</v>
      </c>
      <c r="C42" s="1922"/>
      <c r="D42" s="1903"/>
      <c r="E42" s="1903"/>
      <c r="F42" s="1904"/>
      <c r="G42" s="1904"/>
      <c r="H42" s="1904"/>
      <c r="I42" s="1904"/>
      <c r="J42" s="1904"/>
      <c r="K42" s="1904"/>
      <c r="L42" s="1904"/>
      <c r="M42" s="1904"/>
      <c r="N42" s="1904"/>
      <c r="O42" s="1904"/>
      <c r="P42" s="1904"/>
      <c r="Q42" s="1904"/>
      <c r="R42" s="1904"/>
      <c r="S42" s="1904"/>
      <c r="T42" s="1904"/>
      <c r="U42" s="1904"/>
      <c r="V42" s="1916"/>
      <c r="W42" s="4969"/>
    </row>
    <row r="43" spans="1:23" ht="18" customHeight="1">
      <c r="A43" s="4967"/>
      <c r="B43" s="5006"/>
      <c r="C43" s="1923"/>
      <c r="D43" s="1886"/>
      <c r="E43" s="1886"/>
      <c r="F43" s="1887"/>
      <c r="G43" s="1887"/>
      <c r="H43" s="1887"/>
      <c r="I43" s="1887"/>
      <c r="J43" s="1887"/>
      <c r="K43" s="1887"/>
      <c r="L43" s="1887"/>
      <c r="M43" s="1887"/>
      <c r="N43" s="1887"/>
      <c r="O43" s="1887"/>
      <c r="P43" s="1887"/>
      <c r="Q43" s="1887"/>
      <c r="R43" s="1887"/>
      <c r="S43" s="1887"/>
      <c r="T43" s="1887"/>
      <c r="U43" s="1887"/>
      <c r="V43" s="1917"/>
      <c r="W43" s="4970"/>
    </row>
    <row r="44" spans="1:23" ht="18" customHeight="1">
      <c r="A44" s="4967"/>
      <c r="B44" s="5006"/>
      <c r="C44" s="1923"/>
      <c r="D44" s="1886"/>
      <c r="E44" s="1886"/>
      <c r="F44" s="1887"/>
      <c r="G44" s="1887"/>
      <c r="H44" s="1887"/>
      <c r="I44" s="1887"/>
      <c r="J44" s="1887"/>
      <c r="K44" s="1887"/>
      <c r="L44" s="1887"/>
      <c r="M44" s="1887"/>
      <c r="N44" s="1887"/>
      <c r="O44" s="1887"/>
      <c r="P44" s="1887"/>
      <c r="Q44" s="1887"/>
      <c r="R44" s="1887"/>
      <c r="S44" s="1887"/>
      <c r="T44" s="1887"/>
      <c r="U44" s="1887"/>
      <c r="V44" s="1917"/>
      <c r="W44" s="4970"/>
    </row>
    <row r="45" spans="1:23" ht="18" customHeight="1">
      <c r="A45" s="4967"/>
      <c r="B45" s="5006"/>
      <c r="C45" s="1923"/>
      <c r="D45" s="1886"/>
      <c r="E45" s="1886"/>
      <c r="F45" s="1887"/>
      <c r="G45" s="1887"/>
      <c r="H45" s="1887"/>
      <c r="I45" s="1887"/>
      <c r="J45" s="1887"/>
      <c r="K45" s="1887"/>
      <c r="L45" s="1887"/>
      <c r="M45" s="1887"/>
      <c r="N45" s="1887"/>
      <c r="O45" s="1887"/>
      <c r="P45" s="1887"/>
      <c r="Q45" s="1887"/>
      <c r="R45" s="1887"/>
      <c r="S45" s="1887"/>
      <c r="T45" s="1887"/>
      <c r="U45" s="1887"/>
      <c r="V45" s="1917"/>
      <c r="W45" s="4970"/>
    </row>
    <row r="46" spans="1:23" ht="18" customHeight="1">
      <c r="A46" s="4968"/>
      <c r="B46" s="5007"/>
      <c r="C46" s="1924"/>
      <c r="D46" s="1901"/>
      <c r="E46" s="1901"/>
      <c r="F46" s="1902"/>
      <c r="G46" s="1902"/>
      <c r="H46" s="1902"/>
      <c r="I46" s="1902"/>
      <c r="J46" s="1902"/>
      <c r="K46" s="1902"/>
      <c r="L46" s="1902"/>
      <c r="M46" s="1902"/>
      <c r="N46" s="1902"/>
      <c r="O46" s="1902"/>
      <c r="P46" s="1902"/>
      <c r="Q46" s="1902"/>
      <c r="R46" s="1902"/>
      <c r="S46" s="1902"/>
      <c r="T46" s="1902"/>
      <c r="U46" s="1902"/>
      <c r="V46" s="1918"/>
      <c r="W46" s="4971"/>
    </row>
    <row r="47" spans="1:23" ht="18" customHeight="1">
      <c r="A47" s="4966">
        <v>8</v>
      </c>
      <c r="B47" s="5005" t="s">
        <v>964</v>
      </c>
      <c r="C47" s="1922"/>
      <c r="D47" s="1903"/>
      <c r="E47" s="1903"/>
      <c r="F47" s="1904"/>
      <c r="G47" s="1904"/>
      <c r="H47" s="1904"/>
      <c r="I47" s="1904"/>
      <c r="J47" s="1904"/>
      <c r="K47" s="1904"/>
      <c r="L47" s="1904"/>
      <c r="M47" s="1904"/>
      <c r="N47" s="1904"/>
      <c r="O47" s="1904"/>
      <c r="P47" s="1904"/>
      <c r="Q47" s="1904"/>
      <c r="R47" s="1904"/>
      <c r="S47" s="1904"/>
      <c r="T47" s="1904"/>
      <c r="U47" s="1904"/>
      <c r="V47" s="1916"/>
      <c r="W47" s="4969"/>
    </row>
    <row r="48" spans="1:23" ht="18" customHeight="1">
      <c r="A48" s="4967"/>
      <c r="B48" s="5006"/>
      <c r="C48" s="1923"/>
      <c r="D48" s="1886"/>
      <c r="E48" s="1886"/>
      <c r="F48" s="1887"/>
      <c r="G48" s="1887"/>
      <c r="H48" s="1887"/>
      <c r="I48" s="1887"/>
      <c r="J48" s="1887"/>
      <c r="K48" s="1887"/>
      <c r="L48" s="1887"/>
      <c r="M48" s="1887"/>
      <c r="N48" s="1887"/>
      <c r="O48" s="1887"/>
      <c r="P48" s="1887"/>
      <c r="Q48" s="1887"/>
      <c r="R48" s="1887"/>
      <c r="S48" s="1887"/>
      <c r="T48" s="1887"/>
      <c r="U48" s="1887"/>
      <c r="V48" s="1917"/>
      <c r="W48" s="4970"/>
    </row>
    <row r="49" spans="1:23" ht="18" customHeight="1">
      <c r="A49" s="4967"/>
      <c r="B49" s="5006"/>
      <c r="C49" s="1923"/>
      <c r="D49" s="1886"/>
      <c r="E49" s="1886"/>
      <c r="F49" s="1887"/>
      <c r="G49" s="1887"/>
      <c r="H49" s="1887"/>
      <c r="I49" s="1887"/>
      <c r="J49" s="1887"/>
      <c r="K49" s="1887"/>
      <c r="L49" s="1887"/>
      <c r="M49" s="1887"/>
      <c r="N49" s="1887"/>
      <c r="O49" s="1887"/>
      <c r="P49" s="1887"/>
      <c r="Q49" s="1887"/>
      <c r="R49" s="1887"/>
      <c r="S49" s="1887"/>
      <c r="T49" s="1887"/>
      <c r="U49" s="1887"/>
      <c r="V49" s="1917"/>
      <c r="W49" s="4970"/>
    </row>
    <row r="50" spans="1:23" ht="18" customHeight="1">
      <c r="A50" s="4967"/>
      <c r="B50" s="5006"/>
      <c r="C50" s="1923"/>
      <c r="D50" s="1886"/>
      <c r="E50" s="1886"/>
      <c r="F50" s="1887"/>
      <c r="G50" s="1887"/>
      <c r="H50" s="1887"/>
      <c r="I50" s="1887"/>
      <c r="J50" s="1887"/>
      <c r="K50" s="1887"/>
      <c r="L50" s="1887"/>
      <c r="M50" s="1887"/>
      <c r="N50" s="1887"/>
      <c r="O50" s="1887"/>
      <c r="P50" s="1887"/>
      <c r="Q50" s="1887"/>
      <c r="R50" s="1887"/>
      <c r="S50" s="1887"/>
      <c r="T50" s="1887"/>
      <c r="U50" s="1887"/>
      <c r="V50" s="1917"/>
      <c r="W50" s="4970"/>
    </row>
    <row r="51" spans="1:23" ht="18" customHeight="1">
      <c r="A51" s="4968"/>
      <c r="B51" s="5007"/>
      <c r="C51" s="1924"/>
      <c r="D51" s="1901"/>
      <c r="E51" s="1901"/>
      <c r="F51" s="1902"/>
      <c r="G51" s="1902"/>
      <c r="H51" s="1902"/>
      <c r="I51" s="1902"/>
      <c r="J51" s="1902"/>
      <c r="K51" s="1902"/>
      <c r="L51" s="1902"/>
      <c r="M51" s="1902"/>
      <c r="N51" s="1902"/>
      <c r="O51" s="1902"/>
      <c r="P51" s="1902"/>
      <c r="Q51" s="1902"/>
      <c r="R51" s="1902"/>
      <c r="S51" s="1902"/>
      <c r="T51" s="1902"/>
      <c r="U51" s="1902"/>
      <c r="V51" s="1918"/>
      <c r="W51" s="4971"/>
    </row>
    <row r="52" spans="1:23" ht="15" customHeight="1">
      <c r="A52" s="4966">
        <v>9</v>
      </c>
      <c r="B52" s="5005" t="s">
        <v>986</v>
      </c>
      <c r="C52" s="1922"/>
      <c r="D52" s="1903"/>
      <c r="E52" s="1903"/>
      <c r="F52" s="1904"/>
      <c r="G52" s="1904"/>
      <c r="H52" s="1904"/>
      <c r="I52" s="1904"/>
      <c r="J52" s="1904"/>
      <c r="K52" s="1904"/>
      <c r="L52" s="1904"/>
      <c r="M52" s="1904"/>
      <c r="N52" s="1904"/>
      <c r="O52" s="1904"/>
      <c r="P52" s="1904"/>
      <c r="Q52" s="1904"/>
      <c r="R52" s="1904"/>
      <c r="S52" s="1904"/>
      <c r="T52" s="1904"/>
      <c r="U52" s="1904"/>
      <c r="V52" s="1916"/>
      <c r="W52" s="4969"/>
    </row>
    <row r="53" spans="1:23" ht="15" customHeight="1">
      <c r="A53" s="4967"/>
      <c r="B53" s="5006"/>
      <c r="C53" s="1923"/>
      <c r="D53" s="1886"/>
      <c r="E53" s="1886"/>
      <c r="F53" s="1887"/>
      <c r="G53" s="1887"/>
      <c r="H53" s="1887"/>
      <c r="I53" s="1887"/>
      <c r="J53" s="1887"/>
      <c r="K53" s="1887"/>
      <c r="L53" s="1887"/>
      <c r="M53" s="1887"/>
      <c r="N53" s="1887"/>
      <c r="O53" s="1887"/>
      <c r="P53" s="1887"/>
      <c r="Q53" s="1887"/>
      <c r="R53" s="1887"/>
      <c r="S53" s="1887"/>
      <c r="T53" s="1887"/>
      <c r="U53" s="1887"/>
      <c r="V53" s="1917"/>
      <c r="W53" s="4970"/>
    </row>
    <row r="54" spans="1:23" ht="15" customHeight="1">
      <c r="A54" s="4967"/>
      <c r="B54" s="5006"/>
      <c r="C54" s="1923"/>
      <c r="D54" s="1886"/>
      <c r="E54" s="1886"/>
      <c r="F54" s="1887"/>
      <c r="G54" s="1887"/>
      <c r="H54" s="1887"/>
      <c r="I54" s="1887"/>
      <c r="J54" s="1887"/>
      <c r="K54" s="1887"/>
      <c r="L54" s="1887"/>
      <c r="M54" s="1887"/>
      <c r="N54" s="1887"/>
      <c r="O54" s="1887"/>
      <c r="P54" s="1887"/>
      <c r="Q54" s="1887"/>
      <c r="R54" s="1887"/>
      <c r="S54" s="1887"/>
      <c r="T54" s="1887"/>
      <c r="U54" s="1887"/>
      <c r="V54" s="1917"/>
      <c r="W54" s="4970"/>
    </row>
    <row r="55" spans="1:23" ht="15" customHeight="1">
      <c r="A55" s="4967"/>
      <c r="B55" s="5006"/>
      <c r="C55" s="1923"/>
      <c r="D55" s="1886"/>
      <c r="E55" s="1886"/>
      <c r="F55" s="1887"/>
      <c r="G55" s="1887"/>
      <c r="H55" s="1887"/>
      <c r="I55" s="1887"/>
      <c r="J55" s="1887"/>
      <c r="K55" s="1887"/>
      <c r="L55" s="1887"/>
      <c r="M55" s="1887"/>
      <c r="N55" s="1887"/>
      <c r="O55" s="1887"/>
      <c r="P55" s="1887"/>
      <c r="Q55" s="1887"/>
      <c r="R55" s="1887"/>
      <c r="S55" s="1887"/>
      <c r="T55" s="1887"/>
      <c r="U55" s="1887"/>
      <c r="V55" s="1917"/>
      <c r="W55" s="4970"/>
    </row>
    <row r="56" spans="1:23" ht="15" customHeight="1">
      <c r="A56" s="4968"/>
      <c r="B56" s="5007"/>
      <c r="C56" s="1924"/>
      <c r="D56" s="1901"/>
      <c r="E56" s="1901"/>
      <c r="F56" s="1902"/>
      <c r="G56" s="1902"/>
      <c r="H56" s="1902"/>
      <c r="I56" s="1902"/>
      <c r="J56" s="1902"/>
      <c r="K56" s="1902"/>
      <c r="L56" s="1902"/>
      <c r="M56" s="1902"/>
      <c r="N56" s="1902"/>
      <c r="O56" s="1902"/>
      <c r="P56" s="1902"/>
      <c r="Q56" s="1902"/>
      <c r="R56" s="1902"/>
      <c r="S56" s="1902"/>
      <c r="T56" s="1902"/>
      <c r="U56" s="1902"/>
      <c r="V56" s="1918"/>
      <c r="W56" s="4971"/>
    </row>
    <row r="57" spans="1:23" ht="17.25" customHeight="1">
      <c r="A57" s="4966">
        <v>10</v>
      </c>
      <c r="B57" s="5005" t="s">
        <v>953</v>
      </c>
      <c r="C57" s="1922"/>
      <c r="D57" s="1903"/>
      <c r="E57" s="1903"/>
      <c r="F57" s="1904"/>
      <c r="G57" s="1904"/>
      <c r="H57" s="1904"/>
      <c r="I57" s="1904"/>
      <c r="J57" s="1904"/>
      <c r="K57" s="1904"/>
      <c r="L57" s="1904"/>
      <c r="M57" s="1904"/>
      <c r="N57" s="1904"/>
      <c r="O57" s="1904"/>
      <c r="P57" s="1904"/>
      <c r="Q57" s="1904"/>
      <c r="R57" s="1904"/>
      <c r="S57" s="1904"/>
      <c r="T57" s="1904"/>
      <c r="U57" s="1904"/>
      <c r="V57" s="1916"/>
      <c r="W57" s="4969"/>
    </row>
    <row r="58" spans="1:23" ht="17.25" customHeight="1">
      <c r="A58" s="4967"/>
      <c r="B58" s="5006"/>
      <c r="C58" s="1923"/>
      <c r="D58" s="1886"/>
      <c r="E58" s="1886"/>
      <c r="F58" s="1887"/>
      <c r="G58" s="1887"/>
      <c r="H58" s="1887"/>
      <c r="I58" s="1887"/>
      <c r="J58" s="1887"/>
      <c r="K58" s="1887"/>
      <c r="L58" s="1887"/>
      <c r="M58" s="1887"/>
      <c r="N58" s="1887"/>
      <c r="O58" s="1887"/>
      <c r="P58" s="1887"/>
      <c r="Q58" s="1887"/>
      <c r="R58" s="1887"/>
      <c r="S58" s="1887"/>
      <c r="T58" s="1887"/>
      <c r="U58" s="1887"/>
      <c r="V58" s="1917"/>
      <c r="W58" s="4970"/>
    </row>
    <row r="59" spans="1:23" ht="17.25" customHeight="1">
      <c r="A59" s="4967"/>
      <c r="B59" s="5006"/>
      <c r="C59" s="1923"/>
      <c r="D59" s="1886"/>
      <c r="E59" s="1886"/>
      <c r="F59" s="1887"/>
      <c r="G59" s="1887"/>
      <c r="H59" s="1887"/>
      <c r="I59" s="1887"/>
      <c r="J59" s="1887"/>
      <c r="K59" s="1887"/>
      <c r="L59" s="1887"/>
      <c r="M59" s="1887"/>
      <c r="N59" s="1887"/>
      <c r="O59" s="1887"/>
      <c r="P59" s="1887"/>
      <c r="Q59" s="1887"/>
      <c r="R59" s="1887"/>
      <c r="S59" s="1887"/>
      <c r="T59" s="1887"/>
      <c r="U59" s="1887"/>
      <c r="V59" s="1917"/>
      <c r="W59" s="4970"/>
    </row>
    <row r="60" spans="1:23" ht="17.25" customHeight="1">
      <c r="A60" s="4967"/>
      <c r="B60" s="5006"/>
      <c r="C60" s="1923"/>
      <c r="D60" s="1886"/>
      <c r="E60" s="1886"/>
      <c r="F60" s="1887"/>
      <c r="G60" s="1887"/>
      <c r="H60" s="1887"/>
      <c r="I60" s="1887"/>
      <c r="J60" s="1887"/>
      <c r="K60" s="1887"/>
      <c r="L60" s="1887"/>
      <c r="M60" s="1887"/>
      <c r="N60" s="1887"/>
      <c r="O60" s="1887"/>
      <c r="P60" s="1887"/>
      <c r="Q60" s="1887"/>
      <c r="R60" s="1887"/>
      <c r="S60" s="1887"/>
      <c r="T60" s="1887"/>
      <c r="U60" s="1887"/>
      <c r="V60" s="1917"/>
      <c r="W60" s="4970"/>
    </row>
    <row r="61" spans="1:23" ht="17.25" customHeight="1">
      <c r="A61" s="4968"/>
      <c r="B61" s="5007"/>
      <c r="C61" s="1924"/>
      <c r="D61" s="1901"/>
      <c r="E61" s="1901"/>
      <c r="F61" s="1902"/>
      <c r="G61" s="1902"/>
      <c r="H61" s="1902"/>
      <c r="I61" s="1902"/>
      <c r="J61" s="1902"/>
      <c r="K61" s="1902"/>
      <c r="L61" s="1902"/>
      <c r="M61" s="1902"/>
      <c r="N61" s="1902"/>
      <c r="O61" s="1902"/>
      <c r="P61" s="1902"/>
      <c r="Q61" s="1902"/>
      <c r="R61" s="1902"/>
      <c r="S61" s="1902"/>
      <c r="T61" s="1902"/>
      <c r="U61" s="1902"/>
      <c r="V61" s="1918"/>
      <c r="W61" s="4971"/>
    </row>
    <row r="62" spans="1:23" ht="24" customHeight="1">
      <c r="A62" s="4966">
        <v>11</v>
      </c>
      <c r="B62" s="5005" t="s">
        <v>965</v>
      </c>
      <c r="C62" s="1922"/>
      <c r="D62" s="1903"/>
      <c r="E62" s="1903"/>
      <c r="F62" s="1904"/>
      <c r="G62" s="1904"/>
      <c r="H62" s="1904"/>
      <c r="I62" s="1904"/>
      <c r="J62" s="1904"/>
      <c r="K62" s="1904"/>
      <c r="L62" s="1904"/>
      <c r="M62" s="1904"/>
      <c r="N62" s="1904"/>
      <c r="O62" s="1904"/>
      <c r="P62" s="1904"/>
      <c r="Q62" s="1904"/>
      <c r="R62" s="1904"/>
      <c r="S62" s="1904"/>
      <c r="T62" s="1904"/>
      <c r="U62" s="1904"/>
      <c r="V62" s="1916"/>
      <c r="W62" s="4969"/>
    </row>
    <row r="63" spans="1:23" ht="24" customHeight="1">
      <c r="A63" s="4967"/>
      <c r="B63" s="5006"/>
      <c r="C63" s="1923"/>
      <c r="D63" s="1886"/>
      <c r="E63" s="1886"/>
      <c r="F63" s="1887"/>
      <c r="G63" s="1887"/>
      <c r="H63" s="1887"/>
      <c r="I63" s="1887"/>
      <c r="J63" s="1887"/>
      <c r="K63" s="1887"/>
      <c r="L63" s="1887"/>
      <c r="M63" s="1887"/>
      <c r="N63" s="1887"/>
      <c r="O63" s="1887"/>
      <c r="P63" s="1887"/>
      <c r="Q63" s="1887"/>
      <c r="R63" s="1887"/>
      <c r="S63" s="1887"/>
      <c r="T63" s="1887"/>
      <c r="U63" s="1887"/>
      <c r="V63" s="1917"/>
      <c r="W63" s="4970"/>
    </row>
    <row r="64" spans="1:23" ht="24" customHeight="1">
      <c r="A64" s="4967"/>
      <c r="B64" s="5006"/>
      <c r="C64" s="1923"/>
      <c r="D64" s="1886"/>
      <c r="E64" s="1886"/>
      <c r="F64" s="1887"/>
      <c r="G64" s="1887"/>
      <c r="H64" s="1887"/>
      <c r="I64" s="1887"/>
      <c r="J64" s="1887"/>
      <c r="K64" s="1887"/>
      <c r="L64" s="1887"/>
      <c r="M64" s="1887"/>
      <c r="N64" s="1887"/>
      <c r="O64" s="1887"/>
      <c r="P64" s="1887"/>
      <c r="Q64" s="1887"/>
      <c r="R64" s="1887"/>
      <c r="S64" s="1887"/>
      <c r="T64" s="1887"/>
      <c r="U64" s="1887"/>
      <c r="V64" s="1917"/>
      <c r="W64" s="4970"/>
    </row>
    <row r="65" spans="1:23" ht="24" customHeight="1">
      <c r="A65" s="4967"/>
      <c r="B65" s="5006"/>
      <c r="C65" s="1923"/>
      <c r="D65" s="1886"/>
      <c r="E65" s="1886"/>
      <c r="F65" s="1887"/>
      <c r="G65" s="1887"/>
      <c r="H65" s="1887"/>
      <c r="I65" s="1887"/>
      <c r="J65" s="1887"/>
      <c r="K65" s="1887"/>
      <c r="L65" s="1887"/>
      <c r="M65" s="1887"/>
      <c r="N65" s="1887"/>
      <c r="O65" s="1887"/>
      <c r="P65" s="1887"/>
      <c r="Q65" s="1887"/>
      <c r="R65" s="1887"/>
      <c r="S65" s="1887"/>
      <c r="T65" s="1887"/>
      <c r="U65" s="1887"/>
      <c r="V65" s="1917"/>
      <c r="W65" s="4970"/>
    </row>
    <row r="66" spans="1:23" ht="24" customHeight="1">
      <c r="A66" s="4968"/>
      <c r="B66" s="5007"/>
      <c r="C66" s="1924"/>
      <c r="D66" s="1901"/>
      <c r="E66" s="1901"/>
      <c r="F66" s="1902"/>
      <c r="G66" s="1902"/>
      <c r="H66" s="1902"/>
      <c r="I66" s="1902"/>
      <c r="J66" s="1902"/>
      <c r="K66" s="1902"/>
      <c r="L66" s="1902"/>
      <c r="M66" s="1902"/>
      <c r="N66" s="1902"/>
      <c r="O66" s="1902"/>
      <c r="P66" s="1902"/>
      <c r="Q66" s="1902"/>
      <c r="R66" s="1902"/>
      <c r="S66" s="1902"/>
      <c r="T66" s="1902"/>
      <c r="U66" s="1902"/>
      <c r="V66" s="1918"/>
      <c r="W66" s="4971"/>
    </row>
    <row r="67" spans="1:23" ht="22.5" customHeight="1">
      <c r="A67" s="4966">
        <v>12</v>
      </c>
      <c r="B67" s="4966" t="s">
        <v>987</v>
      </c>
      <c r="C67" s="1922"/>
      <c r="D67" s="1903"/>
      <c r="E67" s="1903"/>
      <c r="F67" s="1904"/>
      <c r="G67" s="1904"/>
      <c r="H67" s="1904"/>
      <c r="I67" s="1904"/>
      <c r="J67" s="1904"/>
      <c r="K67" s="1904"/>
      <c r="L67" s="1904"/>
      <c r="M67" s="1904"/>
      <c r="N67" s="1904"/>
      <c r="O67" s="1904"/>
      <c r="P67" s="1904"/>
      <c r="Q67" s="1904"/>
      <c r="R67" s="1904"/>
      <c r="S67" s="1904"/>
      <c r="T67" s="1904"/>
      <c r="U67" s="1904"/>
      <c r="V67" s="1916"/>
      <c r="W67" s="4969"/>
    </row>
    <row r="68" spans="1:23" ht="22.5" customHeight="1">
      <c r="A68" s="4967"/>
      <c r="B68" s="4967"/>
      <c r="C68" s="1923"/>
      <c r="D68" s="1886"/>
      <c r="E68" s="1886"/>
      <c r="F68" s="1887"/>
      <c r="G68" s="1887"/>
      <c r="H68" s="1887"/>
      <c r="I68" s="1887"/>
      <c r="J68" s="1887"/>
      <c r="K68" s="1887"/>
      <c r="L68" s="1887"/>
      <c r="M68" s="1887"/>
      <c r="N68" s="1887"/>
      <c r="O68" s="1887"/>
      <c r="P68" s="1887"/>
      <c r="Q68" s="1887"/>
      <c r="R68" s="1887"/>
      <c r="S68" s="1887"/>
      <c r="T68" s="1887"/>
      <c r="U68" s="1887"/>
      <c r="V68" s="1917"/>
      <c r="W68" s="4970"/>
    </row>
    <row r="69" spans="1:23" ht="22.5" customHeight="1">
      <c r="A69" s="4967"/>
      <c r="B69" s="4967"/>
      <c r="C69" s="1923"/>
      <c r="D69" s="1886"/>
      <c r="E69" s="1886"/>
      <c r="F69" s="1887"/>
      <c r="G69" s="1887"/>
      <c r="H69" s="1887"/>
      <c r="I69" s="1887"/>
      <c r="J69" s="1887"/>
      <c r="K69" s="1887"/>
      <c r="L69" s="1887"/>
      <c r="M69" s="1887"/>
      <c r="N69" s="1887"/>
      <c r="O69" s="1887"/>
      <c r="P69" s="1887"/>
      <c r="Q69" s="1887"/>
      <c r="R69" s="1887"/>
      <c r="S69" s="1887"/>
      <c r="T69" s="1887"/>
      <c r="U69" s="1887"/>
      <c r="V69" s="1917"/>
      <c r="W69" s="4970"/>
    </row>
    <row r="70" spans="1:23" ht="22.5" customHeight="1">
      <c r="A70" s="4967"/>
      <c r="B70" s="4967"/>
      <c r="C70" s="1923"/>
      <c r="D70" s="1886"/>
      <c r="E70" s="1886"/>
      <c r="F70" s="1887"/>
      <c r="G70" s="1887"/>
      <c r="H70" s="1887"/>
      <c r="I70" s="1887"/>
      <c r="J70" s="1887"/>
      <c r="K70" s="1887"/>
      <c r="L70" s="1887"/>
      <c r="M70" s="1887"/>
      <c r="N70" s="1887"/>
      <c r="O70" s="1887"/>
      <c r="P70" s="1887"/>
      <c r="Q70" s="1887"/>
      <c r="R70" s="1887"/>
      <c r="S70" s="1887"/>
      <c r="T70" s="1887"/>
      <c r="U70" s="1887"/>
      <c r="V70" s="1917"/>
      <c r="W70" s="4970"/>
    </row>
    <row r="71" spans="1:23" ht="22.5" customHeight="1">
      <c r="A71" s="4968"/>
      <c r="B71" s="4968"/>
      <c r="C71" s="1924"/>
      <c r="D71" s="1901"/>
      <c r="E71" s="1901"/>
      <c r="F71" s="1902"/>
      <c r="G71" s="1902"/>
      <c r="H71" s="1902"/>
      <c r="I71" s="1902"/>
      <c r="J71" s="1902"/>
      <c r="K71" s="1902"/>
      <c r="L71" s="1902"/>
      <c r="M71" s="1902"/>
      <c r="N71" s="1902"/>
      <c r="O71" s="1902"/>
      <c r="P71" s="1902"/>
      <c r="Q71" s="1902"/>
      <c r="R71" s="1902"/>
      <c r="S71" s="1902"/>
      <c r="T71" s="1902"/>
      <c r="U71" s="1902"/>
      <c r="V71" s="1918"/>
      <c r="W71" s="4971"/>
    </row>
    <row r="72" spans="1:23" ht="22.5" customHeight="1">
      <c r="A72" s="4966">
        <v>13</v>
      </c>
      <c r="B72" s="5005" t="s">
        <v>988</v>
      </c>
      <c r="C72" s="1922"/>
      <c r="D72" s="1903"/>
      <c r="E72" s="1903"/>
      <c r="F72" s="1904"/>
      <c r="G72" s="1904"/>
      <c r="H72" s="1904"/>
      <c r="I72" s="1904"/>
      <c r="J72" s="1904"/>
      <c r="K72" s="1904"/>
      <c r="L72" s="1904"/>
      <c r="M72" s="1904"/>
      <c r="N72" s="1904"/>
      <c r="O72" s="1904"/>
      <c r="P72" s="1904"/>
      <c r="Q72" s="1904"/>
      <c r="R72" s="1904"/>
      <c r="S72" s="1904"/>
      <c r="T72" s="1904"/>
      <c r="U72" s="1904"/>
      <c r="V72" s="1916"/>
      <c r="W72" s="4969"/>
    </row>
    <row r="73" spans="1:23" ht="22.5" customHeight="1">
      <c r="A73" s="4967"/>
      <c r="B73" s="5006"/>
      <c r="C73" s="1923"/>
      <c r="D73" s="1886"/>
      <c r="E73" s="1886"/>
      <c r="F73" s="1887"/>
      <c r="G73" s="1887"/>
      <c r="H73" s="1887"/>
      <c r="I73" s="1887"/>
      <c r="J73" s="1887"/>
      <c r="K73" s="1887"/>
      <c r="L73" s="1887"/>
      <c r="M73" s="1887"/>
      <c r="N73" s="1887"/>
      <c r="O73" s="1887"/>
      <c r="P73" s="1887"/>
      <c r="Q73" s="1887"/>
      <c r="R73" s="1887"/>
      <c r="S73" s="1887"/>
      <c r="T73" s="1887"/>
      <c r="U73" s="1887"/>
      <c r="V73" s="1917"/>
      <c r="W73" s="4970"/>
    </row>
    <row r="74" spans="1:23" ht="22.5" customHeight="1">
      <c r="A74" s="4967"/>
      <c r="B74" s="5006"/>
      <c r="C74" s="1923"/>
      <c r="D74" s="1886"/>
      <c r="E74" s="1886"/>
      <c r="F74" s="1887"/>
      <c r="G74" s="1887"/>
      <c r="H74" s="1887"/>
      <c r="I74" s="1887"/>
      <c r="J74" s="1887"/>
      <c r="K74" s="1887"/>
      <c r="L74" s="1887"/>
      <c r="M74" s="1887"/>
      <c r="N74" s="1887"/>
      <c r="O74" s="1887"/>
      <c r="P74" s="1887"/>
      <c r="Q74" s="1887"/>
      <c r="R74" s="1887"/>
      <c r="S74" s="1887"/>
      <c r="T74" s="1887"/>
      <c r="U74" s="1887"/>
      <c r="V74" s="1917"/>
      <c r="W74" s="4970"/>
    </row>
    <row r="75" spans="1:23" ht="22.5" customHeight="1">
      <c r="A75" s="4967"/>
      <c r="B75" s="5006"/>
      <c r="C75" s="1923"/>
      <c r="D75" s="1886"/>
      <c r="E75" s="1886"/>
      <c r="F75" s="1887"/>
      <c r="G75" s="1887"/>
      <c r="H75" s="1887"/>
      <c r="I75" s="1887"/>
      <c r="J75" s="1887"/>
      <c r="K75" s="1887"/>
      <c r="L75" s="1887"/>
      <c r="M75" s="1887"/>
      <c r="N75" s="1887"/>
      <c r="O75" s="1887"/>
      <c r="P75" s="1887"/>
      <c r="Q75" s="1887"/>
      <c r="R75" s="1887"/>
      <c r="S75" s="1887"/>
      <c r="T75" s="1887"/>
      <c r="U75" s="1887"/>
      <c r="V75" s="1917"/>
      <c r="W75" s="4970"/>
    </row>
    <row r="76" spans="1:23" ht="22.5" customHeight="1">
      <c r="A76" s="4968"/>
      <c r="B76" s="5007"/>
      <c r="C76" s="1924"/>
      <c r="D76" s="1901"/>
      <c r="E76" s="1901"/>
      <c r="F76" s="1902"/>
      <c r="G76" s="1902"/>
      <c r="H76" s="1902"/>
      <c r="I76" s="1902"/>
      <c r="J76" s="1902"/>
      <c r="K76" s="1902"/>
      <c r="L76" s="1902"/>
      <c r="M76" s="1902"/>
      <c r="N76" s="1902"/>
      <c r="O76" s="1902"/>
      <c r="P76" s="1902"/>
      <c r="Q76" s="1902"/>
      <c r="R76" s="1902"/>
      <c r="S76" s="1902"/>
      <c r="T76" s="1902"/>
      <c r="U76" s="1902"/>
      <c r="V76" s="1918"/>
      <c r="W76" s="4971"/>
    </row>
    <row r="77" spans="1:23" ht="28.5" customHeight="1">
      <c r="A77" s="4966">
        <v>14</v>
      </c>
      <c r="B77" s="5005" t="s">
        <v>600</v>
      </c>
      <c r="C77" s="1922"/>
      <c r="D77" s="1903"/>
      <c r="E77" s="1903"/>
      <c r="F77" s="1904"/>
      <c r="G77" s="1904"/>
      <c r="H77" s="1904"/>
      <c r="I77" s="1904"/>
      <c r="J77" s="1904"/>
      <c r="K77" s="1904"/>
      <c r="L77" s="1904"/>
      <c r="M77" s="1904"/>
      <c r="N77" s="1904"/>
      <c r="O77" s="1904"/>
      <c r="P77" s="1904"/>
      <c r="Q77" s="1904"/>
      <c r="R77" s="1904"/>
      <c r="S77" s="1904"/>
      <c r="T77" s="1904"/>
      <c r="U77" s="1904"/>
      <c r="V77" s="1916"/>
      <c r="W77" s="4969"/>
    </row>
    <row r="78" spans="1:23" ht="28.5" customHeight="1">
      <c r="A78" s="4967"/>
      <c r="B78" s="5006"/>
      <c r="C78" s="1923"/>
      <c r="D78" s="1886"/>
      <c r="E78" s="1886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917"/>
      <c r="W78" s="4970"/>
    </row>
    <row r="79" spans="1:23" ht="28.5" customHeight="1">
      <c r="A79" s="4967"/>
      <c r="B79" s="5006"/>
      <c r="C79" s="1923"/>
      <c r="D79" s="1886"/>
      <c r="E79" s="1886"/>
      <c r="F79" s="1887"/>
      <c r="G79" s="1887"/>
      <c r="H79" s="1887"/>
      <c r="I79" s="1887"/>
      <c r="J79" s="1887"/>
      <c r="K79" s="1887"/>
      <c r="L79" s="1887"/>
      <c r="M79" s="1887"/>
      <c r="N79" s="1887"/>
      <c r="O79" s="1887"/>
      <c r="P79" s="1887"/>
      <c r="Q79" s="1887"/>
      <c r="R79" s="1887"/>
      <c r="S79" s="1887"/>
      <c r="T79" s="1887"/>
      <c r="U79" s="1887"/>
      <c r="V79" s="1917"/>
      <c r="W79" s="4970"/>
    </row>
    <row r="80" spans="1:23" ht="28.5" customHeight="1">
      <c r="A80" s="4967"/>
      <c r="B80" s="5006"/>
      <c r="C80" s="1923"/>
      <c r="D80" s="1886"/>
      <c r="E80" s="1886"/>
      <c r="F80" s="1887"/>
      <c r="G80" s="1887"/>
      <c r="H80" s="1887"/>
      <c r="I80" s="1887"/>
      <c r="J80" s="1887"/>
      <c r="K80" s="1887"/>
      <c r="L80" s="1887"/>
      <c r="M80" s="1887"/>
      <c r="N80" s="1887"/>
      <c r="O80" s="1887"/>
      <c r="P80" s="1887"/>
      <c r="Q80" s="1887"/>
      <c r="R80" s="1887"/>
      <c r="S80" s="1887"/>
      <c r="T80" s="1887"/>
      <c r="U80" s="1887"/>
      <c r="V80" s="1917"/>
      <c r="W80" s="4970"/>
    </row>
    <row r="81" spans="1:23" ht="28.5" customHeight="1">
      <c r="A81" s="4968"/>
      <c r="B81" s="5007"/>
      <c r="C81" s="1924"/>
      <c r="D81" s="1901"/>
      <c r="E81" s="1901"/>
      <c r="F81" s="1902"/>
      <c r="G81" s="1902"/>
      <c r="H81" s="1902"/>
      <c r="I81" s="1902"/>
      <c r="J81" s="1902"/>
      <c r="K81" s="1902"/>
      <c r="L81" s="1902"/>
      <c r="M81" s="1902"/>
      <c r="N81" s="1902"/>
      <c r="O81" s="1902"/>
      <c r="P81" s="1902"/>
      <c r="Q81" s="1902"/>
      <c r="R81" s="1902"/>
      <c r="S81" s="1902"/>
      <c r="T81" s="1902"/>
      <c r="U81" s="1902"/>
      <c r="V81" s="1918"/>
      <c r="W81" s="4971"/>
    </row>
    <row r="82" spans="1:23" ht="25.5" customHeight="1">
      <c r="A82" s="4966">
        <v>15</v>
      </c>
      <c r="B82" s="5005" t="s">
        <v>745</v>
      </c>
      <c r="C82" s="1922"/>
      <c r="D82" s="1903"/>
      <c r="E82" s="1903"/>
      <c r="F82" s="1904"/>
      <c r="G82" s="1904"/>
      <c r="H82" s="1904"/>
      <c r="I82" s="1904"/>
      <c r="J82" s="1904"/>
      <c r="K82" s="1904"/>
      <c r="L82" s="1904"/>
      <c r="M82" s="1904"/>
      <c r="N82" s="1904"/>
      <c r="O82" s="1904"/>
      <c r="P82" s="1904"/>
      <c r="Q82" s="1904"/>
      <c r="R82" s="1904"/>
      <c r="S82" s="1904"/>
      <c r="T82" s="1904"/>
      <c r="U82" s="1904"/>
      <c r="V82" s="1916"/>
      <c r="W82" s="4969"/>
    </row>
    <row r="83" spans="1:23" ht="25.5" customHeight="1">
      <c r="A83" s="4967"/>
      <c r="B83" s="5006"/>
      <c r="C83" s="1923"/>
      <c r="D83" s="1886"/>
      <c r="E83" s="1886"/>
      <c r="F83" s="1887"/>
      <c r="G83" s="1887"/>
      <c r="H83" s="1887"/>
      <c r="I83" s="1887"/>
      <c r="J83" s="1887"/>
      <c r="K83" s="1887"/>
      <c r="L83" s="1887"/>
      <c r="M83" s="1887"/>
      <c r="N83" s="1887"/>
      <c r="O83" s="1887"/>
      <c r="P83" s="1887"/>
      <c r="Q83" s="1887"/>
      <c r="R83" s="1887"/>
      <c r="S83" s="1887"/>
      <c r="T83" s="1887"/>
      <c r="U83" s="1887"/>
      <c r="V83" s="1917"/>
      <c r="W83" s="4970"/>
    </row>
    <row r="84" spans="1:23" ht="25.5" customHeight="1">
      <c r="A84" s="4967"/>
      <c r="B84" s="5006"/>
      <c r="C84" s="1923"/>
      <c r="D84" s="1886"/>
      <c r="E84" s="1886"/>
      <c r="F84" s="1887"/>
      <c r="G84" s="1887"/>
      <c r="H84" s="1887"/>
      <c r="I84" s="1887"/>
      <c r="J84" s="1887"/>
      <c r="K84" s="1887"/>
      <c r="L84" s="1887"/>
      <c r="M84" s="1887"/>
      <c r="N84" s="1887"/>
      <c r="O84" s="1887"/>
      <c r="P84" s="1887"/>
      <c r="Q84" s="1887"/>
      <c r="R84" s="1887"/>
      <c r="S84" s="1887"/>
      <c r="T84" s="1887"/>
      <c r="U84" s="1887"/>
      <c r="V84" s="1917"/>
      <c r="W84" s="4970"/>
    </row>
    <row r="85" spans="1:23" ht="25.5" customHeight="1">
      <c r="A85" s="4967"/>
      <c r="B85" s="5006"/>
      <c r="C85" s="1923"/>
      <c r="D85" s="1886"/>
      <c r="E85" s="1886"/>
      <c r="F85" s="1887"/>
      <c r="G85" s="1887"/>
      <c r="H85" s="1887"/>
      <c r="I85" s="1887"/>
      <c r="J85" s="1887"/>
      <c r="K85" s="1887"/>
      <c r="L85" s="1887"/>
      <c r="M85" s="1887"/>
      <c r="N85" s="1887"/>
      <c r="O85" s="1887"/>
      <c r="P85" s="1887"/>
      <c r="Q85" s="1887"/>
      <c r="R85" s="1887"/>
      <c r="S85" s="1887"/>
      <c r="T85" s="1887"/>
      <c r="U85" s="1887"/>
      <c r="V85" s="1917"/>
      <c r="W85" s="4970"/>
    </row>
    <row r="86" spans="1:23" ht="25.5" customHeight="1">
      <c r="A86" s="4968"/>
      <c r="B86" s="5007"/>
      <c r="C86" s="1924"/>
      <c r="D86" s="1901"/>
      <c r="E86" s="1901"/>
      <c r="F86" s="1902"/>
      <c r="G86" s="1902"/>
      <c r="H86" s="1902"/>
      <c r="I86" s="1902"/>
      <c r="J86" s="1902"/>
      <c r="K86" s="1902"/>
      <c r="L86" s="1902"/>
      <c r="M86" s="1902"/>
      <c r="N86" s="1902"/>
      <c r="O86" s="1902"/>
      <c r="P86" s="1902"/>
      <c r="Q86" s="1902"/>
      <c r="R86" s="1902"/>
      <c r="S86" s="1902"/>
      <c r="T86" s="1902"/>
      <c r="U86" s="1902"/>
      <c r="V86" s="1918"/>
      <c r="W86" s="4971"/>
    </row>
    <row r="87" spans="1:23" ht="15" hidden="1" customHeight="1">
      <c r="A87" s="5009">
        <v>16</v>
      </c>
      <c r="B87" s="4996"/>
      <c r="C87" s="1900"/>
      <c r="D87" s="1900"/>
      <c r="E87" s="1900"/>
      <c r="F87" s="1897"/>
      <c r="G87" s="1897"/>
      <c r="H87" s="1897"/>
      <c r="I87" s="1897"/>
      <c r="J87" s="1897"/>
      <c r="K87" s="1897"/>
      <c r="L87" s="1897"/>
      <c r="M87" s="1897"/>
      <c r="N87" s="1897"/>
      <c r="O87" s="1897"/>
      <c r="P87" s="1897"/>
      <c r="Q87" s="1897"/>
      <c r="R87" s="1897"/>
      <c r="S87" s="1897"/>
      <c r="T87" s="1897"/>
      <c r="U87" s="1897"/>
      <c r="V87" s="1897"/>
      <c r="W87" s="1896"/>
    </row>
    <row r="88" spans="1:23" ht="15" hidden="1" customHeight="1">
      <c r="A88" s="5009"/>
      <c r="B88" s="4992"/>
      <c r="C88" s="1886"/>
      <c r="D88" s="1886"/>
      <c r="E88" s="1886"/>
      <c r="F88" s="1887"/>
      <c r="G88" s="1887"/>
      <c r="H88" s="1887"/>
      <c r="I88" s="1887"/>
      <c r="J88" s="1887"/>
      <c r="K88" s="1887"/>
      <c r="L88" s="1887"/>
      <c r="M88" s="1887"/>
      <c r="N88" s="1887"/>
      <c r="O88" s="1887"/>
      <c r="P88" s="1887"/>
      <c r="Q88" s="1887"/>
      <c r="R88" s="1887"/>
      <c r="S88" s="1887"/>
      <c r="T88" s="1887"/>
      <c r="U88" s="1887"/>
      <c r="V88" s="1887"/>
      <c r="W88" s="1888"/>
    </row>
    <row r="89" spans="1:23" ht="15" hidden="1" customHeight="1">
      <c r="A89" s="5009"/>
      <c r="B89" s="4992"/>
      <c r="C89" s="1886"/>
      <c r="D89" s="1886"/>
      <c r="E89" s="1886"/>
      <c r="F89" s="1887"/>
      <c r="G89" s="1887"/>
      <c r="H89" s="1887"/>
      <c r="I89" s="1887"/>
      <c r="J89" s="1887"/>
      <c r="K89" s="1887"/>
      <c r="L89" s="1887"/>
      <c r="M89" s="1887"/>
      <c r="N89" s="1887"/>
      <c r="O89" s="1887"/>
      <c r="P89" s="1887"/>
      <c r="Q89" s="1887"/>
      <c r="R89" s="1887"/>
      <c r="S89" s="1887"/>
      <c r="T89" s="1887"/>
      <c r="U89" s="1887"/>
      <c r="V89" s="1887"/>
      <c r="W89" s="1888"/>
    </row>
    <row r="90" spans="1:23" ht="15" hidden="1" customHeight="1">
      <c r="A90" s="5009"/>
      <c r="B90" s="4992"/>
      <c r="C90" s="1886"/>
      <c r="D90" s="1886"/>
      <c r="E90" s="1886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887"/>
      <c r="W90" s="1888"/>
    </row>
    <row r="91" spans="1:23" ht="15" hidden="1" customHeight="1">
      <c r="A91" s="4996"/>
      <c r="B91" s="4992"/>
      <c r="C91" s="1886"/>
      <c r="D91" s="1886"/>
      <c r="E91" s="1886"/>
      <c r="F91" s="1887"/>
      <c r="G91" s="1887"/>
      <c r="H91" s="1887"/>
      <c r="I91" s="1887"/>
      <c r="J91" s="1887"/>
      <c r="K91" s="1887"/>
      <c r="L91" s="1887"/>
      <c r="M91" s="1887"/>
      <c r="N91" s="1887"/>
      <c r="O91" s="1887"/>
      <c r="P91" s="1887"/>
      <c r="Q91" s="1887"/>
      <c r="R91" s="1887"/>
      <c r="S91" s="1887"/>
      <c r="T91" s="1887"/>
      <c r="U91" s="1887"/>
      <c r="V91" s="1887"/>
      <c r="W91" s="1888"/>
    </row>
    <row r="92" spans="1:23" ht="15" hidden="1" customHeight="1">
      <c r="A92" s="5008">
        <v>17</v>
      </c>
      <c r="B92" s="4992"/>
      <c r="C92" s="1886"/>
      <c r="D92" s="1886"/>
      <c r="E92" s="1886"/>
      <c r="F92" s="1887"/>
      <c r="G92" s="1887"/>
      <c r="H92" s="1887"/>
      <c r="I92" s="1887"/>
      <c r="J92" s="1887"/>
      <c r="K92" s="1887"/>
      <c r="L92" s="1887"/>
      <c r="M92" s="1887"/>
      <c r="N92" s="1887"/>
      <c r="O92" s="1887"/>
      <c r="P92" s="1887"/>
      <c r="Q92" s="1887"/>
      <c r="R92" s="1887"/>
      <c r="S92" s="1887"/>
      <c r="T92" s="1887"/>
      <c r="U92" s="1887"/>
      <c r="V92" s="1887"/>
      <c r="W92" s="1888"/>
    </row>
    <row r="93" spans="1:23" ht="15" hidden="1" customHeight="1">
      <c r="A93" s="5009"/>
      <c r="B93" s="4992"/>
      <c r="C93" s="1886"/>
      <c r="D93" s="1886"/>
      <c r="E93" s="1886"/>
      <c r="F93" s="1887"/>
      <c r="G93" s="1887"/>
      <c r="H93" s="1887"/>
      <c r="I93" s="1887"/>
      <c r="J93" s="1887"/>
      <c r="K93" s="1887"/>
      <c r="L93" s="1887"/>
      <c r="M93" s="1887"/>
      <c r="N93" s="1887"/>
      <c r="O93" s="1887"/>
      <c r="P93" s="1887"/>
      <c r="Q93" s="1887"/>
      <c r="R93" s="1887"/>
      <c r="S93" s="1887"/>
      <c r="T93" s="1887"/>
      <c r="U93" s="1887"/>
      <c r="V93" s="1887"/>
      <c r="W93" s="1888"/>
    </row>
    <row r="94" spans="1:23" ht="15" hidden="1" customHeight="1">
      <c r="A94" s="5009"/>
      <c r="B94" s="4992"/>
      <c r="C94" s="1886"/>
      <c r="D94" s="1886"/>
      <c r="E94" s="1886"/>
      <c r="F94" s="1887"/>
      <c r="G94" s="1887"/>
      <c r="H94" s="1887"/>
      <c r="I94" s="1887"/>
      <c r="J94" s="1887"/>
      <c r="K94" s="1887"/>
      <c r="L94" s="1887"/>
      <c r="M94" s="1887"/>
      <c r="N94" s="1887"/>
      <c r="O94" s="1887"/>
      <c r="P94" s="1887"/>
      <c r="Q94" s="1887"/>
      <c r="R94" s="1887"/>
      <c r="S94" s="1887"/>
      <c r="T94" s="1887"/>
      <c r="U94" s="1887"/>
      <c r="V94" s="1887"/>
      <c r="W94" s="1888"/>
    </row>
    <row r="95" spans="1:23" ht="15" hidden="1" customHeight="1">
      <c r="A95" s="5009"/>
      <c r="B95" s="4992"/>
      <c r="C95" s="1886"/>
      <c r="D95" s="1886"/>
      <c r="E95" s="1886"/>
      <c r="F95" s="1887"/>
      <c r="G95" s="1887"/>
      <c r="H95" s="1887"/>
      <c r="I95" s="1887"/>
      <c r="J95" s="1887"/>
      <c r="K95" s="1887"/>
      <c r="L95" s="1887"/>
      <c r="M95" s="1887"/>
      <c r="N95" s="1887"/>
      <c r="O95" s="1887"/>
      <c r="P95" s="1887"/>
      <c r="Q95" s="1887"/>
      <c r="R95" s="1887"/>
      <c r="S95" s="1887"/>
      <c r="T95" s="1887"/>
      <c r="U95" s="1887"/>
      <c r="V95" s="1887"/>
      <c r="W95" s="1888"/>
    </row>
    <row r="96" spans="1:23" ht="15" hidden="1" customHeight="1">
      <c r="A96" s="4996"/>
      <c r="B96" s="4992"/>
      <c r="C96" s="1886"/>
      <c r="D96" s="1886"/>
      <c r="E96" s="1886"/>
      <c r="F96" s="1887"/>
      <c r="G96" s="1887"/>
      <c r="H96" s="1887"/>
      <c r="I96" s="1887"/>
      <c r="J96" s="1887"/>
      <c r="K96" s="1887"/>
      <c r="L96" s="1887"/>
      <c r="M96" s="1887"/>
      <c r="N96" s="1887"/>
      <c r="O96" s="1887"/>
      <c r="P96" s="1887"/>
      <c r="Q96" s="1887"/>
      <c r="R96" s="1887"/>
      <c r="S96" s="1887"/>
      <c r="T96" s="1887"/>
      <c r="U96" s="1887"/>
      <c r="V96" s="1887"/>
      <c r="W96" s="1888"/>
    </row>
    <row r="97" spans="1:23" ht="15" hidden="1" customHeight="1">
      <c r="A97" s="5008">
        <v>18</v>
      </c>
      <c r="B97" s="4992"/>
      <c r="C97" s="1886"/>
      <c r="D97" s="1886"/>
      <c r="E97" s="1886"/>
      <c r="F97" s="1887"/>
      <c r="G97" s="1887"/>
      <c r="H97" s="1887"/>
      <c r="I97" s="1887"/>
      <c r="J97" s="1887"/>
      <c r="K97" s="1887"/>
      <c r="L97" s="1887"/>
      <c r="M97" s="1887"/>
      <c r="N97" s="1887"/>
      <c r="O97" s="1887"/>
      <c r="P97" s="1887"/>
      <c r="Q97" s="1887"/>
      <c r="R97" s="1887"/>
      <c r="S97" s="1887"/>
      <c r="T97" s="1887"/>
      <c r="U97" s="1887"/>
      <c r="V97" s="1887"/>
      <c r="W97" s="1888"/>
    </row>
    <row r="98" spans="1:23" ht="15" hidden="1" customHeight="1">
      <c r="A98" s="5009"/>
      <c r="B98" s="4992"/>
      <c r="C98" s="1886"/>
      <c r="D98" s="1886"/>
      <c r="E98" s="1886"/>
      <c r="F98" s="1887"/>
      <c r="G98" s="1887"/>
      <c r="H98" s="1887"/>
      <c r="I98" s="1887"/>
      <c r="J98" s="1887"/>
      <c r="K98" s="1887"/>
      <c r="L98" s="1887"/>
      <c r="M98" s="1887"/>
      <c r="N98" s="1887"/>
      <c r="O98" s="1887"/>
      <c r="P98" s="1887"/>
      <c r="Q98" s="1887"/>
      <c r="R98" s="1887"/>
      <c r="S98" s="1887"/>
      <c r="T98" s="1887"/>
      <c r="U98" s="1887"/>
      <c r="V98" s="1887"/>
      <c r="W98" s="1888"/>
    </row>
    <row r="99" spans="1:23" ht="15" hidden="1" customHeight="1">
      <c r="A99" s="5009"/>
      <c r="B99" s="4992"/>
      <c r="C99" s="1886"/>
      <c r="D99" s="1886"/>
      <c r="E99" s="1886"/>
      <c r="F99" s="1887"/>
      <c r="G99" s="1887"/>
      <c r="H99" s="1887"/>
      <c r="I99" s="1887"/>
      <c r="J99" s="1887"/>
      <c r="K99" s="1887"/>
      <c r="L99" s="1887"/>
      <c r="M99" s="1887"/>
      <c r="N99" s="1887"/>
      <c r="O99" s="1887"/>
      <c r="P99" s="1887"/>
      <c r="Q99" s="1887"/>
      <c r="R99" s="1887"/>
      <c r="S99" s="1887"/>
      <c r="T99" s="1887"/>
      <c r="U99" s="1887"/>
      <c r="V99" s="1887"/>
      <c r="W99" s="1888"/>
    </row>
    <row r="100" spans="1:23" ht="15" hidden="1" customHeight="1">
      <c r="A100" s="5009"/>
      <c r="B100" s="4992"/>
      <c r="C100" s="1886"/>
      <c r="D100" s="1886"/>
      <c r="E100" s="1886"/>
      <c r="F100" s="1887"/>
      <c r="G100" s="1887"/>
      <c r="H100" s="1887"/>
      <c r="I100" s="1887"/>
      <c r="J100" s="1887"/>
      <c r="K100" s="1887"/>
      <c r="L100" s="1887"/>
      <c r="M100" s="1887"/>
      <c r="N100" s="1887"/>
      <c r="O100" s="1887"/>
      <c r="P100" s="1887"/>
      <c r="Q100" s="1887"/>
      <c r="R100" s="1887"/>
      <c r="S100" s="1887"/>
      <c r="T100" s="1887"/>
      <c r="U100" s="1887"/>
      <c r="V100" s="1887"/>
      <c r="W100" s="1888"/>
    </row>
    <row r="101" spans="1:23" ht="15" hidden="1" customHeight="1">
      <c r="A101" s="4996"/>
      <c r="B101" s="4992"/>
      <c r="C101" s="1886"/>
      <c r="D101" s="1886"/>
      <c r="E101" s="1886"/>
      <c r="F101" s="1887"/>
      <c r="G101" s="1887"/>
      <c r="H101" s="1887"/>
      <c r="I101" s="1887"/>
      <c r="J101" s="1887"/>
      <c r="K101" s="1887"/>
      <c r="L101" s="1887"/>
      <c r="M101" s="1887"/>
      <c r="N101" s="1887"/>
      <c r="O101" s="1887"/>
      <c r="P101" s="1887"/>
      <c r="Q101" s="1887"/>
      <c r="R101" s="1887"/>
      <c r="S101" s="1887"/>
      <c r="T101" s="1887"/>
      <c r="U101" s="1887"/>
      <c r="V101" s="1887"/>
      <c r="W101" s="1888"/>
    </row>
    <row r="102" spans="1:23" ht="15" hidden="1" customHeight="1">
      <c r="A102" s="5008">
        <v>19</v>
      </c>
      <c r="B102" s="4992"/>
      <c r="C102" s="1886"/>
      <c r="D102" s="1886"/>
      <c r="E102" s="1886"/>
      <c r="F102" s="1887"/>
      <c r="G102" s="1887"/>
      <c r="H102" s="1887"/>
      <c r="I102" s="1887"/>
      <c r="J102" s="1887"/>
      <c r="K102" s="1887"/>
      <c r="L102" s="1887"/>
      <c r="M102" s="1887"/>
      <c r="N102" s="1887"/>
      <c r="O102" s="1887"/>
      <c r="P102" s="1887"/>
      <c r="Q102" s="1887"/>
      <c r="R102" s="1887"/>
      <c r="S102" s="1887"/>
      <c r="T102" s="1887"/>
      <c r="U102" s="1887"/>
      <c r="V102" s="1887"/>
      <c r="W102" s="1888"/>
    </row>
    <row r="103" spans="1:23" ht="15" hidden="1" customHeight="1">
      <c r="A103" s="5009"/>
      <c r="B103" s="4992"/>
      <c r="C103" s="1886"/>
      <c r="D103" s="1886"/>
      <c r="E103" s="1886"/>
      <c r="F103" s="1887"/>
      <c r="G103" s="1887"/>
      <c r="H103" s="1887"/>
      <c r="I103" s="1887"/>
      <c r="J103" s="1887"/>
      <c r="K103" s="1887"/>
      <c r="L103" s="1887"/>
      <c r="M103" s="1887"/>
      <c r="N103" s="1887"/>
      <c r="O103" s="1887"/>
      <c r="P103" s="1887"/>
      <c r="Q103" s="1887"/>
      <c r="R103" s="1887"/>
      <c r="S103" s="1887"/>
      <c r="T103" s="1887"/>
      <c r="U103" s="1887"/>
      <c r="V103" s="1887"/>
      <c r="W103" s="1888"/>
    </row>
    <row r="104" spans="1:23" ht="15" hidden="1" customHeight="1">
      <c r="A104" s="5009"/>
      <c r="B104" s="4992"/>
      <c r="C104" s="1886"/>
      <c r="D104" s="1886"/>
      <c r="E104" s="1886"/>
      <c r="F104" s="1887"/>
      <c r="G104" s="1887"/>
      <c r="H104" s="1887"/>
      <c r="I104" s="1887"/>
      <c r="J104" s="1887"/>
      <c r="K104" s="1887"/>
      <c r="L104" s="1887"/>
      <c r="M104" s="1887"/>
      <c r="N104" s="1887"/>
      <c r="O104" s="1887"/>
      <c r="P104" s="1887"/>
      <c r="Q104" s="1887"/>
      <c r="R104" s="1887"/>
      <c r="S104" s="1887"/>
      <c r="T104" s="1887"/>
      <c r="U104" s="1887"/>
      <c r="V104" s="1887"/>
      <c r="W104" s="1888"/>
    </row>
    <row r="105" spans="1:23" ht="15" hidden="1" customHeight="1">
      <c r="A105" s="5009"/>
      <c r="B105" s="4992"/>
      <c r="C105" s="1886"/>
      <c r="D105" s="1886"/>
      <c r="E105" s="1886"/>
      <c r="F105" s="1887"/>
      <c r="G105" s="1887"/>
      <c r="H105" s="1887"/>
      <c r="I105" s="1887"/>
      <c r="J105" s="1887"/>
      <c r="K105" s="1887"/>
      <c r="L105" s="1887"/>
      <c r="M105" s="1887"/>
      <c r="N105" s="1887"/>
      <c r="O105" s="1887"/>
      <c r="P105" s="1887"/>
      <c r="Q105" s="1887"/>
      <c r="R105" s="1887"/>
      <c r="S105" s="1887"/>
      <c r="T105" s="1887"/>
      <c r="U105" s="1887"/>
      <c r="V105" s="1887"/>
      <c r="W105" s="1888"/>
    </row>
    <row r="106" spans="1:23" ht="15" hidden="1" customHeight="1">
      <c r="A106" s="4996"/>
      <c r="B106" s="4992"/>
      <c r="C106" s="1886"/>
      <c r="D106" s="1886"/>
      <c r="E106" s="1886"/>
      <c r="F106" s="1887"/>
      <c r="G106" s="1887"/>
      <c r="H106" s="1887"/>
      <c r="I106" s="1887"/>
      <c r="J106" s="1887"/>
      <c r="K106" s="1887"/>
      <c r="L106" s="1887"/>
      <c r="M106" s="1887"/>
      <c r="N106" s="1887"/>
      <c r="O106" s="1887"/>
      <c r="P106" s="1887"/>
      <c r="Q106" s="1887"/>
      <c r="R106" s="1887"/>
      <c r="S106" s="1887"/>
      <c r="T106" s="1887"/>
      <c r="U106" s="1887"/>
      <c r="V106" s="1887"/>
      <c r="W106" s="1888"/>
    </row>
    <row r="107" spans="1:23" ht="15" hidden="1" customHeight="1">
      <c r="A107" s="5008">
        <v>20</v>
      </c>
      <c r="B107" s="4992"/>
      <c r="C107" s="1886"/>
      <c r="D107" s="1886"/>
      <c r="E107" s="1886"/>
      <c r="F107" s="1887"/>
      <c r="G107" s="1887"/>
      <c r="H107" s="1887"/>
      <c r="I107" s="1887"/>
      <c r="J107" s="1887"/>
      <c r="K107" s="1887"/>
      <c r="L107" s="1887"/>
      <c r="M107" s="1887"/>
      <c r="N107" s="1887"/>
      <c r="O107" s="1887"/>
      <c r="P107" s="1887"/>
      <c r="Q107" s="1887"/>
      <c r="R107" s="1887"/>
      <c r="S107" s="1887"/>
      <c r="T107" s="1887"/>
      <c r="U107" s="1887"/>
      <c r="V107" s="1887"/>
      <c r="W107" s="1888"/>
    </row>
    <row r="108" spans="1:23" ht="15" hidden="1" customHeight="1">
      <c r="A108" s="5009"/>
      <c r="B108" s="4992"/>
      <c r="C108" s="1886"/>
      <c r="D108" s="1886"/>
      <c r="E108" s="1886"/>
      <c r="F108" s="1887"/>
      <c r="G108" s="1887"/>
      <c r="H108" s="1887"/>
      <c r="I108" s="1887"/>
      <c r="J108" s="1887"/>
      <c r="K108" s="1887"/>
      <c r="L108" s="1887"/>
      <c r="M108" s="1887"/>
      <c r="N108" s="1887"/>
      <c r="O108" s="1887"/>
      <c r="P108" s="1887"/>
      <c r="Q108" s="1887"/>
      <c r="R108" s="1887"/>
      <c r="S108" s="1887"/>
      <c r="T108" s="1887"/>
      <c r="U108" s="1887"/>
      <c r="V108" s="1887"/>
      <c r="W108" s="1888"/>
    </row>
    <row r="109" spans="1:23" ht="15" hidden="1" customHeight="1">
      <c r="A109" s="5009"/>
      <c r="B109" s="4992"/>
      <c r="C109" s="1886"/>
      <c r="D109" s="1886"/>
      <c r="E109" s="1886"/>
      <c r="F109" s="1887"/>
      <c r="G109" s="1887"/>
      <c r="H109" s="1887"/>
      <c r="I109" s="1887"/>
      <c r="J109" s="1887"/>
      <c r="K109" s="1887"/>
      <c r="L109" s="1887"/>
      <c r="M109" s="1887"/>
      <c r="N109" s="1887"/>
      <c r="O109" s="1887"/>
      <c r="P109" s="1887"/>
      <c r="Q109" s="1887"/>
      <c r="R109" s="1887"/>
      <c r="S109" s="1887"/>
      <c r="T109" s="1887"/>
      <c r="U109" s="1887"/>
      <c r="V109" s="1887"/>
      <c r="W109" s="1888"/>
    </row>
    <row r="110" spans="1:23" ht="15" hidden="1" customHeight="1">
      <c r="A110" s="5009"/>
      <c r="B110" s="4992"/>
      <c r="C110" s="1886"/>
      <c r="D110" s="1886"/>
      <c r="E110" s="1886"/>
      <c r="F110" s="1887"/>
      <c r="G110" s="1887"/>
      <c r="H110" s="1887"/>
      <c r="I110" s="1887"/>
      <c r="J110" s="1887"/>
      <c r="K110" s="1887"/>
      <c r="L110" s="1887"/>
      <c r="M110" s="1887"/>
      <c r="N110" s="1887"/>
      <c r="O110" s="1887"/>
      <c r="P110" s="1887"/>
      <c r="Q110" s="1887"/>
      <c r="R110" s="1887"/>
      <c r="S110" s="1887"/>
      <c r="T110" s="1887"/>
      <c r="U110" s="1887"/>
      <c r="V110" s="1887"/>
      <c r="W110" s="1888"/>
    </row>
    <row r="111" spans="1:23" ht="15" hidden="1" customHeight="1">
      <c r="A111" s="4996"/>
      <c r="B111" s="4992"/>
      <c r="C111" s="1886"/>
      <c r="D111" s="1886"/>
      <c r="E111" s="1886"/>
      <c r="F111" s="1887"/>
      <c r="G111" s="1887"/>
      <c r="H111" s="1887"/>
      <c r="I111" s="1887"/>
      <c r="J111" s="1887"/>
      <c r="K111" s="1887"/>
      <c r="L111" s="1887"/>
      <c r="M111" s="1887"/>
      <c r="N111" s="1887"/>
      <c r="O111" s="1887"/>
      <c r="P111" s="1887"/>
      <c r="Q111" s="1887"/>
      <c r="R111" s="1887"/>
      <c r="S111" s="1887"/>
      <c r="T111" s="1887"/>
      <c r="U111" s="1887"/>
      <c r="V111" s="1887"/>
      <c r="W111" s="1888"/>
    </row>
    <row r="112" spans="1:23" ht="15" hidden="1" customHeight="1">
      <c r="A112" s="5008">
        <v>21</v>
      </c>
      <c r="B112" s="4992"/>
      <c r="C112" s="1886"/>
      <c r="D112" s="1886"/>
      <c r="E112" s="1886"/>
      <c r="F112" s="1887"/>
      <c r="G112" s="1887"/>
      <c r="H112" s="1887"/>
      <c r="I112" s="1887"/>
      <c r="J112" s="1887"/>
      <c r="K112" s="1887"/>
      <c r="L112" s="1887"/>
      <c r="M112" s="1887"/>
      <c r="N112" s="1887"/>
      <c r="O112" s="1887"/>
      <c r="P112" s="1887"/>
      <c r="Q112" s="1887"/>
      <c r="R112" s="1887"/>
      <c r="S112" s="1887"/>
      <c r="T112" s="1887"/>
      <c r="U112" s="1887"/>
      <c r="V112" s="1887"/>
      <c r="W112" s="1888"/>
    </row>
    <row r="113" spans="1:23" ht="15" hidden="1" customHeight="1">
      <c r="A113" s="5009"/>
      <c r="B113" s="4992"/>
      <c r="C113" s="1886"/>
      <c r="D113" s="1886"/>
      <c r="E113" s="1886"/>
      <c r="F113" s="1887"/>
      <c r="G113" s="1887"/>
      <c r="H113" s="1887"/>
      <c r="I113" s="1887"/>
      <c r="J113" s="1887"/>
      <c r="K113" s="1887"/>
      <c r="L113" s="1887"/>
      <c r="M113" s="1887"/>
      <c r="N113" s="1887"/>
      <c r="O113" s="1887"/>
      <c r="P113" s="1887"/>
      <c r="Q113" s="1887"/>
      <c r="R113" s="1887"/>
      <c r="S113" s="1887"/>
      <c r="T113" s="1887"/>
      <c r="U113" s="1887"/>
      <c r="V113" s="1887"/>
      <c r="W113" s="1888"/>
    </row>
    <row r="114" spans="1:23" ht="15" hidden="1" customHeight="1">
      <c r="A114" s="5009"/>
      <c r="B114" s="4992"/>
      <c r="C114" s="1886"/>
      <c r="D114" s="1886"/>
      <c r="E114" s="1886"/>
      <c r="F114" s="1887"/>
      <c r="G114" s="1887"/>
      <c r="H114" s="1887"/>
      <c r="I114" s="1887"/>
      <c r="J114" s="1887"/>
      <c r="K114" s="1887"/>
      <c r="L114" s="1887"/>
      <c r="M114" s="1887"/>
      <c r="N114" s="1887"/>
      <c r="O114" s="1887"/>
      <c r="P114" s="1887"/>
      <c r="Q114" s="1887"/>
      <c r="R114" s="1887"/>
      <c r="S114" s="1887"/>
      <c r="T114" s="1887"/>
      <c r="U114" s="1887"/>
      <c r="V114" s="1887"/>
      <c r="W114" s="1888"/>
    </row>
    <row r="115" spans="1:23" ht="15" hidden="1" customHeight="1">
      <c r="A115" s="5009"/>
      <c r="B115" s="4992"/>
      <c r="C115" s="1886"/>
      <c r="D115" s="1886"/>
      <c r="E115" s="1886"/>
      <c r="F115" s="1887"/>
      <c r="G115" s="1887"/>
      <c r="H115" s="1887"/>
      <c r="I115" s="1887"/>
      <c r="J115" s="1887"/>
      <c r="K115" s="1887"/>
      <c r="L115" s="1887"/>
      <c r="M115" s="1887"/>
      <c r="N115" s="1887"/>
      <c r="O115" s="1887"/>
      <c r="P115" s="1887"/>
      <c r="Q115" s="1887"/>
      <c r="R115" s="1887"/>
      <c r="S115" s="1887"/>
      <c r="T115" s="1887"/>
      <c r="U115" s="1887"/>
      <c r="V115" s="1887"/>
      <c r="W115" s="1888"/>
    </row>
    <row r="116" spans="1:23" ht="15" hidden="1" customHeight="1">
      <c r="A116" s="4996"/>
      <c r="B116" s="4992"/>
      <c r="C116" s="1886"/>
      <c r="D116" s="1886"/>
      <c r="E116" s="1886"/>
      <c r="F116" s="1887"/>
      <c r="G116" s="1887"/>
      <c r="H116" s="1887"/>
      <c r="I116" s="1887"/>
      <c r="J116" s="1887"/>
      <c r="K116" s="1887"/>
      <c r="L116" s="1887"/>
      <c r="M116" s="1887"/>
      <c r="N116" s="1887"/>
      <c r="O116" s="1887"/>
      <c r="P116" s="1887"/>
      <c r="Q116" s="1887"/>
      <c r="R116" s="1887"/>
      <c r="S116" s="1887"/>
      <c r="T116" s="1887"/>
      <c r="U116" s="1887"/>
      <c r="V116" s="1887"/>
      <c r="W116" s="1888"/>
    </row>
    <row r="117" spans="1:23" ht="15" hidden="1" customHeight="1">
      <c r="A117" s="5008">
        <v>22</v>
      </c>
      <c r="B117" s="4992"/>
      <c r="C117" s="1886"/>
      <c r="D117" s="1886"/>
      <c r="E117" s="1886"/>
      <c r="F117" s="1887"/>
      <c r="G117" s="1887"/>
      <c r="H117" s="1887"/>
      <c r="I117" s="1887"/>
      <c r="J117" s="1887"/>
      <c r="K117" s="1887"/>
      <c r="L117" s="1887"/>
      <c r="M117" s="1887"/>
      <c r="N117" s="1887"/>
      <c r="O117" s="1887"/>
      <c r="P117" s="1887"/>
      <c r="Q117" s="1887"/>
      <c r="R117" s="1887"/>
      <c r="S117" s="1887"/>
      <c r="T117" s="1887"/>
      <c r="U117" s="1887"/>
      <c r="V117" s="1887"/>
      <c r="W117" s="1888"/>
    </row>
    <row r="118" spans="1:23" ht="15" hidden="1" customHeight="1">
      <c r="A118" s="5009"/>
      <c r="B118" s="4992"/>
      <c r="C118" s="1886"/>
      <c r="D118" s="1886"/>
      <c r="E118" s="1886"/>
      <c r="F118" s="1887"/>
      <c r="G118" s="1887"/>
      <c r="H118" s="1887"/>
      <c r="I118" s="1887"/>
      <c r="J118" s="1887"/>
      <c r="K118" s="1887"/>
      <c r="L118" s="1887"/>
      <c r="M118" s="1887"/>
      <c r="N118" s="1887"/>
      <c r="O118" s="1887"/>
      <c r="P118" s="1887"/>
      <c r="Q118" s="1887"/>
      <c r="R118" s="1887"/>
      <c r="S118" s="1887"/>
      <c r="T118" s="1887"/>
      <c r="U118" s="1887"/>
      <c r="V118" s="1887"/>
      <c r="W118" s="1888"/>
    </row>
    <row r="119" spans="1:23" ht="15" hidden="1" customHeight="1">
      <c r="A119" s="5009"/>
      <c r="B119" s="4992"/>
      <c r="C119" s="1886"/>
      <c r="D119" s="1886"/>
      <c r="E119" s="1886"/>
      <c r="F119" s="1887"/>
      <c r="G119" s="1887"/>
      <c r="H119" s="1887"/>
      <c r="I119" s="1887"/>
      <c r="J119" s="1887"/>
      <c r="K119" s="1887"/>
      <c r="L119" s="1887"/>
      <c r="M119" s="1887"/>
      <c r="N119" s="1887"/>
      <c r="O119" s="1887"/>
      <c r="P119" s="1887"/>
      <c r="Q119" s="1887"/>
      <c r="R119" s="1887"/>
      <c r="S119" s="1887"/>
      <c r="T119" s="1887"/>
      <c r="U119" s="1887"/>
      <c r="V119" s="1887"/>
      <c r="W119" s="1888"/>
    </row>
    <row r="120" spans="1:23" ht="15" hidden="1" customHeight="1">
      <c r="A120" s="5009"/>
      <c r="B120" s="4992"/>
      <c r="C120" s="1886"/>
      <c r="D120" s="1886"/>
      <c r="E120" s="1886"/>
      <c r="F120" s="1887"/>
      <c r="G120" s="1887"/>
      <c r="H120" s="1887"/>
      <c r="I120" s="1887"/>
      <c r="J120" s="1887"/>
      <c r="K120" s="1887"/>
      <c r="L120" s="1887"/>
      <c r="M120" s="1887"/>
      <c r="N120" s="1887"/>
      <c r="O120" s="1887"/>
      <c r="P120" s="1887"/>
      <c r="Q120" s="1887"/>
      <c r="R120" s="1887"/>
      <c r="S120" s="1887"/>
      <c r="T120" s="1887"/>
      <c r="U120" s="1887"/>
      <c r="V120" s="1887"/>
      <c r="W120" s="1888"/>
    </row>
    <row r="121" spans="1:23" ht="16.5" hidden="1">
      <c r="A121" s="4996"/>
      <c r="B121" s="4992"/>
      <c r="C121" s="1886"/>
      <c r="D121" s="1886"/>
      <c r="E121" s="1886"/>
      <c r="F121" s="1887"/>
      <c r="G121" s="1887"/>
      <c r="H121" s="1887"/>
      <c r="I121" s="1887"/>
      <c r="J121" s="1887"/>
      <c r="K121" s="1887"/>
      <c r="L121" s="1887"/>
      <c r="M121" s="1887"/>
      <c r="N121" s="1887"/>
      <c r="O121" s="1887"/>
      <c r="P121" s="1887"/>
      <c r="Q121" s="1887"/>
      <c r="R121" s="1887"/>
      <c r="S121" s="1887"/>
      <c r="T121" s="1887"/>
      <c r="U121" s="1887"/>
      <c r="V121" s="1887"/>
      <c r="W121" s="1888"/>
    </row>
    <row r="122" spans="1:23" ht="16.5">
      <c r="S122" s="4993" t="s">
        <v>1011</v>
      </c>
      <c r="T122" s="4993"/>
      <c r="U122" s="4993"/>
      <c r="V122" s="4993"/>
      <c r="W122" s="4993"/>
    </row>
    <row r="123" spans="1:23" ht="17.25" customHeight="1">
      <c r="A123" s="1895" t="s">
        <v>1108</v>
      </c>
      <c r="B123" s="1895"/>
      <c r="C123" s="1895"/>
      <c r="D123" s="1895"/>
      <c r="E123" s="1895"/>
      <c r="F123" s="1895"/>
      <c r="H123" s="1890"/>
      <c r="J123" s="1890" t="s">
        <v>1109</v>
      </c>
      <c r="K123" s="1890"/>
      <c r="L123" s="1890"/>
      <c r="M123" s="4963" t="s">
        <v>1110</v>
      </c>
      <c r="N123" s="4963"/>
      <c r="O123" s="4963"/>
      <c r="P123" s="4963"/>
      <c r="Q123" s="4963"/>
      <c r="R123" s="4963"/>
      <c r="S123" s="1890"/>
      <c r="T123" s="1890"/>
      <c r="U123" s="4963" t="s">
        <v>1111</v>
      </c>
      <c r="V123" s="4963"/>
      <c r="W123" s="4963"/>
    </row>
    <row r="124" spans="1:23" ht="17.25" customHeight="1">
      <c r="B124" s="1891" t="s">
        <v>113</v>
      </c>
      <c r="C124" s="1891" t="s">
        <v>1112</v>
      </c>
      <c r="D124" s="1891"/>
      <c r="E124" s="1889"/>
    </row>
    <row r="125" spans="1:23" ht="17.25" customHeight="1">
      <c r="B125" s="1891" t="s">
        <v>113</v>
      </c>
      <c r="C125" s="1891" t="s">
        <v>52</v>
      </c>
      <c r="D125" s="1891"/>
      <c r="E125" s="1889"/>
      <c r="G125" s="4994"/>
      <c r="H125" s="4994"/>
      <c r="I125" s="4994"/>
      <c r="J125" s="4994"/>
      <c r="K125" s="4994"/>
      <c r="L125" s="4994"/>
      <c r="M125" s="4994"/>
      <c r="N125" s="4994"/>
      <c r="O125" s="4994"/>
      <c r="P125" s="4994"/>
      <c r="Q125" s="4994"/>
      <c r="R125" s="4994"/>
      <c r="S125" s="4994"/>
      <c r="T125" s="4994"/>
      <c r="U125" s="4994"/>
      <c r="V125" s="4994"/>
    </row>
    <row r="126" spans="1:23" ht="17.25" customHeight="1">
      <c r="B126" s="1891" t="s">
        <v>113</v>
      </c>
      <c r="C126" s="1891" t="s">
        <v>92</v>
      </c>
      <c r="D126" s="1891"/>
      <c r="E126" s="1889"/>
      <c r="G126" s="4994"/>
      <c r="H126" s="4994"/>
      <c r="I126" s="4994"/>
      <c r="J126" s="4994"/>
      <c r="K126" s="4994"/>
      <c r="L126" s="4994"/>
      <c r="M126" s="4994"/>
      <c r="N126" s="4994"/>
      <c r="O126" s="4994"/>
      <c r="P126" s="4994"/>
      <c r="Q126" s="4994"/>
      <c r="R126" s="4994"/>
      <c r="S126" s="4994"/>
      <c r="T126" s="4994"/>
      <c r="U126" s="4994"/>
      <c r="V126" s="4994"/>
    </row>
    <row r="127" spans="1:23" ht="17.25" customHeight="1">
      <c r="B127" s="1891" t="s">
        <v>113</v>
      </c>
      <c r="C127" s="1891" t="s">
        <v>53</v>
      </c>
      <c r="D127" s="1891"/>
      <c r="E127" s="1889"/>
      <c r="G127" s="4994"/>
      <c r="H127" s="4994"/>
      <c r="I127" s="4994"/>
      <c r="J127" s="4994"/>
      <c r="K127" s="4994"/>
      <c r="L127" s="4994"/>
      <c r="M127" s="4994"/>
      <c r="N127" s="4994"/>
      <c r="O127" s="4994"/>
      <c r="P127" s="4994"/>
      <c r="Q127" s="4994"/>
      <c r="R127" s="4994"/>
      <c r="S127" s="4994"/>
      <c r="T127" s="4994"/>
      <c r="U127" s="4994"/>
      <c r="V127" s="4994"/>
    </row>
    <row r="128" spans="1:23" ht="17.25" customHeight="1">
      <c r="B128" s="1891" t="s">
        <v>113</v>
      </c>
      <c r="C128" s="1891" t="s">
        <v>93</v>
      </c>
      <c r="D128" s="1891"/>
      <c r="E128" s="1889"/>
      <c r="G128" s="4994"/>
      <c r="H128" s="4994"/>
      <c r="I128" s="4994"/>
      <c r="J128" s="4994"/>
      <c r="K128" s="4994"/>
      <c r="L128" s="4994"/>
      <c r="M128" s="4994"/>
      <c r="N128" s="4994"/>
      <c r="O128" s="4994"/>
      <c r="P128" s="4994"/>
      <c r="Q128" s="4994"/>
      <c r="R128" s="4994"/>
      <c r="S128" s="4994"/>
      <c r="T128" s="4994"/>
      <c r="U128" s="4994"/>
      <c r="V128" s="4994"/>
    </row>
    <row r="129" spans="1:23" ht="17.25" customHeight="1">
      <c r="B129" s="4995" t="s">
        <v>21</v>
      </c>
      <c r="C129" s="4995"/>
      <c r="D129" s="1892"/>
      <c r="E129" s="1889"/>
      <c r="G129" s="4994"/>
      <c r="H129" s="4994"/>
      <c r="I129" s="4994"/>
      <c r="J129" s="4994"/>
      <c r="K129" s="4994"/>
      <c r="L129" s="4994"/>
      <c r="M129" s="4994"/>
      <c r="N129" s="4994"/>
      <c r="O129" s="4994"/>
      <c r="P129" s="4994"/>
      <c r="Q129" s="4994"/>
      <c r="R129" s="4994"/>
      <c r="S129" s="4994"/>
      <c r="T129" s="4994"/>
      <c r="U129" s="4994"/>
      <c r="V129" s="4994"/>
    </row>
    <row r="130" spans="1:23" s="1894" customFormat="1" ht="16.5">
      <c r="A130" s="4991"/>
      <c r="B130" s="4991"/>
      <c r="C130" s="4991"/>
      <c r="D130" s="4991"/>
      <c r="E130" s="4991"/>
      <c r="F130" s="4991"/>
      <c r="G130" s="1893"/>
      <c r="H130" s="1893"/>
      <c r="I130" s="1893"/>
      <c r="J130" s="4991"/>
      <c r="K130" s="4991"/>
      <c r="L130" s="4991"/>
      <c r="M130" s="4991"/>
      <c r="N130" s="4991"/>
      <c r="O130" s="4991"/>
      <c r="P130" s="1893"/>
      <c r="Q130" s="1893"/>
      <c r="R130" s="1893"/>
      <c r="S130" s="1893"/>
      <c r="T130" s="1893"/>
      <c r="U130" s="4991"/>
      <c r="V130" s="4991"/>
      <c r="W130" s="4991"/>
    </row>
    <row r="131" spans="1:23" ht="17.25" customHeight="1"/>
  </sheetData>
  <mergeCells count="89">
    <mergeCell ref="G125:V129"/>
    <mergeCell ref="B129:C129"/>
    <mergeCell ref="A130:F130"/>
    <mergeCell ref="J130:O130"/>
    <mergeCell ref="U130:W130"/>
    <mergeCell ref="M123:R123"/>
    <mergeCell ref="U123:W123"/>
    <mergeCell ref="A97:A101"/>
    <mergeCell ref="B97:B101"/>
    <mergeCell ref="A102:A106"/>
    <mergeCell ref="B102:B106"/>
    <mergeCell ref="A107:A111"/>
    <mergeCell ref="B107:B111"/>
    <mergeCell ref="A112:A116"/>
    <mergeCell ref="B112:B116"/>
    <mergeCell ref="A117:A121"/>
    <mergeCell ref="B117:B121"/>
    <mergeCell ref="S122:W122"/>
    <mergeCell ref="A92:A96"/>
    <mergeCell ref="B92:B96"/>
    <mergeCell ref="A72:A76"/>
    <mergeCell ref="B72:B76"/>
    <mergeCell ref="W72:W76"/>
    <mergeCell ref="A77:A81"/>
    <mergeCell ref="B77:B81"/>
    <mergeCell ref="W77:W81"/>
    <mergeCell ref="A82:A86"/>
    <mergeCell ref="B82:B86"/>
    <mergeCell ref="W82:W86"/>
    <mergeCell ref="A87:A91"/>
    <mergeCell ref="B87:B9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R8:R9"/>
    <mergeCell ref="S8:S9"/>
    <mergeCell ref="T8:T9"/>
    <mergeCell ref="U8:U9"/>
    <mergeCell ref="V8:V9"/>
    <mergeCell ref="W7:W11"/>
    <mergeCell ref="F8:F9"/>
    <mergeCell ref="G8:H8"/>
    <mergeCell ref="I8:J8"/>
    <mergeCell ref="K8:M8"/>
    <mergeCell ref="N8:Q8"/>
    <mergeCell ref="A2:I2"/>
    <mergeCell ref="A3:G3"/>
    <mergeCell ref="A5:W5"/>
    <mergeCell ref="V6:W6"/>
    <mergeCell ref="P1:W1"/>
    <mergeCell ref="P2:W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selection activeCell="X7" sqref="A7:XFD11"/>
    </sheetView>
  </sheetViews>
  <sheetFormatPr defaultColWidth="9.25" defaultRowHeight="12.75"/>
  <cols>
    <col min="1" max="1" width="3" style="1879" customWidth="1"/>
    <col min="2" max="2" width="11" style="1879" customWidth="1"/>
    <col min="3" max="5" width="4.375" style="1879" customWidth="1"/>
    <col min="6" max="11" width="5" style="1879" customWidth="1"/>
    <col min="12" max="16" width="5.125" style="1879" customWidth="1"/>
    <col min="17" max="17" width="6.125" style="1879" customWidth="1"/>
    <col min="18" max="19" width="4.375" style="1879" customWidth="1"/>
    <col min="20" max="20" width="4.375" style="1879" bestFit="1" customWidth="1"/>
    <col min="21" max="23" width="8" style="1879" customWidth="1"/>
    <col min="24" max="16384" width="9.25" style="1879"/>
  </cols>
  <sheetData>
    <row r="1" spans="1:25" s="1878" customFormat="1" ht="15.75">
      <c r="A1" s="5017" t="s">
        <v>574</v>
      </c>
      <c r="B1" s="5017"/>
      <c r="C1" s="5017"/>
      <c r="D1" s="5017"/>
      <c r="E1" s="5017"/>
      <c r="F1" s="5017"/>
      <c r="G1" s="5017"/>
      <c r="H1" s="5017"/>
      <c r="I1" s="5017"/>
      <c r="J1" s="5017"/>
      <c r="O1" s="4963" t="s">
        <v>165</v>
      </c>
      <c r="P1" s="4963"/>
      <c r="Q1" s="4963"/>
      <c r="R1" s="4963"/>
      <c r="S1" s="4963"/>
      <c r="T1" s="4963"/>
      <c r="U1" s="4963"/>
      <c r="V1" s="4963"/>
      <c r="W1" s="4963"/>
    </row>
    <row r="2" spans="1:25" ht="15.75">
      <c r="A2" s="4963" t="s">
        <v>541</v>
      </c>
      <c r="B2" s="4963"/>
      <c r="C2" s="4963"/>
      <c r="D2" s="4963"/>
      <c r="E2" s="4963"/>
      <c r="F2" s="4963"/>
      <c r="G2" s="4963"/>
      <c r="H2" s="4963"/>
      <c r="I2" s="4963"/>
      <c r="J2" s="4963"/>
      <c r="O2" s="4963" t="s">
        <v>171</v>
      </c>
      <c r="P2" s="4963"/>
      <c r="Q2" s="4963"/>
      <c r="R2" s="4963"/>
      <c r="S2" s="4963"/>
      <c r="T2" s="4963"/>
      <c r="U2" s="4963"/>
      <c r="V2" s="4963"/>
      <c r="W2" s="4963"/>
    </row>
    <row r="3" spans="1:25" ht="15.75">
      <c r="A3" s="4963" t="s">
        <v>371</v>
      </c>
      <c r="B3" s="4963"/>
      <c r="C3" s="4963"/>
      <c r="D3" s="4963"/>
      <c r="E3" s="4963"/>
      <c r="F3" s="4963"/>
      <c r="G3" s="4963"/>
      <c r="H3" s="4963"/>
      <c r="I3" s="4963"/>
      <c r="J3" s="4963"/>
    </row>
    <row r="4" spans="1:25" ht="9" customHeight="1">
      <c r="A4" s="1880"/>
      <c r="B4" s="1880"/>
      <c r="C4" s="1880"/>
      <c r="D4" s="1880"/>
      <c r="E4" s="1880"/>
    </row>
    <row r="5" spans="1:25" ht="18.75">
      <c r="A5" s="4964" t="s">
        <v>1113</v>
      </c>
      <c r="B5" s="4964"/>
      <c r="C5" s="4964"/>
      <c r="D5" s="4964"/>
      <c r="E5" s="4964"/>
      <c r="F5" s="4964"/>
      <c r="G5" s="4964"/>
      <c r="H5" s="4964"/>
      <c r="I5" s="4964"/>
      <c r="J5" s="4964"/>
      <c r="K5" s="4964"/>
      <c r="L5" s="4964"/>
      <c r="M5" s="4964"/>
      <c r="N5" s="4964"/>
      <c r="O5" s="4964"/>
      <c r="P5" s="4964"/>
      <c r="Q5" s="4964"/>
      <c r="R5" s="4964"/>
      <c r="S5" s="4964"/>
      <c r="T5" s="4964"/>
      <c r="U5" s="4964"/>
      <c r="V5" s="4964"/>
      <c r="W5" s="4964"/>
    </row>
    <row r="6" spans="1:25" ht="15" customHeight="1">
      <c r="U6" s="1899"/>
      <c r="V6" s="4965"/>
      <c r="W6" s="4965"/>
    </row>
    <row r="7" spans="1:25" ht="17.25" customHeight="1">
      <c r="A7" s="5000" t="s">
        <v>19</v>
      </c>
      <c r="B7" s="4984" t="s">
        <v>1107</v>
      </c>
      <c r="C7" s="4984" t="s">
        <v>116</v>
      </c>
      <c r="D7" s="4984"/>
      <c r="E7" s="4984"/>
      <c r="F7" s="4989" t="s">
        <v>117</v>
      </c>
      <c r="G7" s="4989"/>
      <c r="H7" s="4989"/>
      <c r="I7" s="4989"/>
      <c r="J7" s="4989"/>
      <c r="K7" s="4989"/>
      <c r="L7" s="4989"/>
      <c r="M7" s="4989"/>
      <c r="N7" s="4989"/>
      <c r="O7" s="4989"/>
      <c r="P7" s="4989"/>
      <c r="Q7" s="4989"/>
      <c r="R7" s="4989"/>
      <c r="S7" s="4989"/>
      <c r="T7" s="4989"/>
      <c r="U7" s="4989"/>
      <c r="V7" s="4990"/>
      <c r="W7" s="4972" t="s">
        <v>118</v>
      </c>
      <c r="Y7" s="1881"/>
    </row>
    <row r="8" spans="1:25" ht="16.5">
      <c r="A8" s="5001"/>
      <c r="B8" s="4986"/>
      <c r="C8" s="4986"/>
      <c r="D8" s="4986"/>
      <c r="E8" s="4986"/>
      <c r="F8" s="4975" t="s">
        <v>119</v>
      </c>
      <c r="G8" s="4976" t="s">
        <v>120</v>
      </c>
      <c r="H8" s="4976"/>
      <c r="I8" s="4976" t="s">
        <v>121</v>
      </c>
      <c r="J8" s="4976"/>
      <c r="K8" s="4976" t="s">
        <v>122</v>
      </c>
      <c r="L8" s="4976"/>
      <c r="M8" s="4976"/>
      <c r="N8" s="4976" t="s">
        <v>123</v>
      </c>
      <c r="O8" s="4976"/>
      <c r="P8" s="4976"/>
      <c r="Q8" s="4976"/>
      <c r="R8" s="4975" t="s">
        <v>124</v>
      </c>
      <c r="S8" s="4975" t="s">
        <v>125</v>
      </c>
      <c r="T8" s="4975" t="s">
        <v>126</v>
      </c>
      <c r="U8" s="4975" t="s">
        <v>127</v>
      </c>
      <c r="V8" s="4977" t="s">
        <v>128</v>
      </c>
      <c r="W8" s="4973"/>
      <c r="Y8" s="1882"/>
    </row>
    <row r="9" spans="1:25" ht="54.75" customHeight="1">
      <c r="A9" s="5001"/>
      <c r="B9" s="4986"/>
      <c r="C9" s="4986"/>
      <c r="D9" s="4986"/>
      <c r="E9" s="4986"/>
      <c r="F9" s="4975"/>
      <c r="G9" s="1883" t="s">
        <v>129</v>
      </c>
      <c r="H9" s="1883" t="s">
        <v>130</v>
      </c>
      <c r="I9" s="1884" t="s">
        <v>129</v>
      </c>
      <c r="J9" s="1883" t="s">
        <v>130</v>
      </c>
      <c r="K9" s="1883" t="s">
        <v>131</v>
      </c>
      <c r="L9" s="1883" t="s">
        <v>132</v>
      </c>
      <c r="M9" s="1883" t="s">
        <v>133</v>
      </c>
      <c r="N9" s="1883" t="s">
        <v>134</v>
      </c>
      <c r="O9" s="1884" t="s">
        <v>135</v>
      </c>
      <c r="P9" s="1883" t="s">
        <v>136</v>
      </c>
      <c r="Q9" s="1883" t="s">
        <v>137</v>
      </c>
      <c r="R9" s="4975"/>
      <c r="S9" s="4975"/>
      <c r="T9" s="4975"/>
      <c r="U9" s="4975"/>
      <c r="V9" s="4977"/>
      <c r="W9" s="4973"/>
      <c r="Y9" s="1885"/>
    </row>
    <row r="10" spans="1:25" ht="23.25" customHeight="1">
      <c r="A10" s="5002"/>
      <c r="B10" s="4988"/>
      <c r="C10" s="4988"/>
      <c r="D10" s="4988"/>
      <c r="E10" s="4988"/>
      <c r="F10" s="1907" t="s">
        <v>138</v>
      </c>
      <c r="G10" s="1908" t="s">
        <v>139</v>
      </c>
      <c r="H10" s="1908" t="s">
        <v>139</v>
      </c>
      <c r="I10" s="1908" t="s">
        <v>140</v>
      </c>
      <c r="J10" s="1908" t="s">
        <v>140</v>
      </c>
      <c r="K10" s="1908" t="s">
        <v>141</v>
      </c>
      <c r="L10" s="1907"/>
      <c r="M10" s="1907" t="s">
        <v>142</v>
      </c>
      <c r="N10" s="1909"/>
      <c r="O10" s="1910"/>
      <c r="P10" s="1911" t="s">
        <v>143</v>
      </c>
      <c r="Q10" s="1911"/>
      <c r="R10" s="1912" t="s">
        <v>144</v>
      </c>
      <c r="S10" s="1909"/>
      <c r="T10" s="1913" t="s">
        <v>145</v>
      </c>
      <c r="U10" s="1911"/>
      <c r="V10" s="1914"/>
      <c r="W10" s="4973"/>
    </row>
    <row r="11" spans="1:25" ht="18" customHeight="1">
      <c r="A11" s="4998" t="s">
        <v>146</v>
      </c>
      <c r="B11" s="4999"/>
      <c r="C11" s="1905" t="s">
        <v>147</v>
      </c>
      <c r="D11" s="1905" t="s">
        <v>148</v>
      </c>
      <c r="E11" s="1905" t="s">
        <v>149</v>
      </c>
      <c r="F11" s="1906">
        <v>0</v>
      </c>
      <c r="G11" s="1906">
        <v>3</v>
      </c>
      <c r="H11" s="1906">
        <v>1</v>
      </c>
      <c r="I11" s="1906">
        <v>5</v>
      </c>
      <c r="J11" s="1906">
        <v>3</v>
      </c>
      <c r="K11" s="1906">
        <v>1</v>
      </c>
      <c r="L11" s="1906">
        <v>1</v>
      </c>
      <c r="M11" s="1906">
        <v>3</v>
      </c>
      <c r="N11" s="1906">
        <v>1</v>
      </c>
      <c r="O11" s="1906">
        <v>1</v>
      </c>
      <c r="P11" s="1906">
        <v>1</v>
      </c>
      <c r="Q11" s="1906">
        <v>1</v>
      </c>
      <c r="R11" s="1906">
        <v>3</v>
      </c>
      <c r="S11" s="1906">
        <v>5</v>
      </c>
      <c r="T11" s="1906">
        <v>2</v>
      </c>
      <c r="U11" s="1906">
        <v>2</v>
      </c>
      <c r="V11" s="1915">
        <v>2</v>
      </c>
      <c r="W11" s="4997"/>
    </row>
    <row r="12" spans="1:25" ht="17.25" customHeight="1">
      <c r="A12" s="5010">
        <v>1</v>
      </c>
      <c r="B12" s="5015" t="s">
        <v>747</v>
      </c>
      <c r="C12" s="1903"/>
      <c r="D12" s="1903"/>
      <c r="E12" s="1903"/>
      <c r="F12" s="1904"/>
      <c r="G12" s="1904"/>
      <c r="H12" s="1904"/>
      <c r="I12" s="1904"/>
      <c r="J12" s="1904"/>
      <c r="K12" s="1904"/>
      <c r="L12" s="1904"/>
      <c r="M12" s="1904"/>
      <c r="N12" s="1904"/>
      <c r="O12" s="1904"/>
      <c r="P12" s="1904"/>
      <c r="Q12" s="1904"/>
      <c r="R12" s="1904"/>
      <c r="S12" s="1904"/>
      <c r="T12" s="1904"/>
      <c r="U12" s="1904"/>
      <c r="V12" s="1916"/>
      <c r="W12" s="4969"/>
    </row>
    <row r="13" spans="1:25" ht="17.25" customHeight="1">
      <c r="A13" s="5011"/>
      <c r="B13" s="5009"/>
      <c r="C13" s="1886"/>
      <c r="D13" s="1886"/>
      <c r="E13" s="1886"/>
      <c r="F13" s="1887"/>
      <c r="G13" s="1887"/>
      <c r="H13" s="1887"/>
      <c r="I13" s="1887"/>
      <c r="J13" s="1887"/>
      <c r="K13" s="1887"/>
      <c r="L13" s="1887"/>
      <c r="M13" s="1887"/>
      <c r="N13" s="1887"/>
      <c r="O13" s="1887"/>
      <c r="P13" s="1887"/>
      <c r="Q13" s="1887"/>
      <c r="R13" s="1887"/>
      <c r="S13" s="1887"/>
      <c r="T13" s="1887"/>
      <c r="U13" s="1887"/>
      <c r="V13" s="1917"/>
      <c r="W13" s="4970"/>
    </row>
    <row r="14" spans="1:25" ht="17.25" customHeight="1">
      <c r="A14" s="5011"/>
      <c r="B14" s="5009"/>
      <c r="C14" s="1886"/>
      <c r="D14" s="1886"/>
      <c r="E14" s="1886"/>
      <c r="F14" s="1887"/>
      <c r="G14" s="1887"/>
      <c r="H14" s="1887"/>
      <c r="I14" s="1887"/>
      <c r="J14" s="1887"/>
      <c r="K14" s="1887"/>
      <c r="L14" s="1887"/>
      <c r="M14" s="1887"/>
      <c r="N14" s="1887"/>
      <c r="O14" s="1887"/>
      <c r="P14" s="1887"/>
      <c r="Q14" s="1887"/>
      <c r="R14" s="1887"/>
      <c r="S14" s="1887"/>
      <c r="T14" s="1887"/>
      <c r="U14" s="1887"/>
      <c r="V14" s="1917"/>
      <c r="W14" s="4970"/>
    </row>
    <row r="15" spans="1:25" ht="17.25" customHeight="1">
      <c r="A15" s="5011"/>
      <c r="B15" s="5009"/>
      <c r="C15" s="1886"/>
      <c r="D15" s="1886"/>
      <c r="E15" s="1886"/>
      <c r="F15" s="1887"/>
      <c r="G15" s="1887"/>
      <c r="H15" s="1887"/>
      <c r="I15" s="1887"/>
      <c r="J15" s="1887"/>
      <c r="K15" s="1887"/>
      <c r="L15" s="1887"/>
      <c r="M15" s="1887"/>
      <c r="N15" s="1887"/>
      <c r="O15" s="1887"/>
      <c r="P15" s="1887"/>
      <c r="Q15" s="1887"/>
      <c r="R15" s="1887"/>
      <c r="S15" s="1887"/>
      <c r="T15" s="1887"/>
      <c r="U15" s="1887"/>
      <c r="V15" s="1917"/>
      <c r="W15" s="4970"/>
    </row>
    <row r="16" spans="1:25" ht="17.25" customHeight="1">
      <c r="A16" s="5012"/>
      <c r="B16" s="5016"/>
      <c r="C16" s="1901"/>
      <c r="D16" s="1901"/>
      <c r="E16" s="1901"/>
      <c r="F16" s="1902"/>
      <c r="G16" s="1902"/>
      <c r="H16" s="1902"/>
      <c r="I16" s="1902"/>
      <c r="J16" s="1902"/>
      <c r="K16" s="1902"/>
      <c r="L16" s="1902"/>
      <c r="M16" s="1902"/>
      <c r="N16" s="1902"/>
      <c r="O16" s="1902"/>
      <c r="P16" s="1902"/>
      <c r="Q16" s="1902"/>
      <c r="R16" s="1902"/>
      <c r="S16" s="1902"/>
      <c r="T16" s="1902"/>
      <c r="U16" s="1902"/>
      <c r="V16" s="1918"/>
      <c r="W16" s="4971"/>
    </row>
    <row r="17" spans="1:23" ht="17.25" customHeight="1">
      <c r="A17" s="5010">
        <v>2</v>
      </c>
      <c r="B17" s="5013" t="s">
        <v>966</v>
      </c>
      <c r="C17" s="1903"/>
      <c r="D17" s="1903"/>
      <c r="E17" s="1903"/>
      <c r="F17" s="1904"/>
      <c r="G17" s="1904"/>
      <c r="H17" s="1904"/>
      <c r="I17" s="1904"/>
      <c r="J17" s="1904"/>
      <c r="K17" s="1904"/>
      <c r="L17" s="1904"/>
      <c r="M17" s="1904"/>
      <c r="N17" s="1904"/>
      <c r="O17" s="1904"/>
      <c r="P17" s="1904"/>
      <c r="Q17" s="1904"/>
      <c r="R17" s="1904"/>
      <c r="S17" s="1904"/>
      <c r="T17" s="1904"/>
      <c r="U17" s="1904"/>
      <c r="V17" s="1916"/>
      <c r="W17" s="4969"/>
    </row>
    <row r="18" spans="1:23" ht="17.25" customHeight="1">
      <c r="A18" s="5011"/>
      <c r="B18" s="4992"/>
      <c r="C18" s="1886"/>
      <c r="D18" s="1886"/>
      <c r="E18" s="1886"/>
      <c r="F18" s="1887"/>
      <c r="G18" s="1887"/>
      <c r="H18" s="1887"/>
      <c r="I18" s="1887"/>
      <c r="J18" s="1887"/>
      <c r="K18" s="1887"/>
      <c r="L18" s="1887"/>
      <c r="M18" s="1887"/>
      <c r="N18" s="1887"/>
      <c r="O18" s="1887"/>
      <c r="P18" s="1887"/>
      <c r="Q18" s="1887"/>
      <c r="R18" s="1887"/>
      <c r="S18" s="1887"/>
      <c r="T18" s="1887"/>
      <c r="U18" s="1887"/>
      <c r="V18" s="1917"/>
      <c r="W18" s="4970"/>
    </row>
    <row r="19" spans="1:23" ht="17.25" customHeight="1">
      <c r="A19" s="5011"/>
      <c r="B19" s="4992"/>
      <c r="C19" s="1886"/>
      <c r="D19" s="1886"/>
      <c r="E19" s="1886"/>
      <c r="F19" s="1887"/>
      <c r="G19" s="1887"/>
      <c r="H19" s="1887"/>
      <c r="I19" s="1887"/>
      <c r="J19" s="1887"/>
      <c r="K19" s="1887"/>
      <c r="L19" s="1887"/>
      <c r="M19" s="1887"/>
      <c r="N19" s="1887"/>
      <c r="O19" s="1887"/>
      <c r="P19" s="1887"/>
      <c r="Q19" s="1887"/>
      <c r="R19" s="1887"/>
      <c r="S19" s="1887"/>
      <c r="T19" s="1887"/>
      <c r="U19" s="1887"/>
      <c r="V19" s="1917"/>
      <c r="W19" s="4970"/>
    </row>
    <row r="20" spans="1:23" ht="17.25" customHeight="1">
      <c r="A20" s="5011"/>
      <c r="B20" s="4992"/>
      <c r="C20" s="1886"/>
      <c r="D20" s="1886"/>
      <c r="E20" s="1886"/>
      <c r="F20" s="1887"/>
      <c r="G20" s="1887"/>
      <c r="H20" s="1887"/>
      <c r="I20" s="1887"/>
      <c r="J20" s="1887"/>
      <c r="K20" s="1887"/>
      <c r="L20" s="1887"/>
      <c r="M20" s="1887"/>
      <c r="N20" s="1887"/>
      <c r="O20" s="1887"/>
      <c r="P20" s="1887"/>
      <c r="Q20" s="1887"/>
      <c r="R20" s="1887"/>
      <c r="S20" s="1887"/>
      <c r="T20" s="1887"/>
      <c r="U20" s="1887"/>
      <c r="V20" s="1917"/>
      <c r="W20" s="4970"/>
    </row>
    <row r="21" spans="1:23" ht="17.25" customHeight="1">
      <c r="A21" s="5012"/>
      <c r="B21" s="5014"/>
      <c r="C21" s="1901"/>
      <c r="D21" s="1901"/>
      <c r="E21" s="1901"/>
      <c r="F21" s="1902"/>
      <c r="G21" s="1902"/>
      <c r="H21" s="1902"/>
      <c r="I21" s="1902"/>
      <c r="J21" s="1902"/>
      <c r="K21" s="1902"/>
      <c r="L21" s="1902"/>
      <c r="M21" s="1902"/>
      <c r="N21" s="1902"/>
      <c r="O21" s="1902"/>
      <c r="P21" s="1902"/>
      <c r="Q21" s="1902"/>
      <c r="R21" s="1902"/>
      <c r="S21" s="1902"/>
      <c r="T21" s="1902"/>
      <c r="U21" s="1902"/>
      <c r="V21" s="1918"/>
      <c r="W21" s="4971"/>
    </row>
    <row r="22" spans="1:23" ht="22.5" customHeight="1">
      <c r="A22" s="5010">
        <v>3</v>
      </c>
      <c r="B22" s="5013" t="s">
        <v>975</v>
      </c>
      <c r="C22" s="1903"/>
      <c r="D22" s="1903"/>
      <c r="E22" s="1903"/>
      <c r="F22" s="1904"/>
      <c r="G22" s="1904"/>
      <c r="H22" s="1904"/>
      <c r="I22" s="1904"/>
      <c r="J22" s="1904"/>
      <c r="K22" s="1904"/>
      <c r="L22" s="1904"/>
      <c r="M22" s="1904"/>
      <c r="N22" s="1904"/>
      <c r="O22" s="1904"/>
      <c r="P22" s="1904"/>
      <c r="Q22" s="1904"/>
      <c r="R22" s="1904"/>
      <c r="S22" s="1904"/>
      <c r="T22" s="1904"/>
      <c r="U22" s="1904"/>
      <c r="V22" s="1916"/>
      <c r="W22" s="4969"/>
    </row>
    <row r="23" spans="1:23" ht="22.5" customHeight="1">
      <c r="A23" s="5011"/>
      <c r="B23" s="4992"/>
      <c r="C23" s="1886"/>
      <c r="D23" s="1886"/>
      <c r="E23" s="1886"/>
      <c r="F23" s="1887"/>
      <c r="G23" s="1887"/>
      <c r="H23" s="1887"/>
      <c r="I23" s="1887"/>
      <c r="J23" s="1887"/>
      <c r="K23" s="1887"/>
      <c r="L23" s="1887"/>
      <c r="M23" s="1887"/>
      <c r="N23" s="1887"/>
      <c r="O23" s="1887"/>
      <c r="P23" s="1887"/>
      <c r="Q23" s="1887"/>
      <c r="R23" s="1887"/>
      <c r="S23" s="1887"/>
      <c r="T23" s="1887"/>
      <c r="U23" s="1887"/>
      <c r="V23" s="1917"/>
      <c r="W23" s="4970"/>
    </row>
    <row r="24" spans="1:23" ht="22.5" customHeight="1">
      <c r="A24" s="5011"/>
      <c r="B24" s="4992"/>
      <c r="C24" s="1886"/>
      <c r="D24" s="1886"/>
      <c r="E24" s="1886"/>
      <c r="F24" s="1887"/>
      <c r="G24" s="1887"/>
      <c r="H24" s="1887"/>
      <c r="I24" s="1887"/>
      <c r="J24" s="1887"/>
      <c r="K24" s="1887"/>
      <c r="L24" s="1887"/>
      <c r="M24" s="1887"/>
      <c r="N24" s="1887"/>
      <c r="O24" s="1887"/>
      <c r="P24" s="1887"/>
      <c r="Q24" s="1887"/>
      <c r="R24" s="1887"/>
      <c r="S24" s="1887"/>
      <c r="T24" s="1887"/>
      <c r="U24" s="1887"/>
      <c r="V24" s="1917"/>
      <c r="W24" s="4970"/>
    </row>
    <row r="25" spans="1:23" ht="22.5" customHeight="1">
      <c r="A25" s="5011"/>
      <c r="B25" s="4992"/>
      <c r="C25" s="1886"/>
      <c r="D25" s="1886"/>
      <c r="E25" s="1886"/>
      <c r="F25" s="1887"/>
      <c r="G25" s="1887"/>
      <c r="H25" s="1887"/>
      <c r="I25" s="1887"/>
      <c r="J25" s="1887"/>
      <c r="K25" s="1887"/>
      <c r="L25" s="1887"/>
      <c r="M25" s="1887"/>
      <c r="N25" s="1887"/>
      <c r="O25" s="1887"/>
      <c r="P25" s="1887"/>
      <c r="Q25" s="1887"/>
      <c r="R25" s="1887"/>
      <c r="S25" s="1887"/>
      <c r="T25" s="1887"/>
      <c r="U25" s="1887"/>
      <c r="V25" s="1917"/>
      <c r="W25" s="4970"/>
    </row>
    <row r="26" spans="1:23" ht="22.5" customHeight="1">
      <c r="A26" s="5012"/>
      <c r="B26" s="5014"/>
      <c r="C26" s="1901"/>
      <c r="D26" s="1901"/>
      <c r="E26" s="1901"/>
      <c r="F26" s="1902"/>
      <c r="G26" s="1902"/>
      <c r="H26" s="1902"/>
      <c r="I26" s="1902"/>
      <c r="J26" s="1902"/>
      <c r="K26" s="1902"/>
      <c r="L26" s="1902"/>
      <c r="M26" s="1902"/>
      <c r="N26" s="1902"/>
      <c r="O26" s="1902"/>
      <c r="P26" s="1902"/>
      <c r="Q26" s="1902"/>
      <c r="R26" s="1902"/>
      <c r="S26" s="1902"/>
      <c r="T26" s="1902"/>
      <c r="U26" s="1902"/>
      <c r="V26" s="1918"/>
      <c r="W26" s="4971"/>
    </row>
    <row r="27" spans="1:23" ht="17.25" customHeight="1">
      <c r="A27" s="5010">
        <v>4</v>
      </c>
      <c r="B27" s="5013" t="s">
        <v>753</v>
      </c>
      <c r="C27" s="1903"/>
      <c r="D27" s="1903"/>
      <c r="E27" s="1903"/>
      <c r="F27" s="1904"/>
      <c r="G27" s="1904"/>
      <c r="H27" s="1904"/>
      <c r="I27" s="1904"/>
      <c r="J27" s="1904"/>
      <c r="K27" s="1904"/>
      <c r="L27" s="1904"/>
      <c r="M27" s="1904"/>
      <c r="N27" s="1904"/>
      <c r="O27" s="1904"/>
      <c r="P27" s="1904"/>
      <c r="Q27" s="1904"/>
      <c r="R27" s="1904"/>
      <c r="S27" s="1904"/>
      <c r="T27" s="1904"/>
      <c r="U27" s="1904"/>
      <c r="V27" s="1916"/>
      <c r="W27" s="4969"/>
    </row>
    <row r="28" spans="1:23" ht="17.25" customHeight="1">
      <c r="A28" s="5011"/>
      <c r="B28" s="4992"/>
      <c r="C28" s="1886"/>
      <c r="D28" s="1886"/>
      <c r="E28" s="1886"/>
      <c r="F28" s="1887"/>
      <c r="G28" s="1887"/>
      <c r="H28" s="1887"/>
      <c r="I28" s="1887"/>
      <c r="J28" s="1887"/>
      <c r="K28" s="1887"/>
      <c r="L28" s="1887"/>
      <c r="M28" s="1887"/>
      <c r="N28" s="1887"/>
      <c r="O28" s="1887"/>
      <c r="P28" s="1887"/>
      <c r="Q28" s="1887"/>
      <c r="R28" s="1887"/>
      <c r="S28" s="1887"/>
      <c r="T28" s="1887"/>
      <c r="U28" s="1887"/>
      <c r="V28" s="1917"/>
      <c r="W28" s="4970"/>
    </row>
    <row r="29" spans="1:23" ht="17.25" customHeight="1">
      <c r="A29" s="5011"/>
      <c r="B29" s="4992"/>
      <c r="C29" s="1886"/>
      <c r="D29" s="1886"/>
      <c r="E29" s="1886"/>
      <c r="F29" s="1887"/>
      <c r="G29" s="1887"/>
      <c r="H29" s="1887"/>
      <c r="I29" s="1887"/>
      <c r="J29" s="1887"/>
      <c r="K29" s="1887"/>
      <c r="L29" s="1887"/>
      <c r="M29" s="1887"/>
      <c r="N29" s="1887"/>
      <c r="O29" s="1887"/>
      <c r="P29" s="1887"/>
      <c r="Q29" s="1887"/>
      <c r="R29" s="1887"/>
      <c r="S29" s="1887"/>
      <c r="T29" s="1887"/>
      <c r="U29" s="1887"/>
      <c r="V29" s="1917"/>
      <c r="W29" s="4970"/>
    </row>
    <row r="30" spans="1:23" ht="17.25" customHeight="1">
      <c r="A30" s="5011"/>
      <c r="B30" s="4992"/>
      <c r="C30" s="1886"/>
      <c r="D30" s="1886"/>
      <c r="E30" s="1886"/>
      <c r="F30" s="1887"/>
      <c r="G30" s="1887"/>
      <c r="H30" s="1887"/>
      <c r="I30" s="1887"/>
      <c r="J30" s="1887"/>
      <c r="K30" s="1887"/>
      <c r="L30" s="1887"/>
      <c r="M30" s="1887"/>
      <c r="N30" s="1887"/>
      <c r="O30" s="1887"/>
      <c r="P30" s="1887"/>
      <c r="Q30" s="1887"/>
      <c r="R30" s="1887"/>
      <c r="S30" s="1887"/>
      <c r="T30" s="1887"/>
      <c r="U30" s="1887"/>
      <c r="V30" s="1917"/>
      <c r="W30" s="4970"/>
    </row>
    <row r="31" spans="1:23" ht="17.25" customHeight="1">
      <c r="A31" s="5012"/>
      <c r="B31" s="5014"/>
      <c r="C31" s="1901"/>
      <c r="D31" s="1901"/>
      <c r="E31" s="1901"/>
      <c r="F31" s="1902"/>
      <c r="G31" s="1902"/>
      <c r="H31" s="1902"/>
      <c r="I31" s="1902"/>
      <c r="J31" s="1902"/>
      <c r="K31" s="1902"/>
      <c r="L31" s="1902"/>
      <c r="M31" s="1902"/>
      <c r="N31" s="1902"/>
      <c r="O31" s="1902"/>
      <c r="P31" s="1902"/>
      <c r="Q31" s="1902"/>
      <c r="R31" s="1902"/>
      <c r="S31" s="1902"/>
      <c r="T31" s="1902"/>
      <c r="U31" s="1902"/>
      <c r="V31" s="1918"/>
      <c r="W31" s="4971"/>
    </row>
    <row r="32" spans="1:23" ht="17.25" customHeight="1">
      <c r="A32" s="5010">
        <v>5</v>
      </c>
      <c r="B32" s="5013" t="s">
        <v>974</v>
      </c>
      <c r="C32" s="1903"/>
      <c r="D32" s="1903"/>
      <c r="E32" s="1903"/>
      <c r="F32" s="1904"/>
      <c r="G32" s="1904"/>
      <c r="H32" s="1904"/>
      <c r="I32" s="1904"/>
      <c r="J32" s="1904"/>
      <c r="K32" s="1904"/>
      <c r="L32" s="1904"/>
      <c r="M32" s="1904"/>
      <c r="N32" s="1904"/>
      <c r="O32" s="1904"/>
      <c r="P32" s="1904"/>
      <c r="Q32" s="1904"/>
      <c r="R32" s="1904"/>
      <c r="S32" s="1904"/>
      <c r="T32" s="1904"/>
      <c r="U32" s="1904"/>
      <c r="V32" s="1916"/>
      <c r="W32" s="4969"/>
    </row>
    <row r="33" spans="1:23" ht="17.25" customHeight="1">
      <c r="A33" s="5011"/>
      <c r="B33" s="4992"/>
      <c r="C33" s="1886"/>
      <c r="D33" s="1886"/>
      <c r="E33" s="1886"/>
      <c r="F33" s="1887"/>
      <c r="G33" s="1887"/>
      <c r="H33" s="1887"/>
      <c r="I33" s="1887"/>
      <c r="J33" s="1887"/>
      <c r="K33" s="1887"/>
      <c r="L33" s="1887"/>
      <c r="M33" s="1887"/>
      <c r="N33" s="1887"/>
      <c r="O33" s="1887"/>
      <c r="P33" s="1887"/>
      <c r="Q33" s="1887"/>
      <c r="R33" s="1887"/>
      <c r="S33" s="1887"/>
      <c r="T33" s="1887"/>
      <c r="U33" s="1887"/>
      <c r="V33" s="1917"/>
      <c r="W33" s="4970"/>
    </row>
    <row r="34" spans="1:23" ht="17.25" customHeight="1">
      <c r="A34" s="5011"/>
      <c r="B34" s="4992"/>
      <c r="C34" s="1886"/>
      <c r="D34" s="1886"/>
      <c r="E34" s="1886"/>
      <c r="F34" s="1887"/>
      <c r="G34" s="1887"/>
      <c r="H34" s="1887"/>
      <c r="I34" s="1887"/>
      <c r="J34" s="1887"/>
      <c r="K34" s="1887"/>
      <c r="L34" s="1887"/>
      <c r="M34" s="1887"/>
      <c r="N34" s="1887"/>
      <c r="O34" s="1887"/>
      <c r="P34" s="1887"/>
      <c r="Q34" s="1887"/>
      <c r="R34" s="1887"/>
      <c r="S34" s="1887"/>
      <c r="T34" s="1887"/>
      <c r="U34" s="1887"/>
      <c r="V34" s="1917"/>
      <c r="W34" s="4970"/>
    </row>
    <row r="35" spans="1:23" ht="17.25" customHeight="1">
      <c r="A35" s="5011"/>
      <c r="B35" s="4992"/>
      <c r="C35" s="1886"/>
      <c r="D35" s="1886"/>
      <c r="E35" s="1886"/>
      <c r="F35" s="1887"/>
      <c r="G35" s="1887"/>
      <c r="H35" s="1887"/>
      <c r="I35" s="1887"/>
      <c r="J35" s="1887"/>
      <c r="K35" s="1887"/>
      <c r="L35" s="1887"/>
      <c r="M35" s="1887"/>
      <c r="N35" s="1887"/>
      <c r="O35" s="1887"/>
      <c r="P35" s="1887"/>
      <c r="Q35" s="1887"/>
      <c r="R35" s="1887"/>
      <c r="S35" s="1887"/>
      <c r="T35" s="1887"/>
      <c r="U35" s="1887"/>
      <c r="V35" s="1917"/>
      <c r="W35" s="4970"/>
    </row>
    <row r="36" spans="1:23" ht="17.25" customHeight="1">
      <c r="A36" s="5012"/>
      <c r="B36" s="5014"/>
      <c r="C36" s="1901"/>
      <c r="D36" s="1901"/>
      <c r="E36" s="1901"/>
      <c r="F36" s="1902"/>
      <c r="G36" s="1902"/>
      <c r="H36" s="1902"/>
      <c r="I36" s="1902"/>
      <c r="J36" s="1902"/>
      <c r="K36" s="1902"/>
      <c r="L36" s="1902"/>
      <c r="M36" s="1902"/>
      <c r="N36" s="1902"/>
      <c r="O36" s="1902"/>
      <c r="P36" s="1902"/>
      <c r="Q36" s="1902"/>
      <c r="R36" s="1902"/>
      <c r="S36" s="1902"/>
      <c r="T36" s="1902"/>
      <c r="U36" s="1902"/>
      <c r="V36" s="1918"/>
      <c r="W36" s="4971"/>
    </row>
    <row r="37" spans="1:23" ht="39" customHeight="1">
      <c r="A37" s="5010">
        <v>6</v>
      </c>
      <c r="B37" s="5013" t="s">
        <v>926</v>
      </c>
      <c r="C37" s="1903"/>
      <c r="D37" s="1903"/>
      <c r="E37" s="1903"/>
      <c r="F37" s="1904"/>
      <c r="G37" s="1904"/>
      <c r="H37" s="1904"/>
      <c r="I37" s="1904"/>
      <c r="J37" s="1904"/>
      <c r="K37" s="1904"/>
      <c r="L37" s="1904"/>
      <c r="M37" s="1904"/>
      <c r="N37" s="1904"/>
      <c r="O37" s="1904"/>
      <c r="P37" s="1904"/>
      <c r="Q37" s="1904"/>
      <c r="R37" s="1904"/>
      <c r="S37" s="1904"/>
      <c r="T37" s="1904"/>
      <c r="U37" s="1904"/>
      <c r="V37" s="1916"/>
      <c r="W37" s="4969"/>
    </row>
    <row r="38" spans="1:23" ht="39" customHeight="1">
      <c r="A38" s="5011"/>
      <c r="B38" s="4992"/>
      <c r="C38" s="1886"/>
      <c r="D38" s="1886"/>
      <c r="E38" s="1886"/>
      <c r="F38" s="1887"/>
      <c r="G38" s="1887"/>
      <c r="H38" s="1887"/>
      <c r="I38" s="1887"/>
      <c r="J38" s="1887"/>
      <c r="K38" s="1887"/>
      <c r="L38" s="1887"/>
      <c r="M38" s="1887"/>
      <c r="N38" s="1887"/>
      <c r="O38" s="1887"/>
      <c r="P38" s="1887"/>
      <c r="Q38" s="1887"/>
      <c r="R38" s="1887"/>
      <c r="S38" s="1887"/>
      <c r="T38" s="1887"/>
      <c r="U38" s="1887"/>
      <c r="V38" s="1917"/>
      <c r="W38" s="4970"/>
    </row>
    <row r="39" spans="1:23" ht="39" customHeight="1">
      <c r="A39" s="5011"/>
      <c r="B39" s="4992"/>
      <c r="C39" s="1886"/>
      <c r="D39" s="1886"/>
      <c r="E39" s="1886"/>
      <c r="F39" s="1887"/>
      <c r="G39" s="1887"/>
      <c r="H39" s="1887"/>
      <c r="I39" s="1887"/>
      <c r="J39" s="1887"/>
      <c r="K39" s="1887"/>
      <c r="L39" s="1887"/>
      <c r="M39" s="1887"/>
      <c r="N39" s="1887"/>
      <c r="O39" s="1887"/>
      <c r="P39" s="1887"/>
      <c r="Q39" s="1887"/>
      <c r="R39" s="1887"/>
      <c r="S39" s="1887"/>
      <c r="T39" s="1887"/>
      <c r="U39" s="1887"/>
      <c r="V39" s="1917"/>
      <c r="W39" s="4970"/>
    </row>
    <row r="40" spans="1:23" ht="39" customHeight="1">
      <c r="A40" s="5011"/>
      <c r="B40" s="4992"/>
      <c r="C40" s="1886"/>
      <c r="D40" s="1886"/>
      <c r="E40" s="1886"/>
      <c r="F40" s="1887"/>
      <c r="G40" s="1887"/>
      <c r="H40" s="1887"/>
      <c r="I40" s="1887"/>
      <c r="J40" s="1887"/>
      <c r="K40" s="1887"/>
      <c r="L40" s="1887"/>
      <c r="M40" s="1887"/>
      <c r="N40" s="1887"/>
      <c r="O40" s="1887"/>
      <c r="P40" s="1887"/>
      <c r="Q40" s="1887"/>
      <c r="R40" s="1887"/>
      <c r="S40" s="1887"/>
      <c r="T40" s="1887"/>
      <c r="U40" s="1887"/>
      <c r="V40" s="1917"/>
      <c r="W40" s="4970"/>
    </row>
    <row r="41" spans="1:23" ht="39" customHeight="1">
      <c r="A41" s="5012"/>
      <c r="B41" s="5014"/>
      <c r="C41" s="1901"/>
      <c r="D41" s="1901"/>
      <c r="E41" s="1901"/>
      <c r="F41" s="1902"/>
      <c r="G41" s="1902"/>
      <c r="H41" s="1902"/>
      <c r="I41" s="1902"/>
      <c r="J41" s="1902"/>
      <c r="K41" s="1902"/>
      <c r="L41" s="1902"/>
      <c r="M41" s="1902"/>
      <c r="N41" s="1902"/>
      <c r="O41" s="1902"/>
      <c r="P41" s="1902"/>
      <c r="Q41" s="1902"/>
      <c r="R41" s="1902"/>
      <c r="S41" s="1902"/>
      <c r="T41" s="1902"/>
      <c r="U41" s="1902"/>
      <c r="V41" s="1918"/>
      <c r="W41" s="4971"/>
    </row>
    <row r="42" spans="1:23" ht="27.75" customHeight="1">
      <c r="A42" s="5010">
        <v>7</v>
      </c>
      <c r="B42" s="5013" t="s">
        <v>989</v>
      </c>
      <c r="C42" s="1903"/>
      <c r="D42" s="1903"/>
      <c r="E42" s="1903"/>
      <c r="F42" s="1904"/>
      <c r="G42" s="1904"/>
      <c r="H42" s="1904"/>
      <c r="I42" s="1904"/>
      <c r="J42" s="1904"/>
      <c r="K42" s="1904"/>
      <c r="L42" s="1904"/>
      <c r="M42" s="1904"/>
      <c r="N42" s="1904"/>
      <c r="O42" s="1904"/>
      <c r="P42" s="1904"/>
      <c r="Q42" s="1904"/>
      <c r="R42" s="1904"/>
      <c r="S42" s="1904"/>
      <c r="T42" s="1904"/>
      <c r="U42" s="1904"/>
      <c r="V42" s="1916"/>
      <c r="W42" s="4969"/>
    </row>
    <row r="43" spans="1:23" ht="27.75" customHeight="1">
      <c r="A43" s="5011"/>
      <c r="B43" s="4992"/>
      <c r="C43" s="1886"/>
      <c r="D43" s="1886"/>
      <c r="E43" s="1886"/>
      <c r="F43" s="1887"/>
      <c r="G43" s="1887"/>
      <c r="H43" s="1887"/>
      <c r="I43" s="1887"/>
      <c r="J43" s="1887"/>
      <c r="K43" s="1887"/>
      <c r="L43" s="1887"/>
      <c r="M43" s="1887"/>
      <c r="N43" s="1887"/>
      <c r="O43" s="1887"/>
      <c r="P43" s="1887"/>
      <c r="Q43" s="1887"/>
      <c r="R43" s="1887"/>
      <c r="S43" s="1887"/>
      <c r="T43" s="1887"/>
      <c r="U43" s="1887"/>
      <c r="V43" s="1917"/>
      <c r="W43" s="4970"/>
    </row>
    <row r="44" spans="1:23" ht="27.75" customHeight="1">
      <c r="A44" s="5011"/>
      <c r="B44" s="4992"/>
      <c r="C44" s="1886"/>
      <c r="D44" s="1886"/>
      <c r="E44" s="1886"/>
      <c r="F44" s="1887"/>
      <c r="G44" s="1887"/>
      <c r="H44" s="1887"/>
      <c r="I44" s="1887"/>
      <c r="J44" s="1887"/>
      <c r="K44" s="1887"/>
      <c r="L44" s="1887"/>
      <c r="M44" s="1887"/>
      <c r="N44" s="1887"/>
      <c r="O44" s="1887"/>
      <c r="P44" s="1887"/>
      <c r="Q44" s="1887"/>
      <c r="R44" s="1887"/>
      <c r="S44" s="1887"/>
      <c r="T44" s="1887"/>
      <c r="U44" s="1887"/>
      <c r="V44" s="1917"/>
      <c r="W44" s="4970"/>
    </row>
    <row r="45" spans="1:23" ht="27.75" customHeight="1">
      <c r="A45" s="5011"/>
      <c r="B45" s="4992"/>
      <c r="C45" s="1886"/>
      <c r="D45" s="1886"/>
      <c r="E45" s="1886"/>
      <c r="F45" s="1887"/>
      <c r="G45" s="1887"/>
      <c r="H45" s="1887"/>
      <c r="I45" s="1887"/>
      <c r="J45" s="1887"/>
      <c r="K45" s="1887"/>
      <c r="L45" s="1887"/>
      <c r="M45" s="1887"/>
      <c r="N45" s="1887"/>
      <c r="O45" s="1887"/>
      <c r="P45" s="1887"/>
      <c r="Q45" s="1887"/>
      <c r="R45" s="1887"/>
      <c r="S45" s="1887"/>
      <c r="T45" s="1887"/>
      <c r="U45" s="1887"/>
      <c r="V45" s="1917"/>
      <c r="W45" s="4970"/>
    </row>
    <row r="46" spans="1:23" ht="27.75" customHeight="1">
      <c r="A46" s="5012"/>
      <c r="B46" s="5014"/>
      <c r="C46" s="1901"/>
      <c r="D46" s="1901"/>
      <c r="E46" s="1901"/>
      <c r="F46" s="1902"/>
      <c r="G46" s="1902"/>
      <c r="H46" s="1902"/>
      <c r="I46" s="1902"/>
      <c r="J46" s="1902"/>
      <c r="K46" s="1902"/>
      <c r="L46" s="1902"/>
      <c r="M46" s="1902"/>
      <c r="N46" s="1902"/>
      <c r="O46" s="1902"/>
      <c r="P46" s="1902"/>
      <c r="Q46" s="1902"/>
      <c r="R46" s="1902"/>
      <c r="S46" s="1902"/>
      <c r="T46" s="1902"/>
      <c r="U46" s="1902"/>
      <c r="V46" s="1918"/>
      <c r="W46" s="4971"/>
    </row>
    <row r="47" spans="1:23" ht="17.25" hidden="1" customHeight="1">
      <c r="A47" s="5009">
        <v>8</v>
      </c>
      <c r="B47" s="4996"/>
      <c r="C47" s="1900"/>
      <c r="D47" s="1900"/>
      <c r="E47" s="1900"/>
      <c r="F47" s="1897"/>
      <c r="G47" s="1897"/>
      <c r="H47" s="1897"/>
      <c r="I47" s="1897"/>
      <c r="J47" s="1897"/>
      <c r="K47" s="1897"/>
      <c r="L47" s="1897"/>
      <c r="M47" s="1897"/>
      <c r="N47" s="1897"/>
      <c r="O47" s="1897"/>
      <c r="P47" s="1897"/>
      <c r="Q47" s="1897"/>
      <c r="R47" s="1897"/>
      <c r="S47" s="1897"/>
      <c r="T47" s="1897"/>
      <c r="U47" s="1897"/>
      <c r="V47" s="1897"/>
      <c r="W47" s="1896"/>
    </row>
    <row r="48" spans="1:23" ht="18" hidden="1" customHeight="1">
      <c r="A48" s="5009"/>
      <c r="B48" s="4992"/>
      <c r="C48" s="1886"/>
      <c r="D48" s="1886"/>
      <c r="E48" s="1886"/>
      <c r="F48" s="1887"/>
      <c r="G48" s="1887"/>
      <c r="H48" s="1887"/>
      <c r="I48" s="1887"/>
      <c r="J48" s="1887"/>
      <c r="K48" s="1887"/>
      <c r="L48" s="1887"/>
      <c r="M48" s="1887"/>
      <c r="N48" s="1887"/>
      <c r="O48" s="1887"/>
      <c r="P48" s="1887"/>
      <c r="Q48" s="1887"/>
      <c r="R48" s="1887"/>
      <c r="S48" s="1887"/>
      <c r="T48" s="1887"/>
      <c r="U48" s="1887"/>
      <c r="V48" s="1887"/>
      <c r="W48" s="1888"/>
    </row>
    <row r="49" spans="1:23" ht="18" hidden="1" customHeight="1">
      <c r="A49" s="5009"/>
      <c r="B49" s="4992"/>
      <c r="C49" s="1886"/>
      <c r="D49" s="1886"/>
      <c r="E49" s="1886"/>
      <c r="F49" s="1887"/>
      <c r="G49" s="1887"/>
      <c r="H49" s="1887"/>
      <c r="I49" s="1887"/>
      <c r="J49" s="1887"/>
      <c r="K49" s="1887"/>
      <c r="L49" s="1887"/>
      <c r="M49" s="1887"/>
      <c r="N49" s="1887"/>
      <c r="O49" s="1887"/>
      <c r="P49" s="1887"/>
      <c r="Q49" s="1887"/>
      <c r="R49" s="1887"/>
      <c r="S49" s="1887"/>
      <c r="T49" s="1887"/>
      <c r="U49" s="1887"/>
      <c r="V49" s="1887"/>
      <c r="W49" s="1888"/>
    </row>
    <row r="50" spans="1:23" ht="18" hidden="1" customHeight="1">
      <c r="A50" s="5009"/>
      <c r="B50" s="4992"/>
      <c r="C50" s="1886"/>
      <c r="D50" s="1886"/>
      <c r="E50" s="1886"/>
      <c r="F50" s="1887"/>
      <c r="G50" s="1887"/>
      <c r="H50" s="1887"/>
      <c r="I50" s="1887"/>
      <c r="J50" s="1887"/>
      <c r="K50" s="1887"/>
      <c r="L50" s="1887"/>
      <c r="M50" s="1887"/>
      <c r="N50" s="1887"/>
      <c r="O50" s="1887"/>
      <c r="P50" s="1887"/>
      <c r="Q50" s="1887"/>
      <c r="R50" s="1887"/>
      <c r="S50" s="1887"/>
      <c r="T50" s="1887"/>
      <c r="U50" s="1887"/>
      <c r="V50" s="1887"/>
      <c r="W50" s="1888"/>
    </row>
    <row r="51" spans="1:23" ht="18" hidden="1" customHeight="1">
      <c r="A51" s="4996"/>
      <c r="B51" s="4992"/>
      <c r="C51" s="1886"/>
      <c r="D51" s="1886"/>
      <c r="E51" s="1886"/>
      <c r="F51" s="1887"/>
      <c r="G51" s="1887"/>
      <c r="H51" s="1887"/>
      <c r="I51" s="1887"/>
      <c r="J51" s="1887"/>
      <c r="K51" s="1887"/>
      <c r="L51" s="1887"/>
      <c r="M51" s="1887"/>
      <c r="N51" s="1887"/>
      <c r="O51" s="1887"/>
      <c r="P51" s="1887"/>
      <c r="Q51" s="1887"/>
      <c r="R51" s="1887"/>
      <c r="S51" s="1887"/>
      <c r="T51" s="1887"/>
      <c r="U51" s="1887"/>
      <c r="V51" s="1887"/>
      <c r="W51" s="1888"/>
    </row>
    <row r="52" spans="1:23" ht="18" hidden="1" customHeight="1">
      <c r="A52" s="5008">
        <v>9</v>
      </c>
      <c r="B52" s="4992"/>
      <c r="C52" s="1886"/>
      <c r="D52" s="1886"/>
      <c r="E52" s="1886"/>
      <c r="F52" s="1887"/>
      <c r="G52" s="1887"/>
      <c r="H52" s="1887"/>
      <c r="I52" s="1887"/>
      <c r="J52" s="1887"/>
      <c r="K52" s="1887"/>
      <c r="L52" s="1887"/>
      <c r="M52" s="1887"/>
      <c r="N52" s="1887"/>
      <c r="O52" s="1887"/>
      <c r="P52" s="1887"/>
      <c r="Q52" s="1887"/>
      <c r="R52" s="1887"/>
      <c r="S52" s="1887"/>
      <c r="T52" s="1887"/>
      <c r="U52" s="1887"/>
      <c r="V52" s="1887"/>
      <c r="W52" s="1888"/>
    </row>
    <row r="53" spans="1:23" ht="18" hidden="1" customHeight="1">
      <c r="A53" s="5009"/>
      <c r="B53" s="4992"/>
      <c r="C53" s="1886"/>
      <c r="D53" s="1886"/>
      <c r="E53" s="1886"/>
      <c r="F53" s="1887"/>
      <c r="G53" s="1887"/>
      <c r="H53" s="1887"/>
      <c r="I53" s="1887"/>
      <c r="J53" s="1887"/>
      <c r="K53" s="1887"/>
      <c r="L53" s="1887"/>
      <c r="M53" s="1887"/>
      <c r="N53" s="1887"/>
      <c r="O53" s="1887"/>
      <c r="P53" s="1887"/>
      <c r="Q53" s="1887"/>
      <c r="R53" s="1887"/>
      <c r="S53" s="1887"/>
      <c r="T53" s="1887"/>
      <c r="U53" s="1887"/>
      <c r="V53" s="1887"/>
      <c r="W53" s="1888"/>
    </row>
    <row r="54" spans="1:23" ht="18" hidden="1" customHeight="1">
      <c r="A54" s="5009"/>
      <c r="B54" s="4992"/>
      <c r="C54" s="1886"/>
      <c r="D54" s="1886"/>
      <c r="E54" s="1886"/>
      <c r="F54" s="1887"/>
      <c r="G54" s="1887"/>
      <c r="H54" s="1887"/>
      <c r="I54" s="1887"/>
      <c r="J54" s="1887"/>
      <c r="K54" s="1887"/>
      <c r="L54" s="1887"/>
      <c r="M54" s="1887"/>
      <c r="N54" s="1887"/>
      <c r="O54" s="1887"/>
      <c r="P54" s="1887"/>
      <c r="Q54" s="1887"/>
      <c r="R54" s="1887"/>
      <c r="S54" s="1887"/>
      <c r="T54" s="1887"/>
      <c r="U54" s="1887"/>
      <c r="V54" s="1887"/>
      <c r="W54" s="1888"/>
    </row>
    <row r="55" spans="1:23" ht="18" hidden="1" customHeight="1">
      <c r="A55" s="5009"/>
      <c r="B55" s="4992"/>
      <c r="C55" s="1886"/>
      <c r="D55" s="1886"/>
      <c r="E55" s="1886"/>
      <c r="F55" s="1887"/>
      <c r="G55" s="1887"/>
      <c r="H55" s="1887"/>
      <c r="I55" s="1887"/>
      <c r="J55" s="1887"/>
      <c r="K55" s="1887"/>
      <c r="L55" s="1887"/>
      <c r="M55" s="1887"/>
      <c r="N55" s="1887"/>
      <c r="O55" s="1887"/>
      <c r="P55" s="1887"/>
      <c r="Q55" s="1887"/>
      <c r="R55" s="1887"/>
      <c r="S55" s="1887"/>
      <c r="T55" s="1887"/>
      <c r="U55" s="1887"/>
      <c r="V55" s="1887"/>
      <c r="W55" s="1888"/>
    </row>
    <row r="56" spans="1:23" ht="18" hidden="1" customHeight="1">
      <c r="A56" s="4996"/>
      <c r="B56" s="4992"/>
      <c r="C56" s="1886"/>
      <c r="D56" s="1886"/>
      <c r="E56" s="1886"/>
      <c r="F56" s="1887"/>
      <c r="G56" s="1887"/>
      <c r="H56" s="1887"/>
      <c r="I56" s="1887"/>
      <c r="J56" s="1887"/>
      <c r="K56" s="1887"/>
      <c r="L56" s="1887"/>
      <c r="M56" s="1887"/>
      <c r="N56" s="1887"/>
      <c r="O56" s="1887"/>
      <c r="P56" s="1887"/>
      <c r="Q56" s="1887"/>
      <c r="R56" s="1887"/>
      <c r="S56" s="1887"/>
      <c r="T56" s="1887"/>
      <c r="U56" s="1887"/>
      <c r="V56" s="1887"/>
      <c r="W56" s="1888"/>
    </row>
    <row r="57" spans="1:23" ht="16.5" hidden="1" customHeight="1">
      <c r="A57" s="5008">
        <v>10</v>
      </c>
      <c r="B57" s="4992"/>
      <c r="C57" s="1886"/>
      <c r="D57" s="1886"/>
      <c r="E57" s="1886"/>
      <c r="F57" s="1887"/>
      <c r="G57" s="1887"/>
      <c r="H57" s="1887"/>
      <c r="I57" s="1887"/>
      <c r="J57" s="1887"/>
      <c r="K57" s="1887"/>
      <c r="L57" s="1887"/>
      <c r="M57" s="1887"/>
      <c r="N57" s="1887"/>
      <c r="O57" s="1887"/>
      <c r="P57" s="1887"/>
      <c r="Q57" s="1887"/>
      <c r="R57" s="1887"/>
      <c r="S57" s="1887"/>
      <c r="T57" s="1887"/>
      <c r="U57" s="1887"/>
      <c r="V57" s="1887"/>
      <c r="W57" s="1888"/>
    </row>
    <row r="58" spans="1:23" ht="16.5" hidden="1" customHeight="1">
      <c r="A58" s="5009"/>
      <c r="B58" s="4992"/>
      <c r="C58" s="1886"/>
      <c r="D58" s="1886"/>
      <c r="E58" s="1886"/>
      <c r="F58" s="1887"/>
      <c r="G58" s="1887"/>
      <c r="H58" s="1887"/>
      <c r="I58" s="1887"/>
      <c r="J58" s="1887"/>
      <c r="K58" s="1887"/>
      <c r="L58" s="1887"/>
      <c r="M58" s="1887"/>
      <c r="N58" s="1887"/>
      <c r="O58" s="1887"/>
      <c r="P58" s="1887"/>
      <c r="Q58" s="1887"/>
      <c r="R58" s="1887"/>
      <c r="S58" s="1887"/>
      <c r="T58" s="1887"/>
      <c r="U58" s="1887"/>
      <c r="V58" s="1887"/>
      <c r="W58" s="1888"/>
    </row>
    <row r="59" spans="1:23" ht="16.5" hidden="1" customHeight="1">
      <c r="A59" s="5009"/>
      <c r="B59" s="4992"/>
      <c r="C59" s="1886"/>
      <c r="D59" s="1886"/>
      <c r="E59" s="1886"/>
      <c r="F59" s="1887"/>
      <c r="G59" s="1887"/>
      <c r="H59" s="1887"/>
      <c r="I59" s="1887"/>
      <c r="J59" s="1887"/>
      <c r="K59" s="1887"/>
      <c r="L59" s="1887"/>
      <c r="M59" s="1887"/>
      <c r="N59" s="1887"/>
      <c r="O59" s="1887"/>
      <c r="P59" s="1887"/>
      <c r="Q59" s="1887"/>
      <c r="R59" s="1887"/>
      <c r="S59" s="1887"/>
      <c r="T59" s="1887"/>
      <c r="U59" s="1887"/>
      <c r="V59" s="1887"/>
      <c r="W59" s="1888"/>
    </row>
    <row r="60" spans="1:23" ht="16.5" hidden="1" customHeight="1">
      <c r="A60" s="5009"/>
      <c r="B60" s="4992"/>
      <c r="C60" s="1886"/>
      <c r="D60" s="1886"/>
      <c r="E60" s="1886"/>
      <c r="F60" s="1887"/>
      <c r="G60" s="1887"/>
      <c r="H60" s="1887"/>
      <c r="I60" s="1887"/>
      <c r="J60" s="1887"/>
      <c r="K60" s="1887"/>
      <c r="L60" s="1887"/>
      <c r="M60" s="1887"/>
      <c r="N60" s="1887"/>
      <c r="O60" s="1887"/>
      <c r="P60" s="1887"/>
      <c r="Q60" s="1887"/>
      <c r="R60" s="1887"/>
      <c r="S60" s="1887"/>
      <c r="T60" s="1887"/>
      <c r="U60" s="1887"/>
      <c r="V60" s="1887"/>
      <c r="W60" s="1888"/>
    </row>
    <row r="61" spans="1:23" ht="16.5" hidden="1" customHeight="1">
      <c r="A61" s="4996"/>
      <c r="B61" s="4992"/>
      <c r="C61" s="1886"/>
      <c r="D61" s="1886"/>
      <c r="E61" s="1886"/>
      <c r="F61" s="1887"/>
      <c r="G61" s="1887"/>
      <c r="H61" s="1887"/>
      <c r="I61" s="1887"/>
      <c r="J61" s="1887"/>
      <c r="K61" s="1887"/>
      <c r="L61" s="1887"/>
      <c r="M61" s="1887"/>
      <c r="N61" s="1887"/>
      <c r="O61" s="1887"/>
      <c r="P61" s="1887"/>
      <c r="Q61" s="1887"/>
      <c r="R61" s="1887"/>
      <c r="S61" s="1887"/>
      <c r="T61" s="1887"/>
      <c r="U61" s="1887"/>
      <c r="V61" s="1887"/>
      <c r="W61" s="1888"/>
    </row>
    <row r="62" spans="1:23" ht="16.5" hidden="1" customHeight="1">
      <c r="A62" s="5008">
        <v>11</v>
      </c>
      <c r="B62" s="4992"/>
      <c r="C62" s="1886"/>
      <c r="D62" s="1886"/>
      <c r="E62" s="1886"/>
      <c r="F62" s="1887"/>
      <c r="G62" s="1887"/>
      <c r="H62" s="1887"/>
      <c r="I62" s="1887"/>
      <c r="J62" s="1887"/>
      <c r="K62" s="1887"/>
      <c r="L62" s="1887"/>
      <c r="M62" s="1887"/>
      <c r="N62" s="1887"/>
      <c r="O62" s="1887"/>
      <c r="P62" s="1887"/>
      <c r="Q62" s="1887"/>
      <c r="R62" s="1887"/>
      <c r="S62" s="1887"/>
      <c r="T62" s="1887"/>
      <c r="U62" s="1887"/>
      <c r="V62" s="1887"/>
      <c r="W62" s="1888"/>
    </row>
    <row r="63" spans="1:23" ht="16.5" hidden="1" customHeight="1">
      <c r="A63" s="5009"/>
      <c r="B63" s="4992"/>
      <c r="C63" s="1886"/>
      <c r="D63" s="1886"/>
      <c r="E63" s="1886"/>
      <c r="F63" s="1887"/>
      <c r="G63" s="1887"/>
      <c r="H63" s="1887"/>
      <c r="I63" s="1887"/>
      <c r="J63" s="1887"/>
      <c r="K63" s="1887"/>
      <c r="L63" s="1887"/>
      <c r="M63" s="1887"/>
      <c r="N63" s="1887"/>
      <c r="O63" s="1887"/>
      <c r="P63" s="1887"/>
      <c r="Q63" s="1887"/>
      <c r="R63" s="1887"/>
      <c r="S63" s="1887"/>
      <c r="T63" s="1887"/>
      <c r="U63" s="1887"/>
      <c r="V63" s="1887"/>
      <c r="W63" s="1888"/>
    </row>
    <row r="64" spans="1:23" ht="16.5" hidden="1" customHeight="1">
      <c r="A64" s="5009"/>
      <c r="B64" s="4992"/>
      <c r="C64" s="1886"/>
      <c r="D64" s="1886"/>
      <c r="E64" s="1886"/>
      <c r="F64" s="1887"/>
      <c r="G64" s="1887"/>
      <c r="H64" s="1887"/>
      <c r="I64" s="1887"/>
      <c r="J64" s="1887"/>
      <c r="K64" s="1887"/>
      <c r="L64" s="1887"/>
      <c r="M64" s="1887"/>
      <c r="N64" s="1887"/>
      <c r="O64" s="1887"/>
      <c r="P64" s="1887"/>
      <c r="Q64" s="1887"/>
      <c r="R64" s="1887"/>
      <c r="S64" s="1887"/>
      <c r="T64" s="1887"/>
      <c r="U64" s="1887"/>
      <c r="V64" s="1887"/>
      <c r="W64" s="1888"/>
    </row>
    <row r="65" spans="1:23" ht="16.5" hidden="1" customHeight="1">
      <c r="A65" s="5009"/>
      <c r="B65" s="4992"/>
      <c r="C65" s="1886"/>
      <c r="D65" s="1886"/>
      <c r="E65" s="1886"/>
      <c r="F65" s="1887"/>
      <c r="G65" s="1887"/>
      <c r="H65" s="1887"/>
      <c r="I65" s="1887"/>
      <c r="J65" s="1887"/>
      <c r="K65" s="1887"/>
      <c r="L65" s="1887"/>
      <c r="M65" s="1887"/>
      <c r="N65" s="1887"/>
      <c r="O65" s="1887"/>
      <c r="P65" s="1887"/>
      <c r="Q65" s="1887"/>
      <c r="R65" s="1887"/>
      <c r="S65" s="1887"/>
      <c r="T65" s="1887"/>
      <c r="U65" s="1887"/>
      <c r="V65" s="1887"/>
      <c r="W65" s="1888"/>
    </row>
    <row r="66" spans="1:23" ht="16.5" hidden="1" customHeight="1">
      <c r="A66" s="4996"/>
      <c r="B66" s="4992"/>
      <c r="C66" s="1886"/>
      <c r="D66" s="1886"/>
      <c r="E66" s="1886"/>
      <c r="F66" s="1887"/>
      <c r="G66" s="1887"/>
      <c r="H66" s="1887"/>
      <c r="I66" s="1887"/>
      <c r="J66" s="1887"/>
      <c r="K66" s="1887"/>
      <c r="L66" s="1887"/>
      <c r="M66" s="1887"/>
      <c r="N66" s="1887"/>
      <c r="O66" s="1887"/>
      <c r="P66" s="1887"/>
      <c r="Q66" s="1887"/>
      <c r="R66" s="1887"/>
      <c r="S66" s="1887"/>
      <c r="T66" s="1887"/>
      <c r="U66" s="1887"/>
      <c r="V66" s="1887"/>
      <c r="W66" s="1888"/>
    </row>
    <row r="67" spans="1:23" ht="17.25" hidden="1" customHeight="1">
      <c r="A67" s="5008">
        <v>12</v>
      </c>
      <c r="B67" s="5008"/>
      <c r="C67" s="1886"/>
      <c r="D67" s="1886"/>
      <c r="E67" s="1886"/>
      <c r="F67" s="1887"/>
      <c r="G67" s="1887"/>
      <c r="H67" s="1887"/>
      <c r="I67" s="1887"/>
      <c r="J67" s="1887"/>
      <c r="K67" s="1887"/>
      <c r="L67" s="1887"/>
      <c r="M67" s="1887"/>
      <c r="N67" s="1887"/>
      <c r="O67" s="1887"/>
      <c r="P67" s="1887"/>
      <c r="Q67" s="1887"/>
      <c r="R67" s="1887"/>
      <c r="S67" s="1887"/>
      <c r="T67" s="1887"/>
      <c r="U67" s="1887"/>
      <c r="V67" s="1887"/>
      <c r="W67" s="1888"/>
    </row>
    <row r="68" spans="1:23" ht="17.25" hidden="1" customHeight="1">
      <c r="A68" s="5009"/>
      <c r="B68" s="5009"/>
      <c r="C68" s="1886"/>
      <c r="D68" s="1886"/>
      <c r="E68" s="1886"/>
      <c r="F68" s="1887"/>
      <c r="G68" s="1887"/>
      <c r="H68" s="1887"/>
      <c r="I68" s="1887"/>
      <c r="J68" s="1887"/>
      <c r="K68" s="1887"/>
      <c r="L68" s="1887"/>
      <c r="M68" s="1887"/>
      <c r="N68" s="1887"/>
      <c r="O68" s="1887"/>
      <c r="P68" s="1887"/>
      <c r="Q68" s="1887"/>
      <c r="R68" s="1887"/>
      <c r="S68" s="1887"/>
      <c r="T68" s="1887"/>
      <c r="U68" s="1887"/>
      <c r="V68" s="1887"/>
      <c r="W68" s="1888"/>
    </row>
    <row r="69" spans="1:23" ht="17.25" hidden="1" customHeight="1">
      <c r="A69" s="5009"/>
      <c r="B69" s="5009"/>
      <c r="C69" s="1886"/>
      <c r="D69" s="1886"/>
      <c r="E69" s="1886"/>
      <c r="F69" s="1887"/>
      <c r="G69" s="1887"/>
      <c r="H69" s="1887"/>
      <c r="I69" s="1887"/>
      <c r="J69" s="1887"/>
      <c r="K69" s="1887"/>
      <c r="L69" s="1887"/>
      <c r="M69" s="1887"/>
      <c r="N69" s="1887"/>
      <c r="O69" s="1887"/>
      <c r="P69" s="1887"/>
      <c r="Q69" s="1887"/>
      <c r="R69" s="1887"/>
      <c r="S69" s="1887"/>
      <c r="T69" s="1887"/>
      <c r="U69" s="1887"/>
      <c r="V69" s="1887"/>
      <c r="W69" s="1888"/>
    </row>
    <row r="70" spans="1:23" ht="17.25" hidden="1" customHeight="1">
      <c r="A70" s="5009"/>
      <c r="B70" s="5009"/>
      <c r="C70" s="1886"/>
      <c r="D70" s="1886"/>
      <c r="E70" s="1886"/>
      <c r="F70" s="1887"/>
      <c r="G70" s="1887"/>
      <c r="H70" s="1887"/>
      <c r="I70" s="1887"/>
      <c r="J70" s="1887"/>
      <c r="K70" s="1887"/>
      <c r="L70" s="1887"/>
      <c r="M70" s="1887"/>
      <c r="N70" s="1887"/>
      <c r="O70" s="1887"/>
      <c r="P70" s="1887"/>
      <c r="Q70" s="1887"/>
      <c r="R70" s="1887"/>
      <c r="S70" s="1887"/>
      <c r="T70" s="1887"/>
      <c r="U70" s="1887"/>
      <c r="V70" s="1887"/>
      <c r="W70" s="1888"/>
    </row>
    <row r="71" spans="1:23" ht="17.25" hidden="1" customHeight="1">
      <c r="A71" s="4996"/>
      <c r="B71" s="4996"/>
      <c r="C71" s="1886"/>
      <c r="D71" s="1886"/>
      <c r="E71" s="1886"/>
      <c r="F71" s="1887"/>
      <c r="G71" s="1887"/>
      <c r="H71" s="1887"/>
      <c r="I71" s="1887"/>
      <c r="J71" s="1887"/>
      <c r="K71" s="1887"/>
      <c r="L71" s="1887"/>
      <c r="M71" s="1887"/>
      <c r="N71" s="1887"/>
      <c r="O71" s="1887"/>
      <c r="P71" s="1887"/>
      <c r="Q71" s="1887"/>
      <c r="R71" s="1887"/>
      <c r="S71" s="1887"/>
      <c r="T71" s="1887"/>
      <c r="U71" s="1887"/>
      <c r="V71" s="1887"/>
      <c r="W71" s="1888"/>
    </row>
    <row r="72" spans="1:23" ht="15" hidden="1" customHeight="1">
      <c r="A72" s="5008">
        <v>13</v>
      </c>
      <c r="B72" s="4992"/>
      <c r="C72" s="1886"/>
      <c r="D72" s="1886"/>
      <c r="E72" s="1886"/>
      <c r="F72" s="1887"/>
      <c r="G72" s="1887"/>
      <c r="H72" s="1887"/>
      <c r="I72" s="1887"/>
      <c r="J72" s="1887"/>
      <c r="K72" s="1887"/>
      <c r="L72" s="1887"/>
      <c r="M72" s="1887"/>
      <c r="N72" s="1887"/>
      <c r="O72" s="1887"/>
      <c r="P72" s="1887"/>
      <c r="Q72" s="1887"/>
      <c r="R72" s="1887"/>
      <c r="S72" s="1887"/>
      <c r="T72" s="1887"/>
      <c r="U72" s="1887"/>
      <c r="V72" s="1887"/>
      <c r="W72" s="1888"/>
    </row>
    <row r="73" spans="1:23" ht="15" hidden="1" customHeight="1">
      <c r="A73" s="5009"/>
      <c r="B73" s="4992"/>
      <c r="C73" s="1886"/>
      <c r="D73" s="1886"/>
      <c r="E73" s="1886"/>
      <c r="F73" s="1887"/>
      <c r="G73" s="1887"/>
      <c r="H73" s="1887"/>
      <c r="I73" s="1887"/>
      <c r="J73" s="1887"/>
      <c r="K73" s="1887"/>
      <c r="L73" s="1887"/>
      <c r="M73" s="1887"/>
      <c r="N73" s="1887"/>
      <c r="O73" s="1887"/>
      <c r="P73" s="1887"/>
      <c r="Q73" s="1887"/>
      <c r="R73" s="1887"/>
      <c r="S73" s="1887"/>
      <c r="T73" s="1887"/>
      <c r="U73" s="1887"/>
      <c r="V73" s="1887"/>
      <c r="W73" s="1888"/>
    </row>
    <row r="74" spans="1:23" ht="15" hidden="1" customHeight="1">
      <c r="A74" s="5009"/>
      <c r="B74" s="4992"/>
      <c r="C74" s="1886"/>
      <c r="D74" s="1886"/>
      <c r="E74" s="1886"/>
      <c r="F74" s="1887"/>
      <c r="G74" s="1887"/>
      <c r="H74" s="1887"/>
      <c r="I74" s="1887"/>
      <c r="J74" s="1887"/>
      <c r="K74" s="1887"/>
      <c r="L74" s="1887"/>
      <c r="M74" s="1887"/>
      <c r="N74" s="1887"/>
      <c r="O74" s="1887"/>
      <c r="P74" s="1887"/>
      <c r="Q74" s="1887"/>
      <c r="R74" s="1887"/>
      <c r="S74" s="1887"/>
      <c r="T74" s="1887"/>
      <c r="U74" s="1887"/>
      <c r="V74" s="1887"/>
      <c r="W74" s="1888"/>
    </row>
    <row r="75" spans="1:23" ht="15" hidden="1" customHeight="1">
      <c r="A75" s="5009"/>
      <c r="B75" s="4992"/>
      <c r="C75" s="1886"/>
      <c r="D75" s="1886"/>
      <c r="E75" s="1886"/>
      <c r="F75" s="1887"/>
      <c r="G75" s="1887"/>
      <c r="H75" s="1887"/>
      <c r="I75" s="1887"/>
      <c r="J75" s="1887"/>
      <c r="K75" s="1887"/>
      <c r="L75" s="1887"/>
      <c r="M75" s="1887"/>
      <c r="N75" s="1887"/>
      <c r="O75" s="1887"/>
      <c r="P75" s="1887"/>
      <c r="Q75" s="1887"/>
      <c r="R75" s="1887"/>
      <c r="S75" s="1887"/>
      <c r="T75" s="1887"/>
      <c r="U75" s="1887"/>
      <c r="V75" s="1887"/>
      <c r="W75" s="1888"/>
    </row>
    <row r="76" spans="1:23" ht="15" hidden="1" customHeight="1">
      <c r="A76" s="4996"/>
      <c r="B76" s="4992"/>
      <c r="C76" s="1886"/>
      <c r="D76" s="1886"/>
      <c r="E76" s="1886"/>
      <c r="F76" s="1887"/>
      <c r="G76" s="1887"/>
      <c r="H76" s="1887"/>
      <c r="I76" s="1887"/>
      <c r="J76" s="1887"/>
      <c r="K76" s="1887"/>
      <c r="L76" s="1887"/>
      <c r="M76" s="1887"/>
      <c r="N76" s="1887"/>
      <c r="O76" s="1887"/>
      <c r="P76" s="1887"/>
      <c r="Q76" s="1887"/>
      <c r="R76" s="1887"/>
      <c r="S76" s="1887"/>
      <c r="T76" s="1887"/>
      <c r="U76" s="1887"/>
      <c r="V76" s="1887"/>
      <c r="W76" s="1888"/>
    </row>
    <row r="77" spans="1:23" ht="15" hidden="1" customHeight="1">
      <c r="A77" s="5008">
        <v>14</v>
      </c>
      <c r="B77" s="4992"/>
      <c r="C77" s="1886"/>
      <c r="D77" s="1886"/>
      <c r="E77" s="1886"/>
      <c r="F77" s="1887"/>
      <c r="G77" s="1887"/>
      <c r="H77" s="1887"/>
      <c r="I77" s="1887"/>
      <c r="J77" s="1887"/>
      <c r="K77" s="1887"/>
      <c r="L77" s="1887"/>
      <c r="M77" s="1887"/>
      <c r="N77" s="1887"/>
      <c r="O77" s="1887"/>
      <c r="P77" s="1887"/>
      <c r="Q77" s="1887"/>
      <c r="R77" s="1887"/>
      <c r="S77" s="1887"/>
      <c r="T77" s="1887"/>
      <c r="U77" s="1887"/>
      <c r="V77" s="1887"/>
      <c r="W77" s="1888"/>
    </row>
    <row r="78" spans="1:23" ht="15" hidden="1" customHeight="1">
      <c r="A78" s="5009"/>
      <c r="B78" s="4992"/>
      <c r="C78" s="1886"/>
      <c r="D78" s="1886"/>
      <c r="E78" s="1886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887"/>
      <c r="W78" s="1888"/>
    </row>
    <row r="79" spans="1:23" ht="15" hidden="1" customHeight="1">
      <c r="A79" s="5009"/>
      <c r="B79" s="4992"/>
      <c r="C79" s="1886"/>
      <c r="D79" s="1886"/>
      <c r="E79" s="1886"/>
      <c r="F79" s="1887"/>
      <c r="G79" s="1887"/>
      <c r="H79" s="1887"/>
      <c r="I79" s="1887"/>
      <c r="J79" s="1887"/>
      <c r="K79" s="1887"/>
      <c r="L79" s="1887"/>
      <c r="M79" s="1887"/>
      <c r="N79" s="1887"/>
      <c r="O79" s="1887"/>
      <c r="P79" s="1887"/>
      <c r="Q79" s="1887"/>
      <c r="R79" s="1887"/>
      <c r="S79" s="1887"/>
      <c r="T79" s="1887"/>
      <c r="U79" s="1887"/>
      <c r="V79" s="1887"/>
      <c r="W79" s="1888"/>
    </row>
    <row r="80" spans="1:23" ht="15" hidden="1" customHeight="1">
      <c r="A80" s="5009"/>
      <c r="B80" s="4992"/>
      <c r="C80" s="1886"/>
      <c r="D80" s="1886"/>
      <c r="E80" s="1886"/>
      <c r="F80" s="1887"/>
      <c r="G80" s="1887"/>
      <c r="H80" s="1887"/>
      <c r="I80" s="1887"/>
      <c r="J80" s="1887"/>
      <c r="K80" s="1887"/>
      <c r="L80" s="1887"/>
      <c r="M80" s="1887"/>
      <c r="N80" s="1887"/>
      <c r="O80" s="1887"/>
      <c r="P80" s="1887"/>
      <c r="Q80" s="1887"/>
      <c r="R80" s="1887"/>
      <c r="S80" s="1887"/>
      <c r="T80" s="1887"/>
      <c r="U80" s="1887"/>
      <c r="V80" s="1887"/>
      <c r="W80" s="1888"/>
    </row>
    <row r="81" spans="1:23" ht="15" hidden="1" customHeight="1">
      <c r="A81" s="4996"/>
      <c r="B81" s="4992"/>
      <c r="C81" s="1886"/>
      <c r="D81" s="1886"/>
      <c r="E81" s="1886"/>
      <c r="F81" s="1887"/>
      <c r="G81" s="1887"/>
      <c r="H81" s="1887"/>
      <c r="I81" s="1887"/>
      <c r="J81" s="1887"/>
      <c r="K81" s="1887"/>
      <c r="L81" s="1887"/>
      <c r="M81" s="1887"/>
      <c r="N81" s="1887"/>
      <c r="O81" s="1887"/>
      <c r="P81" s="1887"/>
      <c r="Q81" s="1887"/>
      <c r="R81" s="1887"/>
      <c r="S81" s="1887"/>
      <c r="T81" s="1887"/>
      <c r="U81" s="1887"/>
      <c r="V81" s="1887"/>
      <c r="W81" s="1888"/>
    </row>
    <row r="82" spans="1:23" ht="15" hidden="1" customHeight="1">
      <c r="A82" s="5008">
        <v>15</v>
      </c>
      <c r="B82" s="4992"/>
      <c r="C82" s="1886"/>
      <c r="D82" s="1886"/>
      <c r="E82" s="1886"/>
      <c r="F82" s="1887"/>
      <c r="G82" s="1887"/>
      <c r="H82" s="1887"/>
      <c r="I82" s="1887"/>
      <c r="J82" s="1887"/>
      <c r="K82" s="1887"/>
      <c r="L82" s="1887"/>
      <c r="M82" s="1887"/>
      <c r="N82" s="1887"/>
      <c r="O82" s="1887"/>
      <c r="P82" s="1887"/>
      <c r="Q82" s="1887"/>
      <c r="R82" s="1887"/>
      <c r="S82" s="1887"/>
      <c r="T82" s="1887"/>
      <c r="U82" s="1887"/>
      <c r="V82" s="1887"/>
      <c r="W82" s="1888"/>
    </row>
    <row r="83" spans="1:23" ht="15" hidden="1" customHeight="1">
      <c r="A83" s="5009"/>
      <c r="B83" s="4992"/>
      <c r="C83" s="1886"/>
      <c r="D83" s="1886"/>
      <c r="E83" s="1886"/>
      <c r="F83" s="1887"/>
      <c r="G83" s="1887"/>
      <c r="H83" s="1887"/>
      <c r="I83" s="1887"/>
      <c r="J83" s="1887"/>
      <c r="K83" s="1887"/>
      <c r="L83" s="1887"/>
      <c r="M83" s="1887"/>
      <c r="N83" s="1887"/>
      <c r="O83" s="1887"/>
      <c r="P83" s="1887"/>
      <c r="Q83" s="1887"/>
      <c r="R83" s="1887"/>
      <c r="S83" s="1887"/>
      <c r="T83" s="1887"/>
      <c r="U83" s="1887"/>
      <c r="V83" s="1887"/>
      <c r="W83" s="1888"/>
    </row>
    <row r="84" spans="1:23" ht="15" hidden="1" customHeight="1">
      <c r="A84" s="5009"/>
      <c r="B84" s="4992"/>
      <c r="C84" s="1886"/>
      <c r="D84" s="1886"/>
      <c r="E84" s="1886"/>
      <c r="F84" s="1887"/>
      <c r="G84" s="1887"/>
      <c r="H84" s="1887"/>
      <c r="I84" s="1887"/>
      <c r="J84" s="1887"/>
      <c r="K84" s="1887"/>
      <c r="L84" s="1887"/>
      <c r="M84" s="1887"/>
      <c r="N84" s="1887"/>
      <c r="O84" s="1887"/>
      <c r="P84" s="1887"/>
      <c r="Q84" s="1887"/>
      <c r="R84" s="1887"/>
      <c r="S84" s="1887"/>
      <c r="T84" s="1887"/>
      <c r="U84" s="1887"/>
      <c r="V84" s="1887"/>
      <c r="W84" s="1888"/>
    </row>
    <row r="85" spans="1:23" ht="15" hidden="1" customHeight="1">
      <c r="A85" s="5009"/>
      <c r="B85" s="4992"/>
      <c r="C85" s="1886"/>
      <c r="D85" s="1886"/>
      <c r="E85" s="1886"/>
      <c r="F85" s="1887"/>
      <c r="G85" s="1887"/>
      <c r="H85" s="1887"/>
      <c r="I85" s="1887"/>
      <c r="J85" s="1887"/>
      <c r="K85" s="1887"/>
      <c r="L85" s="1887"/>
      <c r="M85" s="1887"/>
      <c r="N85" s="1887"/>
      <c r="O85" s="1887"/>
      <c r="P85" s="1887"/>
      <c r="Q85" s="1887"/>
      <c r="R85" s="1887"/>
      <c r="S85" s="1887"/>
      <c r="T85" s="1887"/>
      <c r="U85" s="1887"/>
      <c r="V85" s="1887"/>
      <c r="W85" s="1888"/>
    </row>
    <row r="86" spans="1:23" ht="15" hidden="1" customHeight="1">
      <c r="A86" s="4996"/>
      <c r="B86" s="4992"/>
      <c r="C86" s="1886"/>
      <c r="D86" s="1886"/>
      <c r="E86" s="1886"/>
      <c r="F86" s="1887"/>
      <c r="G86" s="1887"/>
      <c r="H86" s="1887"/>
      <c r="I86" s="1887"/>
      <c r="J86" s="1887"/>
      <c r="K86" s="1887"/>
      <c r="L86" s="1887"/>
      <c r="M86" s="1887"/>
      <c r="N86" s="1887"/>
      <c r="O86" s="1887"/>
      <c r="P86" s="1887"/>
      <c r="Q86" s="1887"/>
      <c r="R86" s="1887"/>
      <c r="S86" s="1887"/>
      <c r="T86" s="1887"/>
      <c r="U86" s="1887"/>
      <c r="V86" s="1887"/>
      <c r="W86" s="1888"/>
    </row>
    <row r="87" spans="1:23" ht="15" hidden="1" customHeight="1">
      <c r="A87" s="5008">
        <v>16</v>
      </c>
      <c r="B87" s="4992"/>
      <c r="C87" s="1886"/>
      <c r="D87" s="1886"/>
      <c r="E87" s="1886"/>
      <c r="F87" s="1887"/>
      <c r="G87" s="1887"/>
      <c r="H87" s="1887"/>
      <c r="I87" s="1887"/>
      <c r="J87" s="1887"/>
      <c r="K87" s="1887"/>
      <c r="L87" s="1887"/>
      <c r="M87" s="1887"/>
      <c r="N87" s="1887"/>
      <c r="O87" s="1887"/>
      <c r="P87" s="1887"/>
      <c r="Q87" s="1887"/>
      <c r="R87" s="1887"/>
      <c r="S87" s="1887"/>
      <c r="T87" s="1887"/>
      <c r="U87" s="1887"/>
      <c r="V87" s="1887"/>
      <c r="W87" s="1888"/>
    </row>
    <row r="88" spans="1:23" ht="15" hidden="1" customHeight="1">
      <c r="A88" s="5009"/>
      <c r="B88" s="4992"/>
      <c r="C88" s="1886"/>
      <c r="D88" s="1886"/>
      <c r="E88" s="1886"/>
      <c r="F88" s="1887"/>
      <c r="G88" s="1887"/>
      <c r="H88" s="1887"/>
      <c r="I88" s="1887"/>
      <c r="J88" s="1887"/>
      <c r="K88" s="1887"/>
      <c r="L88" s="1887"/>
      <c r="M88" s="1887"/>
      <c r="N88" s="1887"/>
      <c r="O88" s="1887"/>
      <c r="P88" s="1887"/>
      <c r="Q88" s="1887"/>
      <c r="R88" s="1887"/>
      <c r="S88" s="1887"/>
      <c r="T88" s="1887"/>
      <c r="U88" s="1887"/>
      <c r="V88" s="1887"/>
      <c r="W88" s="1888"/>
    </row>
    <row r="89" spans="1:23" ht="15" hidden="1" customHeight="1">
      <c r="A89" s="5009"/>
      <c r="B89" s="4992"/>
      <c r="C89" s="1886"/>
      <c r="D89" s="1886"/>
      <c r="E89" s="1886"/>
      <c r="F89" s="1887"/>
      <c r="G89" s="1887"/>
      <c r="H89" s="1887"/>
      <c r="I89" s="1887"/>
      <c r="J89" s="1887"/>
      <c r="K89" s="1887"/>
      <c r="L89" s="1887"/>
      <c r="M89" s="1887"/>
      <c r="N89" s="1887"/>
      <c r="O89" s="1887"/>
      <c r="P89" s="1887"/>
      <c r="Q89" s="1887"/>
      <c r="R89" s="1887"/>
      <c r="S89" s="1887"/>
      <c r="T89" s="1887"/>
      <c r="U89" s="1887"/>
      <c r="V89" s="1887"/>
      <c r="W89" s="1888"/>
    </row>
    <row r="90" spans="1:23" ht="15" hidden="1" customHeight="1">
      <c r="A90" s="5009"/>
      <c r="B90" s="4992"/>
      <c r="C90" s="1886"/>
      <c r="D90" s="1886"/>
      <c r="E90" s="1886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887"/>
      <c r="W90" s="1888"/>
    </row>
    <row r="91" spans="1:23" ht="15" hidden="1" customHeight="1">
      <c r="A91" s="4996"/>
      <c r="B91" s="4992"/>
      <c r="C91" s="1886"/>
      <c r="D91" s="1886"/>
      <c r="E91" s="1886"/>
      <c r="F91" s="1887"/>
      <c r="G91" s="1887"/>
      <c r="H91" s="1887"/>
      <c r="I91" s="1887"/>
      <c r="J91" s="1887"/>
      <c r="K91" s="1887"/>
      <c r="L91" s="1887"/>
      <c r="M91" s="1887"/>
      <c r="N91" s="1887"/>
      <c r="O91" s="1887"/>
      <c r="P91" s="1887"/>
      <c r="Q91" s="1887"/>
      <c r="R91" s="1887"/>
      <c r="S91" s="1887"/>
      <c r="T91" s="1887"/>
      <c r="U91" s="1887"/>
      <c r="V91" s="1887"/>
      <c r="W91" s="1888"/>
    </row>
    <row r="92" spans="1:23" ht="15" hidden="1" customHeight="1">
      <c r="A92" s="5008">
        <v>17</v>
      </c>
      <c r="B92" s="4992"/>
      <c r="C92" s="1886"/>
      <c r="D92" s="1886"/>
      <c r="E92" s="1886"/>
      <c r="F92" s="1887"/>
      <c r="G92" s="1887"/>
      <c r="H92" s="1887"/>
      <c r="I92" s="1887"/>
      <c r="J92" s="1887"/>
      <c r="K92" s="1887"/>
      <c r="L92" s="1887"/>
      <c r="M92" s="1887"/>
      <c r="N92" s="1887"/>
      <c r="O92" s="1887"/>
      <c r="P92" s="1887"/>
      <c r="Q92" s="1887"/>
      <c r="R92" s="1887"/>
      <c r="S92" s="1887"/>
      <c r="T92" s="1887"/>
      <c r="U92" s="1887"/>
      <c r="V92" s="1887"/>
      <c r="W92" s="1888"/>
    </row>
    <row r="93" spans="1:23" ht="15" hidden="1" customHeight="1">
      <c r="A93" s="5009"/>
      <c r="B93" s="4992"/>
      <c r="C93" s="1886"/>
      <c r="D93" s="1886"/>
      <c r="E93" s="1886"/>
      <c r="F93" s="1887"/>
      <c r="G93" s="1887"/>
      <c r="H93" s="1887"/>
      <c r="I93" s="1887"/>
      <c r="J93" s="1887"/>
      <c r="K93" s="1887"/>
      <c r="L93" s="1887"/>
      <c r="M93" s="1887"/>
      <c r="N93" s="1887"/>
      <c r="O93" s="1887"/>
      <c r="P93" s="1887"/>
      <c r="Q93" s="1887"/>
      <c r="R93" s="1887"/>
      <c r="S93" s="1887"/>
      <c r="T93" s="1887"/>
      <c r="U93" s="1887"/>
      <c r="V93" s="1887"/>
      <c r="W93" s="1888"/>
    </row>
    <row r="94" spans="1:23" ht="15" hidden="1" customHeight="1">
      <c r="A94" s="5009"/>
      <c r="B94" s="4992"/>
      <c r="C94" s="1886"/>
      <c r="D94" s="1886"/>
      <c r="E94" s="1886"/>
      <c r="F94" s="1887"/>
      <c r="G94" s="1887"/>
      <c r="H94" s="1887"/>
      <c r="I94" s="1887"/>
      <c r="J94" s="1887"/>
      <c r="K94" s="1887"/>
      <c r="L94" s="1887"/>
      <c r="M94" s="1887"/>
      <c r="N94" s="1887"/>
      <c r="O94" s="1887"/>
      <c r="P94" s="1887"/>
      <c r="Q94" s="1887"/>
      <c r="R94" s="1887"/>
      <c r="S94" s="1887"/>
      <c r="T94" s="1887"/>
      <c r="U94" s="1887"/>
      <c r="V94" s="1887"/>
      <c r="W94" s="1888"/>
    </row>
    <row r="95" spans="1:23" ht="15" hidden="1" customHeight="1">
      <c r="A95" s="5009"/>
      <c r="B95" s="4992"/>
      <c r="C95" s="1886"/>
      <c r="D95" s="1886"/>
      <c r="E95" s="1886"/>
      <c r="F95" s="1887"/>
      <c r="G95" s="1887"/>
      <c r="H95" s="1887"/>
      <c r="I95" s="1887"/>
      <c r="J95" s="1887"/>
      <c r="K95" s="1887"/>
      <c r="L95" s="1887"/>
      <c r="M95" s="1887"/>
      <c r="N95" s="1887"/>
      <c r="O95" s="1887"/>
      <c r="P95" s="1887"/>
      <c r="Q95" s="1887"/>
      <c r="R95" s="1887"/>
      <c r="S95" s="1887"/>
      <c r="T95" s="1887"/>
      <c r="U95" s="1887"/>
      <c r="V95" s="1887"/>
      <c r="W95" s="1888"/>
    </row>
    <row r="96" spans="1:23" ht="15" hidden="1" customHeight="1">
      <c r="A96" s="4996"/>
      <c r="B96" s="4992"/>
      <c r="C96" s="1886"/>
      <c r="D96" s="1886"/>
      <c r="E96" s="1886"/>
      <c r="F96" s="1887"/>
      <c r="G96" s="1887"/>
      <c r="H96" s="1887"/>
      <c r="I96" s="1887"/>
      <c r="J96" s="1887"/>
      <c r="K96" s="1887"/>
      <c r="L96" s="1887"/>
      <c r="M96" s="1887"/>
      <c r="N96" s="1887"/>
      <c r="O96" s="1887"/>
      <c r="P96" s="1887"/>
      <c r="Q96" s="1887"/>
      <c r="R96" s="1887"/>
      <c r="S96" s="1887"/>
      <c r="T96" s="1887"/>
      <c r="U96" s="1887"/>
      <c r="V96" s="1887"/>
      <c r="W96" s="1888"/>
    </row>
    <row r="97" spans="1:23" ht="15" hidden="1" customHeight="1">
      <c r="A97" s="5008">
        <v>18</v>
      </c>
      <c r="B97" s="4992"/>
      <c r="C97" s="1886"/>
      <c r="D97" s="1886"/>
      <c r="E97" s="1886"/>
      <c r="F97" s="1887"/>
      <c r="G97" s="1887"/>
      <c r="H97" s="1887"/>
      <c r="I97" s="1887"/>
      <c r="J97" s="1887"/>
      <c r="K97" s="1887"/>
      <c r="L97" s="1887"/>
      <c r="M97" s="1887"/>
      <c r="N97" s="1887"/>
      <c r="O97" s="1887"/>
      <c r="P97" s="1887"/>
      <c r="Q97" s="1887"/>
      <c r="R97" s="1887"/>
      <c r="S97" s="1887"/>
      <c r="T97" s="1887"/>
      <c r="U97" s="1887"/>
      <c r="V97" s="1887"/>
      <c r="W97" s="1888"/>
    </row>
    <row r="98" spans="1:23" ht="15" hidden="1" customHeight="1">
      <c r="A98" s="5009"/>
      <c r="B98" s="4992"/>
      <c r="C98" s="1886"/>
      <c r="D98" s="1886"/>
      <c r="E98" s="1886"/>
      <c r="F98" s="1887"/>
      <c r="G98" s="1887"/>
      <c r="H98" s="1887"/>
      <c r="I98" s="1887"/>
      <c r="J98" s="1887"/>
      <c r="K98" s="1887"/>
      <c r="L98" s="1887"/>
      <c r="M98" s="1887"/>
      <c r="N98" s="1887"/>
      <c r="O98" s="1887"/>
      <c r="P98" s="1887"/>
      <c r="Q98" s="1887"/>
      <c r="R98" s="1887"/>
      <c r="S98" s="1887"/>
      <c r="T98" s="1887"/>
      <c r="U98" s="1887"/>
      <c r="V98" s="1887"/>
      <c r="W98" s="1888"/>
    </row>
    <row r="99" spans="1:23" ht="15" hidden="1" customHeight="1">
      <c r="A99" s="5009"/>
      <c r="B99" s="4992"/>
      <c r="C99" s="1886"/>
      <c r="D99" s="1886"/>
      <c r="E99" s="1886"/>
      <c r="F99" s="1887"/>
      <c r="G99" s="1887"/>
      <c r="H99" s="1887"/>
      <c r="I99" s="1887"/>
      <c r="J99" s="1887"/>
      <c r="K99" s="1887"/>
      <c r="L99" s="1887"/>
      <c r="M99" s="1887"/>
      <c r="N99" s="1887"/>
      <c r="O99" s="1887"/>
      <c r="P99" s="1887"/>
      <c r="Q99" s="1887"/>
      <c r="R99" s="1887"/>
      <c r="S99" s="1887"/>
      <c r="T99" s="1887"/>
      <c r="U99" s="1887"/>
      <c r="V99" s="1887"/>
      <c r="W99" s="1888"/>
    </row>
    <row r="100" spans="1:23" ht="15" hidden="1" customHeight="1">
      <c r="A100" s="5009"/>
      <c r="B100" s="4992"/>
      <c r="C100" s="1886"/>
      <c r="D100" s="1886"/>
      <c r="E100" s="1886"/>
      <c r="F100" s="1887"/>
      <c r="G100" s="1887"/>
      <c r="H100" s="1887"/>
      <c r="I100" s="1887"/>
      <c r="J100" s="1887"/>
      <c r="K100" s="1887"/>
      <c r="L100" s="1887"/>
      <c r="M100" s="1887"/>
      <c r="N100" s="1887"/>
      <c r="O100" s="1887"/>
      <c r="P100" s="1887"/>
      <c r="Q100" s="1887"/>
      <c r="R100" s="1887"/>
      <c r="S100" s="1887"/>
      <c r="T100" s="1887"/>
      <c r="U100" s="1887"/>
      <c r="V100" s="1887"/>
      <c r="W100" s="1888"/>
    </row>
    <row r="101" spans="1:23" ht="15" hidden="1" customHeight="1">
      <c r="A101" s="4996"/>
      <c r="B101" s="4992"/>
      <c r="C101" s="1886"/>
      <c r="D101" s="1886"/>
      <c r="E101" s="1886"/>
      <c r="F101" s="1887"/>
      <c r="G101" s="1887"/>
      <c r="H101" s="1887"/>
      <c r="I101" s="1887"/>
      <c r="J101" s="1887"/>
      <c r="K101" s="1887"/>
      <c r="L101" s="1887"/>
      <c r="M101" s="1887"/>
      <c r="N101" s="1887"/>
      <c r="O101" s="1887"/>
      <c r="P101" s="1887"/>
      <c r="Q101" s="1887"/>
      <c r="R101" s="1887"/>
      <c r="S101" s="1887"/>
      <c r="T101" s="1887"/>
      <c r="U101" s="1887"/>
      <c r="V101" s="1887"/>
      <c r="W101" s="1888"/>
    </row>
    <row r="102" spans="1:23" ht="15" hidden="1" customHeight="1">
      <c r="A102" s="5008">
        <v>19</v>
      </c>
      <c r="B102" s="4992"/>
      <c r="C102" s="1886"/>
      <c r="D102" s="1886"/>
      <c r="E102" s="1886"/>
      <c r="F102" s="1887"/>
      <c r="G102" s="1887"/>
      <c r="H102" s="1887"/>
      <c r="I102" s="1887"/>
      <c r="J102" s="1887"/>
      <c r="K102" s="1887"/>
      <c r="L102" s="1887"/>
      <c r="M102" s="1887"/>
      <c r="N102" s="1887"/>
      <c r="O102" s="1887"/>
      <c r="P102" s="1887"/>
      <c r="Q102" s="1887"/>
      <c r="R102" s="1887"/>
      <c r="S102" s="1887"/>
      <c r="T102" s="1887"/>
      <c r="U102" s="1887"/>
      <c r="V102" s="1887"/>
      <c r="W102" s="1888"/>
    </row>
    <row r="103" spans="1:23" ht="15" hidden="1" customHeight="1">
      <c r="A103" s="5009"/>
      <c r="B103" s="4992"/>
      <c r="C103" s="1886"/>
      <c r="D103" s="1886"/>
      <c r="E103" s="1886"/>
      <c r="F103" s="1887"/>
      <c r="G103" s="1887"/>
      <c r="H103" s="1887"/>
      <c r="I103" s="1887"/>
      <c r="J103" s="1887"/>
      <c r="K103" s="1887"/>
      <c r="L103" s="1887"/>
      <c r="M103" s="1887"/>
      <c r="N103" s="1887"/>
      <c r="O103" s="1887"/>
      <c r="P103" s="1887"/>
      <c r="Q103" s="1887"/>
      <c r="R103" s="1887"/>
      <c r="S103" s="1887"/>
      <c r="T103" s="1887"/>
      <c r="U103" s="1887"/>
      <c r="V103" s="1887"/>
      <c r="W103" s="1888"/>
    </row>
    <row r="104" spans="1:23" ht="15" hidden="1" customHeight="1">
      <c r="A104" s="5009"/>
      <c r="B104" s="4992"/>
      <c r="C104" s="1886"/>
      <c r="D104" s="1886"/>
      <c r="E104" s="1886"/>
      <c r="F104" s="1887"/>
      <c r="G104" s="1887"/>
      <c r="H104" s="1887"/>
      <c r="I104" s="1887"/>
      <c r="J104" s="1887"/>
      <c r="K104" s="1887"/>
      <c r="L104" s="1887"/>
      <c r="M104" s="1887"/>
      <c r="N104" s="1887"/>
      <c r="O104" s="1887"/>
      <c r="P104" s="1887"/>
      <c r="Q104" s="1887"/>
      <c r="R104" s="1887"/>
      <c r="S104" s="1887"/>
      <c r="T104" s="1887"/>
      <c r="U104" s="1887"/>
      <c r="V104" s="1887"/>
      <c r="W104" s="1888"/>
    </row>
    <row r="105" spans="1:23" ht="15" hidden="1" customHeight="1">
      <c r="A105" s="5009"/>
      <c r="B105" s="4992"/>
      <c r="C105" s="1886"/>
      <c r="D105" s="1886"/>
      <c r="E105" s="1886"/>
      <c r="F105" s="1887"/>
      <c r="G105" s="1887"/>
      <c r="H105" s="1887"/>
      <c r="I105" s="1887"/>
      <c r="J105" s="1887"/>
      <c r="K105" s="1887"/>
      <c r="L105" s="1887"/>
      <c r="M105" s="1887"/>
      <c r="N105" s="1887"/>
      <c r="O105" s="1887"/>
      <c r="P105" s="1887"/>
      <c r="Q105" s="1887"/>
      <c r="R105" s="1887"/>
      <c r="S105" s="1887"/>
      <c r="T105" s="1887"/>
      <c r="U105" s="1887"/>
      <c r="V105" s="1887"/>
      <c r="W105" s="1888"/>
    </row>
    <row r="106" spans="1:23" ht="15" hidden="1" customHeight="1">
      <c r="A106" s="4996"/>
      <c r="B106" s="4992"/>
      <c r="C106" s="1886"/>
      <c r="D106" s="1886"/>
      <c r="E106" s="1886"/>
      <c r="F106" s="1887"/>
      <c r="G106" s="1887"/>
      <c r="H106" s="1887"/>
      <c r="I106" s="1887"/>
      <c r="J106" s="1887"/>
      <c r="K106" s="1887"/>
      <c r="L106" s="1887"/>
      <c r="M106" s="1887"/>
      <c r="N106" s="1887"/>
      <c r="O106" s="1887"/>
      <c r="P106" s="1887"/>
      <c r="Q106" s="1887"/>
      <c r="R106" s="1887"/>
      <c r="S106" s="1887"/>
      <c r="T106" s="1887"/>
      <c r="U106" s="1887"/>
      <c r="V106" s="1887"/>
      <c r="W106" s="1888"/>
    </row>
    <row r="107" spans="1:23" ht="15" hidden="1" customHeight="1">
      <c r="A107" s="5008">
        <v>20</v>
      </c>
      <c r="B107" s="4992"/>
      <c r="C107" s="1886"/>
      <c r="D107" s="1886"/>
      <c r="E107" s="1886"/>
      <c r="F107" s="1887"/>
      <c r="G107" s="1887"/>
      <c r="H107" s="1887"/>
      <c r="I107" s="1887"/>
      <c r="J107" s="1887"/>
      <c r="K107" s="1887"/>
      <c r="L107" s="1887"/>
      <c r="M107" s="1887"/>
      <c r="N107" s="1887"/>
      <c r="O107" s="1887"/>
      <c r="P107" s="1887"/>
      <c r="Q107" s="1887"/>
      <c r="R107" s="1887"/>
      <c r="S107" s="1887"/>
      <c r="T107" s="1887"/>
      <c r="U107" s="1887"/>
      <c r="V107" s="1887"/>
      <c r="W107" s="1888"/>
    </row>
    <row r="108" spans="1:23" ht="15" hidden="1" customHeight="1">
      <c r="A108" s="5009"/>
      <c r="B108" s="4992"/>
      <c r="C108" s="1886"/>
      <c r="D108" s="1886"/>
      <c r="E108" s="1886"/>
      <c r="F108" s="1887"/>
      <c r="G108" s="1887"/>
      <c r="H108" s="1887"/>
      <c r="I108" s="1887"/>
      <c r="J108" s="1887"/>
      <c r="K108" s="1887"/>
      <c r="L108" s="1887"/>
      <c r="M108" s="1887"/>
      <c r="N108" s="1887"/>
      <c r="O108" s="1887"/>
      <c r="P108" s="1887"/>
      <c r="Q108" s="1887"/>
      <c r="R108" s="1887"/>
      <c r="S108" s="1887"/>
      <c r="T108" s="1887"/>
      <c r="U108" s="1887"/>
      <c r="V108" s="1887"/>
      <c r="W108" s="1888"/>
    </row>
    <row r="109" spans="1:23" ht="15" hidden="1" customHeight="1">
      <c r="A109" s="5009"/>
      <c r="B109" s="4992"/>
      <c r="C109" s="1886"/>
      <c r="D109" s="1886"/>
      <c r="E109" s="1886"/>
      <c r="F109" s="1887"/>
      <c r="G109" s="1887"/>
      <c r="H109" s="1887"/>
      <c r="I109" s="1887"/>
      <c r="J109" s="1887"/>
      <c r="K109" s="1887"/>
      <c r="L109" s="1887"/>
      <c r="M109" s="1887"/>
      <c r="N109" s="1887"/>
      <c r="O109" s="1887"/>
      <c r="P109" s="1887"/>
      <c r="Q109" s="1887"/>
      <c r="R109" s="1887"/>
      <c r="S109" s="1887"/>
      <c r="T109" s="1887"/>
      <c r="U109" s="1887"/>
      <c r="V109" s="1887"/>
      <c r="W109" s="1888"/>
    </row>
    <row r="110" spans="1:23" ht="15" hidden="1" customHeight="1">
      <c r="A110" s="5009"/>
      <c r="B110" s="4992"/>
      <c r="C110" s="1886"/>
      <c r="D110" s="1886"/>
      <c r="E110" s="1886"/>
      <c r="F110" s="1887"/>
      <c r="G110" s="1887"/>
      <c r="H110" s="1887"/>
      <c r="I110" s="1887"/>
      <c r="J110" s="1887"/>
      <c r="K110" s="1887"/>
      <c r="L110" s="1887"/>
      <c r="M110" s="1887"/>
      <c r="N110" s="1887"/>
      <c r="O110" s="1887"/>
      <c r="P110" s="1887"/>
      <c r="Q110" s="1887"/>
      <c r="R110" s="1887"/>
      <c r="S110" s="1887"/>
      <c r="T110" s="1887"/>
      <c r="U110" s="1887"/>
      <c r="V110" s="1887"/>
      <c r="W110" s="1888"/>
    </row>
    <row r="111" spans="1:23" ht="15" hidden="1" customHeight="1">
      <c r="A111" s="4996"/>
      <c r="B111" s="4992"/>
      <c r="C111" s="1886"/>
      <c r="D111" s="1886"/>
      <c r="E111" s="1886"/>
      <c r="F111" s="1887"/>
      <c r="G111" s="1887"/>
      <c r="H111" s="1887"/>
      <c r="I111" s="1887"/>
      <c r="J111" s="1887"/>
      <c r="K111" s="1887"/>
      <c r="L111" s="1887"/>
      <c r="M111" s="1887"/>
      <c r="N111" s="1887"/>
      <c r="O111" s="1887"/>
      <c r="P111" s="1887"/>
      <c r="Q111" s="1887"/>
      <c r="R111" s="1887"/>
      <c r="S111" s="1887"/>
      <c r="T111" s="1887"/>
      <c r="U111" s="1887"/>
      <c r="V111" s="1887"/>
      <c r="W111" s="1888"/>
    </row>
    <row r="112" spans="1:23" ht="15" hidden="1" customHeight="1">
      <c r="A112" s="5008">
        <v>21</v>
      </c>
      <c r="B112" s="4992"/>
      <c r="C112" s="1886"/>
      <c r="D112" s="1886"/>
      <c r="E112" s="1886"/>
      <c r="F112" s="1887"/>
      <c r="G112" s="1887"/>
      <c r="H112" s="1887"/>
      <c r="I112" s="1887"/>
      <c r="J112" s="1887"/>
      <c r="K112" s="1887"/>
      <c r="L112" s="1887"/>
      <c r="M112" s="1887"/>
      <c r="N112" s="1887"/>
      <c r="O112" s="1887"/>
      <c r="P112" s="1887"/>
      <c r="Q112" s="1887"/>
      <c r="R112" s="1887"/>
      <c r="S112" s="1887"/>
      <c r="T112" s="1887"/>
      <c r="U112" s="1887"/>
      <c r="V112" s="1887"/>
      <c r="W112" s="1888"/>
    </row>
    <row r="113" spans="1:23" ht="15" hidden="1" customHeight="1">
      <c r="A113" s="5009"/>
      <c r="B113" s="4992"/>
      <c r="C113" s="1886"/>
      <c r="D113" s="1886"/>
      <c r="E113" s="1886"/>
      <c r="F113" s="1887"/>
      <c r="G113" s="1887"/>
      <c r="H113" s="1887"/>
      <c r="I113" s="1887"/>
      <c r="J113" s="1887"/>
      <c r="K113" s="1887"/>
      <c r="L113" s="1887"/>
      <c r="M113" s="1887"/>
      <c r="N113" s="1887"/>
      <c r="O113" s="1887"/>
      <c r="P113" s="1887"/>
      <c r="Q113" s="1887"/>
      <c r="R113" s="1887"/>
      <c r="S113" s="1887"/>
      <c r="T113" s="1887"/>
      <c r="U113" s="1887"/>
      <c r="V113" s="1887"/>
      <c r="W113" s="1888"/>
    </row>
    <row r="114" spans="1:23" ht="15" hidden="1" customHeight="1">
      <c r="A114" s="5009"/>
      <c r="B114" s="4992"/>
      <c r="C114" s="1886"/>
      <c r="D114" s="1886"/>
      <c r="E114" s="1886"/>
      <c r="F114" s="1887"/>
      <c r="G114" s="1887"/>
      <c r="H114" s="1887"/>
      <c r="I114" s="1887"/>
      <c r="J114" s="1887"/>
      <c r="K114" s="1887"/>
      <c r="L114" s="1887"/>
      <c r="M114" s="1887"/>
      <c r="N114" s="1887"/>
      <c r="O114" s="1887"/>
      <c r="P114" s="1887"/>
      <c r="Q114" s="1887"/>
      <c r="R114" s="1887"/>
      <c r="S114" s="1887"/>
      <c r="T114" s="1887"/>
      <c r="U114" s="1887"/>
      <c r="V114" s="1887"/>
      <c r="W114" s="1888"/>
    </row>
    <row r="115" spans="1:23" ht="15" hidden="1" customHeight="1">
      <c r="A115" s="5009"/>
      <c r="B115" s="4992"/>
      <c r="C115" s="1886"/>
      <c r="D115" s="1886"/>
      <c r="E115" s="1886"/>
      <c r="F115" s="1887"/>
      <c r="G115" s="1887"/>
      <c r="H115" s="1887"/>
      <c r="I115" s="1887"/>
      <c r="J115" s="1887"/>
      <c r="K115" s="1887"/>
      <c r="L115" s="1887"/>
      <c r="M115" s="1887"/>
      <c r="N115" s="1887"/>
      <c r="O115" s="1887"/>
      <c r="P115" s="1887"/>
      <c r="Q115" s="1887"/>
      <c r="R115" s="1887"/>
      <c r="S115" s="1887"/>
      <c r="T115" s="1887"/>
      <c r="U115" s="1887"/>
      <c r="V115" s="1887"/>
      <c r="W115" s="1888"/>
    </row>
    <row r="116" spans="1:23" ht="15" hidden="1" customHeight="1">
      <c r="A116" s="4996"/>
      <c r="B116" s="4992"/>
      <c r="C116" s="1886"/>
      <c r="D116" s="1886"/>
      <c r="E116" s="1886"/>
      <c r="F116" s="1887"/>
      <c r="G116" s="1887"/>
      <c r="H116" s="1887"/>
      <c r="I116" s="1887"/>
      <c r="J116" s="1887"/>
      <c r="K116" s="1887"/>
      <c r="L116" s="1887"/>
      <c r="M116" s="1887"/>
      <c r="N116" s="1887"/>
      <c r="O116" s="1887"/>
      <c r="P116" s="1887"/>
      <c r="Q116" s="1887"/>
      <c r="R116" s="1887"/>
      <c r="S116" s="1887"/>
      <c r="T116" s="1887"/>
      <c r="U116" s="1887"/>
      <c r="V116" s="1887"/>
      <c r="W116" s="1888"/>
    </row>
    <row r="117" spans="1:23" ht="15" hidden="1" customHeight="1">
      <c r="A117" s="5008">
        <v>22</v>
      </c>
      <c r="B117" s="4992"/>
      <c r="C117" s="1886"/>
      <c r="D117" s="1886"/>
      <c r="E117" s="1886"/>
      <c r="F117" s="1887"/>
      <c r="G117" s="1887"/>
      <c r="H117" s="1887"/>
      <c r="I117" s="1887"/>
      <c r="J117" s="1887"/>
      <c r="K117" s="1887"/>
      <c r="L117" s="1887"/>
      <c r="M117" s="1887"/>
      <c r="N117" s="1887"/>
      <c r="O117" s="1887"/>
      <c r="P117" s="1887"/>
      <c r="Q117" s="1887"/>
      <c r="R117" s="1887"/>
      <c r="S117" s="1887"/>
      <c r="T117" s="1887"/>
      <c r="U117" s="1887"/>
      <c r="V117" s="1887"/>
      <c r="W117" s="1888"/>
    </row>
    <row r="118" spans="1:23" ht="15" hidden="1" customHeight="1">
      <c r="A118" s="5009"/>
      <c r="B118" s="4992"/>
      <c r="C118" s="1886"/>
      <c r="D118" s="1886"/>
      <c r="E118" s="1886"/>
      <c r="F118" s="1887"/>
      <c r="G118" s="1887"/>
      <c r="H118" s="1887"/>
      <c r="I118" s="1887"/>
      <c r="J118" s="1887"/>
      <c r="K118" s="1887"/>
      <c r="L118" s="1887"/>
      <c r="M118" s="1887"/>
      <c r="N118" s="1887"/>
      <c r="O118" s="1887"/>
      <c r="P118" s="1887"/>
      <c r="Q118" s="1887"/>
      <c r="R118" s="1887"/>
      <c r="S118" s="1887"/>
      <c r="T118" s="1887"/>
      <c r="U118" s="1887"/>
      <c r="V118" s="1887"/>
      <c r="W118" s="1888"/>
    </row>
    <row r="119" spans="1:23" ht="15" hidden="1" customHeight="1">
      <c r="A119" s="5009"/>
      <c r="B119" s="4992"/>
      <c r="C119" s="1886"/>
      <c r="D119" s="1886"/>
      <c r="E119" s="1886"/>
      <c r="F119" s="1887"/>
      <c r="G119" s="1887"/>
      <c r="H119" s="1887"/>
      <c r="I119" s="1887"/>
      <c r="J119" s="1887"/>
      <c r="K119" s="1887"/>
      <c r="L119" s="1887"/>
      <c r="M119" s="1887"/>
      <c r="N119" s="1887"/>
      <c r="O119" s="1887"/>
      <c r="P119" s="1887"/>
      <c r="Q119" s="1887"/>
      <c r="R119" s="1887"/>
      <c r="S119" s="1887"/>
      <c r="T119" s="1887"/>
      <c r="U119" s="1887"/>
      <c r="V119" s="1887"/>
      <c r="W119" s="1888"/>
    </row>
    <row r="120" spans="1:23" ht="15" hidden="1" customHeight="1">
      <c r="A120" s="5009"/>
      <c r="B120" s="4992"/>
      <c r="C120" s="1886"/>
      <c r="D120" s="1886"/>
      <c r="E120" s="1886"/>
      <c r="F120" s="1887"/>
      <c r="G120" s="1887"/>
      <c r="H120" s="1887"/>
      <c r="I120" s="1887"/>
      <c r="J120" s="1887"/>
      <c r="K120" s="1887"/>
      <c r="L120" s="1887"/>
      <c r="M120" s="1887"/>
      <c r="N120" s="1887"/>
      <c r="O120" s="1887"/>
      <c r="P120" s="1887"/>
      <c r="Q120" s="1887"/>
      <c r="R120" s="1887"/>
      <c r="S120" s="1887"/>
      <c r="T120" s="1887"/>
      <c r="U120" s="1887"/>
      <c r="V120" s="1887"/>
      <c r="W120" s="1888"/>
    </row>
    <row r="121" spans="1:23" ht="16.5" hidden="1">
      <c r="A121" s="4996"/>
      <c r="B121" s="4992"/>
      <c r="C121" s="1886"/>
      <c r="D121" s="1886"/>
      <c r="E121" s="1886"/>
      <c r="F121" s="1887"/>
      <c r="G121" s="1887"/>
      <c r="H121" s="1887"/>
      <c r="I121" s="1887"/>
      <c r="J121" s="1887"/>
      <c r="K121" s="1887"/>
      <c r="L121" s="1887"/>
      <c r="M121" s="1887"/>
      <c r="N121" s="1887"/>
      <c r="O121" s="1887"/>
      <c r="P121" s="1887"/>
      <c r="Q121" s="1887"/>
      <c r="R121" s="1887"/>
      <c r="S121" s="1887"/>
      <c r="T121" s="1887"/>
      <c r="U121" s="1887"/>
      <c r="V121" s="1887"/>
      <c r="W121" s="1888"/>
    </row>
    <row r="122" spans="1:23" ht="16.5">
      <c r="S122" s="4993" t="s">
        <v>1114</v>
      </c>
      <c r="T122" s="4993"/>
      <c r="U122" s="4993"/>
      <c r="V122" s="4993"/>
      <c r="W122" s="4993"/>
    </row>
    <row r="123" spans="1:23" ht="17.25" customHeight="1">
      <c r="A123" s="1889" t="s">
        <v>1108</v>
      </c>
      <c r="C123" s="1889"/>
      <c r="D123" s="1889"/>
      <c r="E123" s="1889"/>
      <c r="H123" s="4963" t="s">
        <v>1109</v>
      </c>
      <c r="I123" s="4963"/>
      <c r="J123" s="4963"/>
      <c r="K123" s="4963"/>
      <c r="L123" s="1890"/>
      <c r="M123" s="1890"/>
      <c r="N123" s="1890"/>
      <c r="O123" s="4963" t="s">
        <v>1110</v>
      </c>
      <c r="P123" s="4963"/>
      <c r="Q123" s="4963"/>
      <c r="R123" s="4963"/>
      <c r="S123" s="4963"/>
      <c r="T123" s="1890"/>
      <c r="U123" s="4963" t="s">
        <v>162</v>
      </c>
      <c r="V123" s="4963"/>
      <c r="W123" s="4963"/>
    </row>
    <row r="124" spans="1:23" ht="17.25" customHeight="1">
      <c r="B124" s="1891" t="s">
        <v>113</v>
      </c>
      <c r="C124" s="1891" t="s">
        <v>1112</v>
      </c>
      <c r="D124" s="1891"/>
      <c r="E124" s="1889"/>
    </row>
    <row r="125" spans="1:23" ht="17.25" customHeight="1">
      <c r="B125" s="1891" t="s">
        <v>113</v>
      </c>
      <c r="C125" s="1891" t="s">
        <v>52</v>
      </c>
      <c r="D125" s="1891"/>
      <c r="E125" s="1889"/>
      <c r="G125" s="1898"/>
      <c r="H125" s="1898"/>
      <c r="I125" s="1898"/>
      <c r="J125" s="1898"/>
      <c r="K125" s="1898"/>
      <c r="L125" s="1898"/>
      <c r="M125" s="1898"/>
      <c r="N125" s="1898"/>
      <c r="O125" s="1898"/>
      <c r="P125" s="1898"/>
      <c r="Q125" s="1898"/>
      <c r="R125" s="1898"/>
      <c r="S125" s="1898"/>
      <c r="T125" s="1898"/>
      <c r="U125" s="1898"/>
      <c r="V125" s="1898"/>
      <c r="W125" s="1898"/>
    </row>
    <row r="126" spans="1:23" ht="17.25" customHeight="1">
      <c r="B126" s="1891" t="s">
        <v>113</v>
      </c>
      <c r="C126" s="1891" t="s">
        <v>92</v>
      </c>
      <c r="D126" s="1891"/>
      <c r="E126" s="1889"/>
      <c r="G126" s="1898"/>
      <c r="H126" s="1898"/>
      <c r="I126" s="1898"/>
      <c r="J126" s="1898"/>
      <c r="K126" s="1898"/>
      <c r="L126" s="1898"/>
      <c r="M126" s="1898"/>
      <c r="N126" s="1898"/>
      <c r="O126" s="1898"/>
      <c r="P126" s="1898"/>
      <c r="Q126" s="1898"/>
      <c r="R126" s="1898"/>
      <c r="S126" s="1898"/>
      <c r="T126" s="1898"/>
      <c r="U126" s="1898"/>
      <c r="V126" s="1898"/>
      <c r="W126" s="1898"/>
    </row>
    <row r="127" spans="1:23" ht="17.25" customHeight="1">
      <c r="B127" s="1891" t="s">
        <v>113</v>
      </c>
      <c r="C127" s="1891" t="s">
        <v>53</v>
      </c>
      <c r="D127" s="1891"/>
      <c r="E127" s="1889"/>
      <c r="G127" s="1898"/>
      <c r="H127" s="1898"/>
      <c r="I127" s="1898"/>
      <c r="J127" s="1898"/>
      <c r="K127" s="1898"/>
      <c r="L127" s="1898"/>
      <c r="M127" s="1898"/>
      <c r="N127" s="1898"/>
      <c r="O127" s="1898"/>
      <c r="P127" s="1898"/>
      <c r="Q127" s="1898"/>
      <c r="R127" s="1898"/>
      <c r="S127" s="1898"/>
      <c r="T127" s="1898"/>
      <c r="U127" s="1898"/>
      <c r="V127" s="1898"/>
      <c r="W127" s="1898"/>
    </row>
    <row r="128" spans="1:23" ht="17.25" customHeight="1">
      <c r="B128" s="1891" t="s">
        <v>113</v>
      </c>
      <c r="C128" s="1891" t="s">
        <v>93</v>
      </c>
      <c r="D128" s="1891"/>
      <c r="E128" s="1889"/>
      <c r="G128" s="1898"/>
      <c r="H128" s="1898"/>
      <c r="I128" s="1898"/>
      <c r="J128" s="1898"/>
      <c r="K128" s="1898"/>
      <c r="L128" s="1898"/>
      <c r="M128" s="1898"/>
      <c r="N128" s="1898"/>
      <c r="O128" s="1898"/>
      <c r="P128" s="1898"/>
      <c r="Q128" s="1898"/>
      <c r="R128" s="1898"/>
      <c r="S128" s="1898"/>
      <c r="T128" s="1898"/>
      <c r="U128" s="1898"/>
      <c r="V128" s="1898"/>
      <c r="W128" s="1898"/>
    </row>
    <row r="129" spans="1:23" ht="17.25" customHeight="1">
      <c r="B129" s="4995" t="s">
        <v>21</v>
      </c>
      <c r="C129" s="4995"/>
      <c r="D129" s="1892"/>
      <c r="E129" s="1889"/>
      <c r="G129" s="1898"/>
      <c r="H129" s="1898"/>
      <c r="I129" s="1898"/>
      <c r="J129" s="1898"/>
      <c r="K129" s="1898"/>
      <c r="L129" s="1898"/>
      <c r="M129" s="1898"/>
      <c r="N129" s="1898"/>
      <c r="O129" s="1898"/>
      <c r="P129" s="1898"/>
      <c r="Q129" s="1898"/>
      <c r="R129" s="1898"/>
      <c r="S129" s="1898"/>
      <c r="T129" s="1898"/>
      <c r="U129" s="1898"/>
      <c r="V129" s="1898"/>
      <c r="W129" s="1898"/>
    </row>
    <row r="130" spans="1:23" s="1894" customFormat="1" ht="16.5">
      <c r="A130" s="4991"/>
      <c r="B130" s="4991"/>
      <c r="C130" s="4991"/>
      <c r="D130" s="4991"/>
      <c r="E130" s="4991"/>
      <c r="F130" s="4991"/>
      <c r="G130" s="1893"/>
      <c r="H130" s="1893"/>
      <c r="I130" s="1893"/>
      <c r="J130" s="4991"/>
      <c r="K130" s="4991"/>
      <c r="L130" s="4991"/>
      <c r="M130" s="4991"/>
      <c r="N130" s="4991"/>
      <c r="O130" s="4991"/>
      <c r="P130" s="1893"/>
      <c r="Q130" s="1893"/>
      <c r="R130" s="1893"/>
      <c r="S130" s="1893"/>
      <c r="T130" s="1893"/>
      <c r="U130" s="4991"/>
      <c r="V130" s="4991"/>
      <c r="W130" s="4991"/>
    </row>
    <row r="131" spans="1:23" ht="17.25" customHeight="1"/>
  </sheetData>
  <mergeCells count="82">
    <mergeCell ref="W32:W36"/>
    <mergeCell ref="W37:W41"/>
    <mergeCell ref="W42:W46"/>
    <mergeCell ref="O1:W1"/>
    <mergeCell ref="O2:W2"/>
    <mergeCell ref="R8:R9"/>
    <mergeCell ref="S8:S9"/>
    <mergeCell ref="T8:T9"/>
    <mergeCell ref="U8:U9"/>
    <mergeCell ref="V8:V9"/>
    <mergeCell ref="W7:W11"/>
    <mergeCell ref="A5:W5"/>
    <mergeCell ref="V6:W6"/>
    <mergeCell ref="A1:J1"/>
    <mergeCell ref="A2:J2"/>
    <mergeCell ref="A3:J3"/>
    <mergeCell ref="A130:F130"/>
    <mergeCell ref="J130:O130"/>
    <mergeCell ref="A97:A101"/>
    <mergeCell ref="B97:B101"/>
    <mergeCell ref="A102:A106"/>
    <mergeCell ref="B102:B106"/>
    <mergeCell ref="A107:A111"/>
    <mergeCell ref="B107:B111"/>
    <mergeCell ref="A82:A86"/>
    <mergeCell ref="B82:B86"/>
    <mergeCell ref="A87:A91"/>
    <mergeCell ref="B87:B91"/>
    <mergeCell ref="U130:W130"/>
    <mergeCell ref="A112:A116"/>
    <mergeCell ref="B112:B116"/>
    <mergeCell ref="A117:A121"/>
    <mergeCell ref="B117:B121"/>
    <mergeCell ref="S122:W122"/>
    <mergeCell ref="U123:W123"/>
    <mergeCell ref="O123:S123"/>
    <mergeCell ref="H123:K123"/>
    <mergeCell ref="A92:A96"/>
    <mergeCell ref="B92:B96"/>
    <mergeCell ref="B129:C129"/>
    <mergeCell ref="A72:A76"/>
    <mergeCell ref="B72:B76"/>
    <mergeCell ref="A77:A81"/>
    <mergeCell ref="B77:B81"/>
    <mergeCell ref="A62:A66"/>
    <mergeCell ref="B62:B66"/>
    <mergeCell ref="A67:A71"/>
    <mergeCell ref="B67:B71"/>
    <mergeCell ref="A52:A56"/>
    <mergeCell ref="B52:B56"/>
    <mergeCell ref="A57:A61"/>
    <mergeCell ref="B57:B61"/>
    <mergeCell ref="A42:A46"/>
    <mergeCell ref="B42:B46"/>
    <mergeCell ref="A47:A51"/>
    <mergeCell ref="B47:B51"/>
    <mergeCell ref="A32:A36"/>
    <mergeCell ref="B32:B36"/>
    <mergeCell ref="A37:A41"/>
    <mergeCell ref="B37:B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F8:F9"/>
    <mergeCell ref="G8:H8"/>
    <mergeCell ref="I8:J8"/>
    <mergeCell ref="K8:M8"/>
    <mergeCell ref="N8:Q8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C1" workbookViewId="0">
      <selection activeCell="J53" sqref="J5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686" t="s">
        <v>165</v>
      </c>
      <c r="G1" s="4686"/>
      <c r="H1" s="4686"/>
      <c r="I1" s="4686"/>
    </row>
    <row r="2" spans="1:9">
      <c r="A2" s="4686" t="s">
        <v>236</v>
      </c>
      <c r="B2" s="4686"/>
      <c r="C2" s="548"/>
      <c r="D2" s="548"/>
      <c r="F2" s="4686"/>
      <c r="G2" s="4686"/>
      <c r="H2" s="4686"/>
      <c r="I2" s="4686"/>
    </row>
    <row r="3" spans="1:9">
      <c r="A3" s="4686" t="s">
        <v>508</v>
      </c>
      <c r="B3" s="4686"/>
      <c r="C3" s="4686"/>
      <c r="D3" s="4686"/>
      <c r="E3" s="4686"/>
      <c r="F3" s="4686"/>
      <c r="G3" s="4686"/>
      <c r="H3" s="4686"/>
      <c r="I3" s="4686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600</v>
      </c>
      <c r="C26" s="566"/>
      <c r="D26" s="567"/>
      <c r="E26" s="555">
        <v>1997</v>
      </c>
      <c r="F26" s="555" t="s">
        <v>601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9" sqref="K9"/>
    </sheetView>
  </sheetViews>
  <sheetFormatPr defaultColWidth="9" defaultRowHeight="15"/>
  <cols>
    <col min="1" max="1" width="5.375" style="289" customWidth="1"/>
    <col min="2" max="2" width="25.375" style="289" customWidth="1"/>
    <col min="3" max="3" width="24.875" style="29" customWidth="1"/>
    <col min="4" max="4" width="23.375" style="29" customWidth="1"/>
    <col min="5" max="5" width="16.375" style="29" customWidth="1"/>
    <col min="6" max="7" width="17.125" style="29" customWidth="1"/>
    <col min="8" max="16384" width="9" style="599"/>
  </cols>
  <sheetData>
    <row r="1" spans="1:11" ht="15.75">
      <c r="A1" s="4155" t="s">
        <v>165</v>
      </c>
      <c r="B1" s="4155"/>
      <c r="C1" s="4155"/>
      <c r="D1" s="4155"/>
      <c r="E1" s="4155"/>
      <c r="F1" s="4155"/>
      <c r="G1" s="4155"/>
      <c r="H1" s="40"/>
      <c r="I1" s="40"/>
      <c r="J1" s="40"/>
      <c r="K1" s="40"/>
    </row>
    <row r="2" spans="1:11" ht="15.75">
      <c r="A2" s="4666" t="s">
        <v>299</v>
      </c>
      <c r="B2" s="4666"/>
      <c r="C2" s="4666"/>
      <c r="D2" s="4666"/>
      <c r="E2" s="4666"/>
      <c r="F2" s="4666"/>
      <c r="G2" s="4666"/>
      <c r="H2" s="42"/>
      <c r="I2" s="42"/>
      <c r="J2" s="42"/>
      <c r="K2" s="42"/>
    </row>
    <row r="3" spans="1:11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.75">
      <c r="A4" s="4666" t="s">
        <v>540</v>
      </c>
      <c r="B4" s="4666"/>
      <c r="C4" s="4666"/>
      <c r="D4" s="40"/>
      <c r="E4" s="40"/>
      <c r="F4" s="40"/>
      <c r="G4" s="42"/>
      <c r="H4" s="42"/>
      <c r="I4" s="42"/>
      <c r="J4" s="42"/>
      <c r="K4" s="42"/>
    </row>
    <row r="5" spans="1:11" ht="15.75">
      <c r="A5" s="4480" t="s">
        <v>541</v>
      </c>
      <c r="B5" s="4480"/>
      <c r="C5" s="4480"/>
      <c r="D5" s="42"/>
      <c r="E5" s="42"/>
      <c r="F5" s="42"/>
      <c r="G5" s="42"/>
      <c r="H5" s="42"/>
      <c r="I5" s="42"/>
      <c r="J5" s="42"/>
      <c r="K5" s="42"/>
    </row>
    <row r="6" spans="1:11" ht="6" customHeight="1">
      <c r="G6" s="600"/>
    </row>
    <row r="7" spans="1:11" ht="18.75">
      <c r="A7" s="3951" t="s">
        <v>679</v>
      </c>
      <c r="B7" s="3951"/>
      <c r="C7" s="3951"/>
      <c r="D7" s="3951"/>
      <c r="E7" s="3951"/>
      <c r="F7" s="3951"/>
      <c r="G7" s="3951"/>
    </row>
    <row r="8" spans="1:11" ht="9" customHeight="1"/>
    <row r="9" spans="1:11" ht="24.75" customHeight="1">
      <c r="A9" s="4509" t="s">
        <v>1</v>
      </c>
      <c r="B9" s="4705" t="s">
        <v>509</v>
      </c>
      <c r="C9" s="4509" t="s">
        <v>543</v>
      </c>
      <c r="D9" s="4705" t="s">
        <v>668</v>
      </c>
      <c r="E9" s="4705" t="s">
        <v>612</v>
      </c>
      <c r="F9" s="4705" t="s">
        <v>546</v>
      </c>
      <c r="G9" s="4509" t="s">
        <v>345</v>
      </c>
    </row>
    <row r="10" spans="1:11" ht="24.75" customHeight="1">
      <c r="A10" s="4509"/>
      <c r="B10" s="4706"/>
      <c r="C10" s="4509"/>
      <c r="D10" s="4706"/>
      <c r="E10" s="4706"/>
      <c r="F10" s="4706"/>
      <c r="G10" s="4509"/>
    </row>
    <row r="11" spans="1:11" ht="16.5" customHeight="1">
      <c r="A11" s="685">
        <v>1</v>
      </c>
      <c r="B11" s="686" t="s">
        <v>336</v>
      </c>
      <c r="C11" s="686" t="s">
        <v>680</v>
      </c>
      <c r="D11" s="604">
        <v>150000</v>
      </c>
      <c r="E11" s="604">
        <f>+D11</f>
        <v>150000</v>
      </c>
      <c r="F11" s="685"/>
      <c r="G11" s="685"/>
    </row>
    <row r="12" spans="1:11" ht="16.5" customHeight="1">
      <c r="A12" s="682">
        <v>2</v>
      </c>
      <c r="B12" s="607" t="s">
        <v>337</v>
      </c>
      <c r="C12" s="607" t="s">
        <v>681</v>
      </c>
      <c r="D12" s="609">
        <v>150000</v>
      </c>
      <c r="E12" s="609">
        <f t="shared" ref="E12:E17" si="0">+D12</f>
        <v>150000</v>
      </c>
      <c r="F12" s="610"/>
      <c r="G12" s="611"/>
    </row>
    <row r="13" spans="1:11" ht="16.5" customHeight="1">
      <c r="A13" s="682">
        <v>3</v>
      </c>
      <c r="B13" s="607" t="s">
        <v>277</v>
      </c>
      <c r="C13" s="607" t="s">
        <v>162</v>
      </c>
      <c r="D13" s="609">
        <v>150000</v>
      </c>
      <c r="E13" s="609">
        <f t="shared" si="0"/>
        <v>150000</v>
      </c>
      <c r="F13" s="610"/>
      <c r="G13" s="611"/>
    </row>
    <row r="14" spans="1:11" ht="16.5" customHeight="1">
      <c r="A14" s="682">
        <v>4</v>
      </c>
      <c r="B14" s="607" t="s">
        <v>96</v>
      </c>
      <c r="C14" s="607" t="s">
        <v>162</v>
      </c>
      <c r="D14" s="609">
        <v>150000</v>
      </c>
      <c r="E14" s="609">
        <f t="shared" si="0"/>
        <v>150000</v>
      </c>
      <c r="F14" s="610"/>
      <c r="G14" s="611"/>
    </row>
    <row r="15" spans="1:11" ht="16.5" customHeight="1">
      <c r="A15" s="682">
        <v>5</v>
      </c>
      <c r="B15" s="607" t="s">
        <v>638</v>
      </c>
      <c r="C15" s="607" t="s">
        <v>682</v>
      </c>
      <c r="D15" s="609">
        <v>150000</v>
      </c>
      <c r="E15" s="609">
        <f t="shared" si="0"/>
        <v>150000</v>
      </c>
      <c r="F15" s="610"/>
      <c r="G15" s="611"/>
    </row>
    <row r="16" spans="1:11" ht="16.5" customHeight="1">
      <c r="A16" s="687">
        <v>6</v>
      </c>
      <c r="B16" s="607" t="s">
        <v>341</v>
      </c>
      <c r="C16" s="607" t="s">
        <v>162</v>
      </c>
      <c r="D16" s="609">
        <v>150000</v>
      </c>
      <c r="E16" s="609">
        <f t="shared" si="0"/>
        <v>150000</v>
      </c>
      <c r="F16" s="610"/>
      <c r="G16" s="611"/>
    </row>
    <row r="17" spans="1:7" ht="16.5" customHeight="1">
      <c r="A17" s="688">
        <v>7</v>
      </c>
      <c r="B17" s="689" t="s">
        <v>97</v>
      </c>
      <c r="C17" s="689" t="s">
        <v>99</v>
      </c>
      <c r="D17" s="690">
        <v>150000</v>
      </c>
      <c r="E17" s="690">
        <f t="shared" si="0"/>
        <v>150000</v>
      </c>
      <c r="F17" s="691"/>
      <c r="G17" s="692"/>
    </row>
    <row r="18" spans="1:7" ht="17.100000000000001" customHeight="1">
      <c r="A18" s="5018" t="s">
        <v>21</v>
      </c>
      <c r="B18" s="5018"/>
      <c r="C18" s="5018"/>
      <c r="D18" s="615">
        <f>SUM(D11:D17)</f>
        <v>1050000</v>
      </c>
      <c r="E18" s="615">
        <f>SUM(E11:E17)</f>
        <v>1050000</v>
      </c>
      <c r="F18" s="615"/>
      <c r="G18" s="614"/>
    </row>
    <row r="19" spans="1:7" ht="18.75" customHeight="1">
      <c r="C19" s="4703" t="s">
        <v>683</v>
      </c>
      <c r="D19" s="4703"/>
      <c r="E19" s="4703"/>
      <c r="F19" s="4703"/>
    </row>
    <row r="20" spans="1:7" ht="16.5">
      <c r="A20" s="157"/>
      <c r="B20" s="157"/>
      <c r="C20" s="157"/>
      <c r="D20" s="283"/>
      <c r="E20" s="4699" t="s">
        <v>678</v>
      </c>
      <c r="F20" s="4699"/>
      <c r="G20" s="4699"/>
    </row>
    <row r="21" spans="1:7" ht="15" customHeight="1">
      <c r="A21" s="4700" t="s">
        <v>46</v>
      </c>
      <c r="B21" s="4700"/>
      <c r="C21" s="10" t="s">
        <v>567</v>
      </c>
      <c r="D21" s="10" t="s">
        <v>567</v>
      </c>
      <c r="E21" s="4700" t="s">
        <v>167</v>
      </c>
      <c r="F21" s="4700"/>
      <c r="G21" s="10" t="s">
        <v>42</v>
      </c>
    </row>
    <row r="27" spans="1:7">
      <c r="E27" s="4694" t="s">
        <v>336</v>
      </c>
      <c r="F27" s="4694"/>
      <c r="G27" s="598" t="s">
        <v>337</v>
      </c>
    </row>
  </sheetData>
  <mergeCells count="18">
    <mergeCell ref="E20:G20"/>
    <mergeCell ref="A21:B21"/>
    <mergeCell ref="E21:F21"/>
    <mergeCell ref="E27:F27"/>
    <mergeCell ref="D9:D10"/>
    <mergeCell ref="E9:E10"/>
    <mergeCell ref="F9:F10"/>
    <mergeCell ref="G9:G10"/>
    <mergeCell ref="A18:C18"/>
    <mergeCell ref="C19:F19"/>
    <mergeCell ref="A9:A10"/>
    <mergeCell ref="B9:B10"/>
    <mergeCell ref="C9:C10"/>
    <mergeCell ref="A1:G1"/>
    <mergeCell ref="A2:G2"/>
    <mergeCell ref="A4:C4"/>
    <mergeCell ref="A5:C5"/>
    <mergeCell ref="A7:G7"/>
  </mergeCells>
  <pageMargins left="0.39370078740157483" right="0.19685039370078741" top="0.74803149606299213" bottom="0.74803149606299213" header="0.31496062992125984" footer="0.31496062992125984"/>
  <pageSetup paperSize="9" orientation="landscape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87"/>
  <sheetViews>
    <sheetView topLeftCell="A32" workbookViewId="0">
      <selection activeCell="K60" sqref="K60"/>
    </sheetView>
  </sheetViews>
  <sheetFormatPr defaultRowHeight="15.75"/>
  <cols>
    <col min="1" max="1" width="3.75" style="1123" customWidth="1"/>
    <col min="2" max="2" width="10" style="1160" hidden="1" customWidth="1"/>
    <col min="3" max="3" width="15.875" style="1123" customWidth="1"/>
    <col min="4" max="4" width="15.375" style="1128" customWidth="1"/>
    <col min="5" max="5" width="19.375" style="1128" customWidth="1"/>
    <col min="6" max="6" width="18.875" style="1131" customWidth="1"/>
    <col min="7" max="7" width="17.125" style="1131" customWidth="1"/>
  </cols>
  <sheetData>
    <row r="1" spans="1:20" s="156" customFormat="1" ht="16.5">
      <c r="A1" s="3945" t="s">
        <v>165</v>
      </c>
      <c r="B1" s="3945"/>
      <c r="C1" s="3945"/>
      <c r="D1" s="3945"/>
      <c r="E1" s="3945"/>
      <c r="F1" s="3945"/>
      <c r="G1" s="3945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s="156" customFormat="1" ht="16.5">
      <c r="A2" s="3945" t="s">
        <v>171</v>
      </c>
      <c r="B2" s="3945"/>
      <c r="C2" s="3945"/>
      <c r="D2" s="3945"/>
      <c r="E2" s="3945"/>
      <c r="F2" s="3945"/>
      <c r="G2" s="3945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</row>
    <row r="3" spans="1:20" s="156" customFormat="1" ht="16.5">
      <c r="C3" s="280"/>
      <c r="E3" s="280"/>
      <c r="F3" s="280"/>
      <c r="K3" s="798"/>
    </row>
    <row r="4" spans="1:20" s="156" customFormat="1" ht="16.5" customHeight="1">
      <c r="A4" s="156" t="s">
        <v>574</v>
      </c>
    </row>
    <row r="5" spans="1:20" s="156" customFormat="1" ht="17.25" customHeight="1">
      <c r="A5" s="3945" t="s">
        <v>541</v>
      </c>
      <c r="B5" s="3945"/>
      <c r="C5" s="3945"/>
      <c r="D5" s="3945"/>
      <c r="E5" s="157"/>
      <c r="F5" s="157"/>
      <c r="G5" s="157"/>
      <c r="H5" s="157"/>
      <c r="I5" s="157"/>
      <c r="J5" s="157"/>
      <c r="K5" s="157"/>
    </row>
    <row r="6" spans="1:20" s="156" customFormat="1" ht="18" customHeigh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</row>
    <row r="7" spans="1:20" ht="20.25">
      <c r="A7" s="4209" t="s">
        <v>846</v>
      </c>
      <c r="B7" s="4209"/>
      <c r="C7" s="4209"/>
      <c r="D7" s="4209"/>
      <c r="E7" s="4209"/>
      <c r="F7" s="4209"/>
      <c r="G7" s="4209"/>
    </row>
    <row r="8" spans="1:20">
      <c r="A8" s="4210" t="s">
        <v>834</v>
      </c>
      <c r="B8" s="4210"/>
      <c r="C8" s="4210"/>
      <c r="D8" s="4210"/>
      <c r="E8" s="4210"/>
      <c r="F8" s="4210"/>
      <c r="G8" s="4210"/>
    </row>
    <row r="9" spans="1:20" hidden="1">
      <c r="A9" s="1192"/>
      <c r="B9" s="4261" t="s">
        <v>847</v>
      </c>
      <c r="C9" s="4261"/>
      <c r="D9" s="1193"/>
      <c r="E9" s="1188"/>
      <c r="F9" s="1188"/>
      <c r="G9" s="1188"/>
    </row>
    <row r="10" spans="1:20" hidden="1">
      <c r="A10" s="1194"/>
      <c r="B10" s="4261" t="s">
        <v>848</v>
      </c>
      <c r="C10" s="4261"/>
      <c r="D10" s="1193"/>
      <c r="E10" s="1195"/>
      <c r="F10" s="1195"/>
      <c r="G10" s="1195"/>
    </row>
    <row r="11" spans="1:20" ht="14.25">
      <c r="A11" s="4220" t="s">
        <v>1</v>
      </c>
      <c r="B11" s="4222" t="s">
        <v>20</v>
      </c>
      <c r="C11" s="4222"/>
      <c r="D11" s="4223" t="s">
        <v>26</v>
      </c>
      <c r="E11" s="4220" t="s">
        <v>831</v>
      </c>
      <c r="F11" s="4214" t="s">
        <v>849</v>
      </c>
      <c r="G11" s="4217" t="s">
        <v>9</v>
      </c>
    </row>
    <row r="12" spans="1:20" ht="14.25">
      <c r="A12" s="4220"/>
      <c r="B12" s="4222"/>
      <c r="C12" s="4222"/>
      <c r="D12" s="4224"/>
      <c r="E12" s="4220"/>
      <c r="F12" s="4215"/>
      <c r="G12" s="4218"/>
    </row>
    <row r="13" spans="1:20">
      <c r="A13" s="4221"/>
      <c r="B13" s="1165" t="s">
        <v>33</v>
      </c>
      <c r="C13" s="1165" t="s">
        <v>4</v>
      </c>
      <c r="D13" s="4225"/>
      <c r="E13" s="4221"/>
      <c r="F13" s="4216"/>
      <c r="G13" s="4219"/>
    </row>
    <row r="14" spans="1:20" ht="16.5">
      <c r="A14" s="1166">
        <v>1</v>
      </c>
      <c r="B14" s="1167"/>
      <c r="C14" s="1220" t="s">
        <v>638</v>
      </c>
      <c r="D14" s="1220" t="s">
        <v>639</v>
      </c>
      <c r="E14" s="1170" t="s">
        <v>850</v>
      </c>
      <c r="F14" s="1197">
        <v>100000</v>
      </c>
      <c r="G14" s="1170"/>
    </row>
    <row r="15" spans="1:20" ht="16.5">
      <c r="A15" s="1171">
        <v>2</v>
      </c>
      <c r="B15" s="1172"/>
      <c r="C15" s="1095" t="s">
        <v>97</v>
      </c>
      <c r="D15" s="1095" t="s">
        <v>99</v>
      </c>
      <c r="E15" s="1176" t="s">
        <v>850</v>
      </c>
      <c r="F15" s="1198">
        <v>100000</v>
      </c>
      <c r="G15" s="1176"/>
    </row>
    <row r="16" spans="1:20">
      <c r="A16" s="1177">
        <v>3</v>
      </c>
      <c r="B16" s="1178"/>
      <c r="C16" s="1179" t="s">
        <v>96</v>
      </c>
      <c r="D16" s="1181" t="s">
        <v>162</v>
      </c>
      <c r="E16" s="1182" t="s">
        <v>850</v>
      </c>
      <c r="F16" s="1199">
        <v>100000</v>
      </c>
      <c r="G16" s="1182"/>
    </row>
    <row r="17" spans="1:7">
      <c r="A17" s="5019" t="s">
        <v>842</v>
      </c>
      <c r="B17" s="5020"/>
      <c r="C17" s="5020"/>
      <c r="D17" s="5021"/>
      <c r="E17" s="1200"/>
      <c r="F17" s="1201">
        <f>SUM(F14:F16)</f>
        <v>300000</v>
      </c>
      <c r="G17" s="1200"/>
    </row>
    <row r="18" spans="1:7">
      <c r="A18" s="1202">
        <v>1</v>
      </c>
      <c r="B18" s="1203"/>
      <c r="C18" s="1204" t="s">
        <v>274</v>
      </c>
      <c r="D18" s="1205" t="s">
        <v>258</v>
      </c>
      <c r="E18" s="1206" t="s">
        <v>851</v>
      </c>
      <c r="F18" s="1207">
        <v>100000</v>
      </c>
      <c r="G18" s="1206"/>
    </row>
    <row r="19" spans="1:7">
      <c r="A19" s="1171">
        <v>2</v>
      </c>
      <c r="B19" s="1172"/>
      <c r="C19" s="1208" t="s">
        <v>275</v>
      </c>
      <c r="D19" s="1175" t="s">
        <v>258</v>
      </c>
      <c r="E19" s="1206" t="s">
        <v>851</v>
      </c>
      <c r="F19" s="1207">
        <v>100000</v>
      </c>
      <c r="G19" s="1176"/>
    </row>
    <row r="20" spans="1:7">
      <c r="A20" s="1171">
        <v>3</v>
      </c>
      <c r="B20" s="1172"/>
      <c r="C20" s="1173" t="s">
        <v>276</v>
      </c>
      <c r="D20" s="1175" t="s">
        <v>258</v>
      </c>
      <c r="E20" s="1206" t="s">
        <v>851</v>
      </c>
      <c r="F20" s="1207">
        <v>100000</v>
      </c>
      <c r="G20" s="1176"/>
    </row>
    <row r="21" spans="1:7">
      <c r="A21" s="1202">
        <v>4</v>
      </c>
      <c r="B21" s="1172"/>
      <c r="C21" s="1208" t="s">
        <v>713</v>
      </c>
      <c r="D21" s="1175" t="s">
        <v>258</v>
      </c>
      <c r="E21" s="1206" t="s">
        <v>851</v>
      </c>
      <c r="F21" s="1207">
        <v>100000</v>
      </c>
      <c r="G21" s="1176"/>
    </row>
    <row r="22" spans="1:7">
      <c r="A22" s="5019" t="s">
        <v>851</v>
      </c>
      <c r="B22" s="5020"/>
      <c r="C22" s="5020"/>
      <c r="D22" s="5021"/>
      <c r="E22" s="1165"/>
      <c r="F22" s="1201">
        <f>SUM(F18:F21)</f>
        <v>400000</v>
      </c>
      <c r="G22" s="1165"/>
    </row>
    <row r="23" spans="1:7">
      <c r="A23" s="1166">
        <v>1</v>
      </c>
      <c r="B23" s="1167"/>
      <c r="C23" s="1196" t="s">
        <v>739</v>
      </c>
      <c r="D23" s="1169" t="s">
        <v>40</v>
      </c>
      <c r="E23" s="1170" t="s">
        <v>272</v>
      </c>
      <c r="F23" s="1197">
        <v>100000</v>
      </c>
      <c r="G23" s="1170"/>
    </row>
    <row r="24" spans="1:7">
      <c r="A24" s="1171">
        <v>2</v>
      </c>
      <c r="B24" s="1172"/>
      <c r="C24" s="1173" t="s">
        <v>767</v>
      </c>
      <c r="D24" s="1175" t="s">
        <v>40</v>
      </c>
      <c r="E24" s="1176" t="s">
        <v>272</v>
      </c>
      <c r="F24" s="1198">
        <v>100000</v>
      </c>
      <c r="G24" s="1176"/>
    </row>
    <row r="25" spans="1:7">
      <c r="A25" s="1171">
        <v>3</v>
      </c>
      <c r="B25" s="1172"/>
      <c r="C25" s="1173" t="s">
        <v>653</v>
      </c>
      <c r="D25" s="1175" t="s">
        <v>40</v>
      </c>
      <c r="E25" s="1176" t="s">
        <v>272</v>
      </c>
      <c r="F25" s="1198">
        <v>100000</v>
      </c>
      <c r="G25" s="1176"/>
    </row>
    <row r="26" spans="1:7">
      <c r="A26" s="1171">
        <v>4</v>
      </c>
      <c r="B26" s="1172"/>
      <c r="C26" s="1173" t="s">
        <v>740</v>
      </c>
      <c r="D26" s="1175" t="s">
        <v>40</v>
      </c>
      <c r="E26" s="1176" t="s">
        <v>272</v>
      </c>
      <c r="F26" s="1198">
        <v>100000</v>
      </c>
      <c r="G26" s="1176"/>
    </row>
    <row r="27" spans="1:7">
      <c r="A27" s="1171">
        <v>5</v>
      </c>
      <c r="B27" s="1172"/>
      <c r="C27" s="1173" t="s">
        <v>741</v>
      </c>
      <c r="D27" s="1175" t="s">
        <v>40</v>
      </c>
      <c r="E27" s="1176" t="s">
        <v>272</v>
      </c>
      <c r="F27" s="1198">
        <v>100000</v>
      </c>
      <c r="G27" s="1176"/>
    </row>
    <row r="28" spans="1:7">
      <c r="A28" s="1171">
        <v>6</v>
      </c>
      <c r="B28" s="1172"/>
      <c r="C28" s="1173" t="s">
        <v>742</v>
      </c>
      <c r="D28" s="1175" t="s">
        <v>40</v>
      </c>
      <c r="E28" s="1176" t="s">
        <v>272</v>
      </c>
      <c r="F28" s="1198">
        <v>100000</v>
      </c>
      <c r="G28" s="1176"/>
    </row>
    <row r="29" spans="1:7">
      <c r="A29" s="1171">
        <v>7</v>
      </c>
      <c r="B29" s="1172"/>
      <c r="C29" s="1173" t="s">
        <v>757</v>
      </c>
      <c r="D29" s="1175" t="s">
        <v>40</v>
      </c>
      <c r="E29" s="1176" t="s">
        <v>272</v>
      </c>
      <c r="F29" s="1198">
        <v>100000</v>
      </c>
      <c r="G29" s="1176"/>
    </row>
    <row r="30" spans="1:7">
      <c r="A30" s="1171">
        <v>8</v>
      </c>
      <c r="B30" s="1172"/>
      <c r="C30" s="1173" t="s">
        <v>750</v>
      </c>
      <c r="D30" s="1175" t="s">
        <v>40</v>
      </c>
      <c r="E30" s="1176" t="s">
        <v>272</v>
      </c>
      <c r="F30" s="1198">
        <v>100000</v>
      </c>
      <c r="G30" s="1176"/>
    </row>
    <row r="31" spans="1:7">
      <c r="A31" s="1171">
        <v>9</v>
      </c>
      <c r="B31" s="1172"/>
      <c r="C31" s="1173" t="s">
        <v>763</v>
      </c>
      <c r="D31" s="1175" t="s">
        <v>40</v>
      </c>
      <c r="E31" s="1176" t="s">
        <v>272</v>
      </c>
      <c r="F31" s="1198">
        <v>100000</v>
      </c>
      <c r="G31" s="1176"/>
    </row>
    <row r="32" spans="1:7">
      <c r="A32" s="1171">
        <v>10</v>
      </c>
      <c r="B32" s="1172"/>
      <c r="C32" s="1173" t="s">
        <v>743</v>
      </c>
      <c r="D32" s="1175" t="s">
        <v>40</v>
      </c>
      <c r="E32" s="1176" t="s">
        <v>272</v>
      </c>
      <c r="F32" s="1198">
        <v>100000</v>
      </c>
      <c r="G32" s="1176"/>
    </row>
    <row r="33" spans="1:7">
      <c r="A33" s="1171">
        <v>11</v>
      </c>
      <c r="B33" s="1172"/>
      <c r="C33" s="1173" t="s">
        <v>405</v>
      </c>
      <c r="D33" s="1175" t="s">
        <v>40</v>
      </c>
      <c r="E33" s="1176" t="s">
        <v>272</v>
      </c>
      <c r="F33" s="1198">
        <v>100000</v>
      </c>
      <c r="G33" s="1176"/>
    </row>
    <row r="34" spans="1:7">
      <c r="A34" s="1171">
        <v>12</v>
      </c>
      <c r="B34" s="1172"/>
      <c r="C34" s="1173" t="s">
        <v>751</v>
      </c>
      <c r="D34" s="1175" t="s">
        <v>40</v>
      </c>
      <c r="E34" s="1176" t="s">
        <v>272</v>
      </c>
      <c r="F34" s="1198">
        <v>100000</v>
      </c>
      <c r="G34" s="1176"/>
    </row>
    <row r="35" spans="1:7">
      <c r="A35" s="1171">
        <v>13</v>
      </c>
      <c r="B35" s="1172"/>
      <c r="C35" s="1173" t="s">
        <v>203</v>
      </c>
      <c r="D35" s="1175" t="s">
        <v>40</v>
      </c>
      <c r="E35" s="1176" t="s">
        <v>272</v>
      </c>
      <c r="F35" s="1198">
        <v>100000</v>
      </c>
      <c r="G35" s="1176"/>
    </row>
    <row r="36" spans="1:7">
      <c r="A36" s="1171">
        <v>14</v>
      </c>
      <c r="B36" s="1172"/>
      <c r="C36" s="1173" t="s">
        <v>744</v>
      </c>
      <c r="D36" s="1175" t="s">
        <v>40</v>
      </c>
      <c r="E36" s="1176" t="s">
        <v>272</v>
      </c>
      <c r="F36" s="1198">
        <v>100000</v>
      </c>
      <c r="G36" s="1176"/>
    </row>
    <row r="37" spans="1:7">
      <c r="A37" s="1171">
        <v>15</v>
      </c>
      <c r="B37" s="1172"/>
      <c r="C37" s="1173" t="s">
        <v>583</v>
      </c>
      <c r="D37" s="1175" t="s">
        <v>40</v>
      </c>
      <c r="E37" s="1176" t="s">
        <v>272</v>
      </c>
      <c r="F37" s="1198">
        <v>100000</v>
      </c>
      <c r="G37" s="1176"/>
    </row>
    <row r="38" spans="1:7">
      <c r="A38" s="1171">
        <v>16</v>
      </c>
      <c r="B38" s="1172"/>
      <c r="C38" s="1173" t="s">
        <v>270</v>
      </c>
      <c r="D38" s="1175" t="s">
        <v>40</v>
      </c>
      <c r="E38" s="1176" t="s">
        <v>272</v>
      </c>
      <c r="F38" s="1198">
        <v>100000</v>
      </c>
      <c r="G38" s="1176"/>
    </row>
    <row r="39" spans="1:7">
      <c r="A39" s="1171">
        <v>17</v>
      </c>
      <c r="B39" s="1172"/>
      <c r="C39" s="1173" t="s">
        <v>661</v>
      </c>
      <c r="D39" s="1175" t="s">
        <v>40</v>
      </c>
      <c r="E39" s="1176" t="s">
        <v>272</v>
      </c>
      <c r="F39" s="1198">
        <v>100000</v>
      </c>
      <c r="G39" s="1176"/>
    </row>
    <row r="40" spans="1:7">
      <c r="A40" s="1171">
        <v>18</v>
      </c>
      <c r="B40" s="1172"/>
      <c r="C40" s="1173" t="s">
        <v>748</v>
      </c>
      <c r="D40" s="1175" t="s">
        <v>40</v>
      </c>
      <c r="E40" s="1176" t="s">
        <v>272</v>
      </c>
      <c r="F40" s="1198">
        <v>100000</v>
      </c>
      <c r="G40" s="1176"/>
    </row>
    <row r="41" spans="1:7">
      <c r="A41" s="1171">
        <v>19</v>
      </c>
      <c r="B41" s="1172"/>
      <c r="C41" s="1173" t="s">
        <v>752</v>
      </c>
      <c r="D41" s="1175" t="s">
        <v>40</v>
      </c>
      <c r="E41" s="1176" t="s">
        <v>272</v>
      </c>
      <c r="F41" s="1198">
        <v>100000</v>
      </c>
      <c r="G41" s="1176"/>
    </row>
    <row r="42" spans="1:7">
      <c r="A42" s="1171">
        <v>20</v>
      </c>
      <c r="B42" s="1172"/>
      <c r="C42" s="1173" t="s">
        <v>735</v>
      </c>
      <c r="D42" s="1175" t="s">
        <v>40</v>
      </c>
      <c r="E42" s="1176" t="s">
        <v>272</v>
      </c>
      <c r="F42" s="1198">
        <v>100000</v>
      </c>
      <c r="G42" s="1176"/>
    </row>
    <row r="43" spans="1:7">
      <c r="A43" s="1171">
        <v>21</v>
      </c>
      <c r="B43" s="1172"/>
      <c r="C43" s="1173" t="s">
        <v>758</v>
      </c>
      <c r="D43" s="1175" t="s">
        <v>40</v>
      </c>
      <c r="E43" s="1176" t="s">
        <v>272</v>
      </c>
      <c r="F43" s="1198">
        <v>100000</v>
      </c>
      <c r="G43" s="1176"/>
    </row>
    <row r="44" spans="1:7">
      <c r="A44" s="1171">
        <v>22</v>
      </c>
      <c r="B44" s="1172"/>
      <c r="C44" s="1173" t="s">
        <v>746</v>
      </c>
      <c r="D44" s="1175" t="s">
        <v>40</v>
      </c>
      <c r="E44" s="1176" t="s">
        <v>272</v>
      </c>
      <c r="F44" s="1198">
        <v>100000</v>
      </c>
      <c r="G44" s="1176"/>
    </row>
    <row r="45" spans="1:7">
      <c r="A45" s="1171">
        <v>23</v>
      </c>
      <c r="B45" s="1172"/>
      <c r="C45" s="1173" t="s">
        <v>754</v>
      </c>
      <c r="D45" s="1175" t="s">
        <v>40</v>
      </c>
      <c r="E45" s="1176" t="s">
        <v>272</v>
      </c>
      <c r="F45" s="1198">
        <v>100000</v>
      </c>
      <c r="G45" s="1176"/>
    </row>
    <row r="46" spans="1:7">
      <c r="A46" s="1171">
        <v>24</v>
      </c>
      <c r="B46" s="1172"/>
      <c r="C46" s="1173" t="s">
        <v>749</v>
      </c>
      <c r="D46" s="1175" t="s">
        <v>40</v>
      </c>
      <c r="E46" s="1176" t="s">
        <v>272</v>
      </c>
      <c r="F46" s="1198">
        <v>100000</v>
      </c>
      <c r="G46" s="1176"/>
    </row>
    <row r="47" spans="1:7">
      <c r="A47" s="1171">
        <v>25</v>
      </c>
      <c r="B47" s="1172"/>
      <c r="C47" s="1173" t="s">
        <v>760</v>
      </c>
      <c r="D47" s="1175" t="s">
        <v>40</v>
      </c>
      <c r="E47" s="1176" t="s">
        <v>272</v>
      </c>
      <c r="F47" s="1198">
        <v>100000</v>
      </c>
      <c r="G47" s="1176"/>
    </row>
    <row r="48" spans="1:7">
      <c r="A48" s="1171">
        <v>26</v>
      </c>
      <c r="B48" s="1172"/>
      <c r="C48" s="1173" t="s">
        <v>759</v>
      </c>
      <c r="D48" s="1175" t="s">
        <v>40</v>
      </c>
      <c r="E48" s="1176" t="s">
        <v>272</v>
      </c>
      <c r="F48" s="1198">
        <v>100000</v>
      </c>
      <c r="G48" s="1176"/>
    </row>
    <row r="49" spans="1:7">
      <c r="A49" s="1171">
        <v>27</v>
      </c>
      <c r="B49" s="1172"/>
      <c r="C49" s="1173" t="s">
        <v>761</v>
      </c>
      <c r="D49" s="1175" t="s">
        <v>40</v>
      </c>
      <c r="E49" s="1176" t="s">
        <v>272</v>
      </c>
      <c r="F49" s="1198">
        <v>100000</v>
      </c>
      <c r="G49" s="1176"/>
    </row>
    <row r="50" spans="1:7">
      <c r="A50" s="1177">
        <v>28</v>
      </c>
      <c r="B50" s="1178"/>
      <c r="C50" s="1179" t="s">
        <v>762</v>
      </c>
      <c r="D50" s="1181" t="s">
        <v>40</v>
      </c>
      <c r="E50" s="1182" t="s">
        <v>272</v>
      </c>
      <c r="F50" s="1199">
        <v>100000</v>
      </c>
      <c r="G50" s="1182"/>
    </row>
    <row r="51" spans="1:7">
      <c r="A51" s="4220" t="s">
        <v>272</v>
      </c>
      <c r="B51" s="4220"/>
      <c r="C51" s="4220"/>
      <c r="D51" s="4220"/>
      <c r="E51" s="1165"/>
      <c r="F51" s="1201">
        <f>SUM(F23:F50)</f>
        <v>2800000</v>
      </c>
      <c r="G51" s="1211"/>
    </row>
    <row r="52" spans="1:7">
      <c r="A52" s="1166">
        <v>1</v>
      </c>
      <c r="B52" s="1167"/>
      <c r="C52" s="1212" t="s">
        <v>409</v>
      </c>
      <c r="D52" s="1169" t="s">
        <v>40</v>
      </c>
      <c r="E52" s="1170" t="s">
        <v>273</v>
      </c>
      <c r="F52" s="1197">
        <v>100000</v>
      </c>
      <c r="G52" s="1213"/>
    </row>
    <row r="53" spans="1:7">
      <c r="A53" s="1171">
        <v>2</v>
      </c>
      <c r="B53" s="1172"/>
      <c r="C53" s="1209" t="s">
        <v>274</v>
      </c>
      <c r="D53" s="1175" t="s">
        <v>40</v>
      </c>
      <c r="E53" s="1176" t="s">
        <v>273</v>
      </c>
      <c r="F53" s="1198">
        <v>100000</v>
      </c>
      <c r="G53" s="1214"/>
    </row>
    <row r="54" spans="1:7">
      <c r="A54" s="1171">
        <v>3</v>
      </c>
      <c r="B54" s="1172"/>
      <c r="C54" s="1209" t="s">
        <v>410</v>
      </c>
      <c r="D54" s="1175" t="s">
        <v>40</v>
      </c>
      <c r="E54" s="1176" t="s">
        <v>273</v>
      </c>
      <c r="F54" s="1198">
        <v>100000</v>
      </c>
      <c r="G54" s="1214"/>
    </row>
    <row r="55" spans="1:7">
      <c r="A55" s="1171">
        <v>4</v>
      </c>
      <c r="B55" s="1172"/>
      <c r="C55" s="1209" t="s">
        <v>600</v>
      </c>
      <c r="D55" s="1175" t="s">
        <v>40</v>
      </c>
      <c r="E55" s="1176" t="s">
        <v>273</v>
      </c>
      <c r="F55" s="1198">
        <v>100000</v>
      </c>
      <c r="G55" s="1214"/>
    </row>
    <row r="56" spans="1:7">
      <c r="A56" s="1177">
        <v>5</v>
      </c>
      <c r="B56" s="1178"/>
      <c r="C56" s="1210" t="s">
        <v>745</v>
      </c>
      <c r="D56" s="1181" t="s">
        <v>40</v>
      </c>
      <c r="E56" s="1182" t="s">
        <v>273</v>
      </c>
      <c r="F56" s="1199">
        <v>100000</v>
      </c>
      <c r="G56" s="1215"/>
    </row>
    <row r="57" spans="1:7">
      <c r="A57" s="4220" t="s">
        <v>273</v>
      </c>
      <c r="B57" s="4220"/>
      <c r="C57" s="4220"/>
      <c r="D57" s="4220"/>
      <c r="E57" s="1165"/>
      <c r="F57" s="1201">
        <f>SUM(F52:F56)</f>
        <v>500000</v>
      </c>
      <c r="G57" s="1211"/>
    </row>
    <row r="58" spans="1:7">
      <c r="A58" s="1166">
        <v>1</v>
      </c>
      <c r="B58" s="1167"/>
      <c r="C58" s="1232" t="s">
        <v>747</v>
      </c>
      <c r="D58" s="1169" t="s">
        <v>40</v>
      </c>
      <c r="E58" s="1170" t="s">
        <v>790</v>
      </c>
      <c r="F58" s="1197">
        <v>100000</v>
      </c>
      <c r="G58" s="1213"/>
    </row>
    <row r="59" spans="1:7">
      <c r="A59" s="1171">
        <v>2</v>
      </c>
      <c r="B59" s="1172"/>
      <c r="C59" s="1069" t="s">
        <v>771</v>
      </c>
      <c r="D59" s="1175" t="s">
        <v>40</v>
      </c>
      <c r="E59" s="1176" t="s">
        <v>790</v>
      </c>
      <c r="F59" s="1198">
        <v>100000</v>
      </c>
      <c r="G59" s="1214"/>
    </row>
    <row r="60" spans="1:7">
      <c r="A60" s="1177">
        <v>3</v>
      </c>
      <c r="B60" s="1178"/>
      <c r="C60" s="1377" t="s">
        <v>373</v>
      </c>
      <c r="D60" s="1181" t="s">
        <v>40</v>
      </c>
      <c r="E60" s="1182" t="s">
        <v>790</v>
      </c>
      <c r="F60" s="1199">
        <v>100000</v>
      </c>
      <c r="G60" s="1215"/>
    </row>
    <row r="61" spans="1:7">
      <c r="A61" s="5019" t="s">
        <v>790</v>
      </c>
      <c r="B61" s="5020"/>
      <c r="C61" s="5020"/>
      <c r="D61" s="5021"/>
      <c r="E61" s="1165"/>
      <c r="F61" s="1201">
        <f>SUM(F58:F60)</f>
        <v>300000</v>
      </c>
      <c r="G61" s="1211"/>
    </row>
    <row r="62" spans="1:7">
      <c r="A62" s="5022" t="s">
        <v>688</v>
      </c>
      <c r="B62" s="5023"/>
      <c r="C62" s="5023"/>
      <c r="D62" s="5023"/>
      <c r="E62" s="1216"/>
      <c r="F62" s="1217">
        <f>+F61+F57+F51+F22+F17</f>
        <v>4300000</v>
      </c>
      <c r="G62" s="1218"/>
    </row>
    <row r="63" spans="1:7">
      <c r="A63" s="1219"/>
      <c r="B63" s="1219"/>
      <c r="C63" s="1219"/>
      <c r="D63" s="1219"/>
      <c r="E63" s="5024" t="s">
        <v>852</v>
      </c>
      <c r="F63" s="5024"/>
      <c r="G63" s="5024"/>
    </row>
    <row r="64" spans="1:7" s="1221" customFormat="1">
      <c r="A64" s="5025" t="s">
        <v>832</v>
      </c>
      <c r="B64" s="5025"/>
      <c r="C64" s="5025"/>
      <c r="D64" s="1224" t="s">
        <v>833</v>
      </c>
      <c r="E64" s="5026" t="s">
        <v>167</v>
      </c>
      <c r="F64" s="5026"/>
      <c r="G64" s="1231" t="s">
        <v>42</v>
      </c>
    </row>
    <row r="65" spans="1:7" s="1221" customFormat="1">
      <c r="A65" s="1222"/>
      <c r="B65" s="5025"/>
      <c r="C65" s="5025"/>
      <c r="D65" s="5025"/>
      <c r="E65" s="5025"/>
      <c r="F65" s="1223"/>
      <c r="G65" s="1224"/>
    </row>
    <row r="66" spans="1:7" s="1221" customFormat="1" ht="18.75">
      <c r="A66" s="1225"/>
      <c r="B66" s="1225"/>
      <c r="C66" s="1226"/>
      <c r="D66" s="1227"/>
      <c r="E66" s="1227"/>
      <c r="F66" s="1225"/>
      <c r="G66" s="1225"/>
    </row>
    <row r="67" spans="1:7" s="1221" customFormat="1" ht="18.75">
      <c r="A67" s="1225"/>
      <c r="B67" s="1225"/>
      <c r="C67" s="1226"/>
      <c r="D67" s="1227"/>
      <c r="E67" s="1228"/>
      <c r="F67" s="1225"/>
      <c r="G67" s="1225"/>
    </row>
    <row r="68" spans="1:7" s="1221" customFormat="1" ht="18.75">
      <c r="A68" s="1225"/>
      <c r="B68" s="1225"/>
      <c r="C68" s="1226"/>
      <c r="D68" s="1227"/>
      <c r="E68" s="1228"/>
      <c r="F68" s="1225"/>
      <c r="G68" s="1225"/>
    </row>
    <row r="69" spans="1:7" s="1221" customFormat="1" ht="18.75">
      <c r="A69" s="1225"/>
      <c r="B69" s="1225"/>
      <c r="C69" s="1226"/>
      <c r="D69" s="1229"/>
      <c r="E69" s="1230"/>
      <c r="F69" s="1226"/>
      <c r="G69" s="1225"/>
    </row>
    <row r="70" spans="1:7" ht="18.75">
      <c r="A70" s="1140"/>
      <c r="B70" s="1140"/>
      <c r="C70" s="1141"/>
      <c r="D70" s="1147"/>
      <c r="E70" s="1148"/>
      <c r="F70" s="1149"/>
      <c r="G70" s="1140"/>
    </row>
    <row r="71" spans="1:7" ht="18.75">
      <c r="A71" s="1140"/>
      <c r="B71" s="1140"/>
      <c r="C71" s="1141"/>
      <c r="D71" s="1145"/>
      <c r="E71" s="1150"/>
      <c r="F71" s="1151"/>
      <c r="G71" s="1140"/>
    </row>
    <row r="72" spans="1:7" ht="18.75">
      <c r="A72" s="1140"/>
      <c r="B72" s="1140"/>
      <c r="C72" s="1140"/>
      <c r="D72" s="1145"/>
      <c r="E72" s="1146"/>
      <c r="F72" s="1140"/>
      <c r="G72" s="1140"/>
    </row>
    <row r="73" spans="1:7">
      <c r="A73" s="1131"/>
      <c r="B73" s="1131"/>
      <c r="C73" s="1131"/>
      <c r="E73" s="1152"/>
      <c r="F73" s="1153"/>
      <c r="G73" s="1153"/>
    </row>
    <row r="74" spans="1:7">
      <c r="A74" s="1131"/>
      <c r="B74" s="1131"/>
      <c r="C74" s="1131"/>
    </row>
    <row r="75" spans="1:7">
      <c r="A75" s="1131"/>
      <c r="B75" s="1131"/>
      <c r="C75" s="1155"/>
      <c r="F75" s="1155"/>
    </row>
    <row r="76" spans="1:7">
      <c r="A76" s="1131"/>
      <c r="B76" s="1131"/>
      <c r="C76" s="1131"/>
    </row>
    <row r="77" spans="1:7">
      <c r="A77" s="1131"/>
      <c r="B77" s="1131"/>
      <c r="C77" s="1131"/>
      <c r="D77" s="1156"/>
      <c r="G77" s="1157"/>
    </row>
    <row r="78" spans="1:7">
      <c r="A78" s="1131"/>
      <c r="B78" s="1131"/>
      <c r="C78" s="1131"/>
      <c r="E78" s="1158"/>
      <c r="F78" s="1159"/>
    </row>
    <row r="79" spans="1:7">
      <c r="C79" s="1161"/>
      <c r="F79" s="1155"/>
    </row>
    <row r="81" spans="1:5">
      <c r="C81" s="1163"/>
    </row>
    <row r="82" spans="1:5">
      <c r="A82" s="1131"/>
      <c r="B82" s="1131"/>
      <c r="C82" s="1131"/>
    </row>
    <row r="83" spans="1:5">
      <c r="A83" s="1131"/>
      <c r="B83" s="1131"/>
      <c r="C83" s="1131"/>
    </row>
    <row r="84" spans="1:5">
      <c r="A84" s="1131"/>
      <c r="B84" s="1131"/>
      <c r="C84" s="1131"/>
      <c r="D84" s="1131"/>
      <c r="E84" s="1131"/>
    </row>
    <row r="87" spans="1:5">
      <c r="A87" s="1131"/>
      <c r="B87" s="1131"/>
      <c r="C87" s="1131"/>
      <c r="D87" s="1131"/>
      <c r="E87" s="1131"/>
    </row>
  </sheetData>
  <mergeCells count="23">
    <mergeCell ref="A62:D62"/>
    <mergeCell ref="E63:G63"/>
    <mergeCell ref="A64:C64"/>
    <mergeCell ref="B65:E65"/>
    <mergeCell ref="E64:F64"/>
    <mergeCell ref="G11:G13"/>
    <mergeCell ref="A17:D17"/>
    <mergeCell ref="A22:D22"/>
    <mergeCell ref="A51:D51"/>
    <mergeCell ref="A57:D57"/>
    <mergeCell ref="E11:E13"/>
    <mergeCell ref="F11:F13"/>
    <mergeCell ref="A61:D61"/>
    <mergeCell ref="B10:C10"/>
    <mergeCell ref="A11:A13"/>
    <mergeCell ref="B11:C12"/>
    <mergeCell ref="D11:D13"/>
    <mergeCell ref="A5:D5"/>
    <mergeCell ref="A1:G1"/>
    <mergeCell ref="A2:G2"/>
    <mergeCell ref="B9:C9"/>
    <mergeCell ref="A7:G7"/>
    <mergeCell ref="A8:G8"/>
  </mergeCells>
  <pageMargins left="0.19685039370078741" right="0.19685039370078741" top="0.51181102362204722" bottom="0.55118110236220474" header="0.31496062992125984" footer="0.31496062992125984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M23" sqref="M23"/>
    </sheetView>
  </sheetViews>
  <sheetFormatPr defaultRowHeight="14.25"/>
  <cols>
    <col min="1" max="1" width="19.75" customWidth="1"/>
    <col min="2" max="2" width="11.75" customWidth="1"/>
    <col min="3" max="3" width="7.25" customWidth="1"/>
    <col min="4" max="4" width="9.75" customWidth="1"/>
    <col min="5" max="6" width="0" hidden="1" customWidth="1"/>
    <col min="8" max="8" width="10.875" customWidth="1"/>
    <col min="9" max="9" width="8.875" customWidth="1"/>
    <col min="10" max="10" width="9.375" customWidth="1"/>
    <col min="11" max="11" width="8.875" customWidth="1"/>
    <col min="12" max="12" width="9" customWidth="1"/>
    <col min="13" max="13" width="10.25" customWidth="1"/>
    <col min="14" max="14" width="6.625" customWidth="1"/>
  </cols>
  <sheetData>
    <row r="1" spans="1:16" ht="16.5">
      <c r="A1" s="4299" t="s">
        <v>165</v>
      </c>
      <c r="B1" s="4299"/>
      <c r="C1" s="4299"/>
      <c r="D1" s="4299"/>
      <c r="E1" s="4299"/>
      <c r="F1" s="4299"/>
      <c r="G1" s="4299"/>
      <c r="H1" s="4299"/>
      <c r="I1" s="4299"/>
      <c r="J1" s="4299"/>
      <c r="K1" s="4299"/>
      <c r="L1" s="4299"/>
      <c r="M1" s="4299"/>
      <c r="N1" s="4299"/>
    </row>
    <row r="2" spans="1:16" ht="16.5">
      <c r="A2" s="4299" t="s">
        <v>171</v>
      </c>
      <c r="B2" s="4299"/>
      <c r="C2" s="4299"/>
      <c r="D2" s="4299"/>
      <c r="E2" s="4299"/>
      <c r="F2" s="4299"/>
      <c r="G2" s="4299"/>
      <c r="H2" s="4299"/>
      <c r="I2" s="4299"/>
      <c r="J2" s="4299"/>
      <c r="K2" s="4299"/>
      <c r="L2" s="4299"/>
      <c r="M2" s="4299"/>
      <c r="N2" s="4299"/>
    </row>
    <row r="3" spans="1:16" ht="16.5">
      <c r="A3" s="4341"/>
      <c r="B3" s="4341"/>
      <c r="C3" s="4341"/>
      <c r="D3" s="4341"/>
      <c r="E3" s="4341"/>
      <c r="F3" s="4341"/>
      <c r="G3" s="4341"/>
      <c r="H3" s="4341"/>
      <c r="I3" s="4341"/>
      <c r="J3" s="4341"/>
      <c r="K3" s="4341"/>
      <c r="L3" s="4341"/>
      <c r="M3" s="4341"/>
      <c r="N3" s="4341"/>
    </row>
    <row r="4" spans="1:16" ht="16.5">
      <c r="A4" s="4086" t="s">
        <v>574</v>
      </c>
      <c r="B4" s="4086"/>
      <c r="C4" s="4086"/>
      <c r="D4" s="4086"/>
      <c r="E4" s="4086"/>
      <c r="F4" s="4086"/>
      <c r="G4" s="4086"/>
      <c r="H4" s="913"/>
      <c r="I4" s="913"/>
      <c r="J4" s="913"/>
      <c r="K4" s="913"/>
      <c r="L4" s="913"/>
      <c r="M4" s="1241"/>
      <c r="N4" s="1241"/>
    </row>
    <row r="5" spans="1:16" ht="16.5">
      <c r="A5" s="4094" t="s">
        <v>541</v>
      </c>
      <c r="B5" s="4094"/>
      <c r="C5" s="4094"/>
      <c r="D5" s="4094"/>
      <c r="E5" s="4094"/>
      <c r="F5" s="4094"/>
      <c r="G5" s="4094"/>
      <c r="H5" s="1242"/>
      <c r="I5" s="1242"/>
      <c r="J5" s="1242"/>
      <c r="K5" s="1242"/>
      <c r="L5" s="1242"/>
      <c r="M5" s="1241"/>
      <c r="N5" s="1241"/>
    </row>
    <row r="6" spans="1:16" ht="16.5">
      <c r="A6" s="913"/>
      <c r="B6" s="913"/>
      <c r="C6" s="913"/>
      <c r="D6" s="913"/>
      <c r="E6" s="913"/>
      <c r="F6" s="913"/>
      <c r="G6" s="913"/>
      <c r="H6" s="1242"/>
      <c r="I6" s="1242"/>
      <c r="J6" s="1242"/>
      <c r="K6" s="1242"/>
      <c r="L6" s="1242"/>
      <c r="M6" s="1241"/>
      <c r="N6" s="1241"/>
    </row>
    <row r="7" spans="1:16" ht="20.25">
      <c r="A7" s="4025" t="s">
        <v>864</v>
      </c>
      <c r="B7" s="4025"/>
      <c r="C7" s="4025"/>
      <c r="D7" s="4025"/>
      <c r="E7" s="4025"/>
      <c r="F7" s="4025"/>
      <c r="G7" s="4025"/>
      <c r="H7" s="4025"/>
      <c r="I7" s="4025"/>
      <c r="J7" s="4025"/>
      <c r="K7" s="4025"/>
      <c r="L7" s="4025"/>
      <c r="M7" s="4025"/>
      <c r="N7" s="4025"/>
      <c r="O7" s="1271"/>
      <c r="P7" s="1271"/>
    </row>
    <row r="8" spans="1:16" ht="18.75">
      <c r="A8" s="1243" t="s">
        <v>603</v>
      </c>
      <c r="B8" s="1244">
        <v>20599</v>
      </c>
      <c r="C8" s="1244"/>
      <c r="D8" s="1233"/>
      <c r="E8" s="1233"/>
      <c r="F8" s="1233"/>
      <c r="G8" s="1233"/>
      <c r="H8" s="1233"/>
      <c r="I8" s="1233"/>
      <c r="J8" s="1233"/>
      <c r="K8" s="1233"/>
      <c r="L8" s="1233"/>
      <c r="M8" s="1245"/>
      <c r="N8" s="1245"/>
    </row>
    <row r="9" spans="1:16" ht="18.75">
      <c r="A9" s="1243" t="s">
        <v>604</v>
      </c>
      <c r="B9" s="1246">
        <v>0.98909999999999998</v>
      </c>
      <c r="C9" s="1246"/>
      <c r="D9" s="1233"/>
      <c r="E9" s="1233"/>
      <c r="F9" s="1233"/>
      <c r="G9" s="1233"/>
      <c r="H9" s="1233"/>
      <c r="I9" s="1233"/>
      <c r="J9" s="1233"/>
      <c r="K9" s="1233"/>
      <c r="L9" s="1233"/>
      <c r="M9" s="1247"/>
      <c r="N9" s="1245"/>
    </row>
    <row r="10" spans="1:16" ht="15.75">
      <c r="A10" s="5032" t="s">
        <v>20</v>
      </c>
      <c r="B10" s="5032" t="s">
        <v>5</v>
      </c>
      <c r="C10" s="5033" t="s">
        <v>7</v>
      </c>
      <c r="D10" s="5035" t="s">
        <v>6</v>
      </c>
      <c r="E10" s="1248"/>
      <c r="F10" s="1249"/>
      <c r="G10" s="5037" t="s">
        <v>858</v>
      </c>
      <c r="H10" s="5038"/>
      <c r="I10" s="5038"/>
      <c r="J10" s="5038"/>
      <c r="K10" s="5038"/>
      <c r="L10" s="5038"/>
      <c r="M10" s="5039" t="s">
        <v>184</v>
      </c>
      <c r="N10" s="5030" t="s">
        <v>634</v>
      </c>
    </row>
    <row r="11" spans="1:16" ht="15.75">
      <c r="A11" s="5032"/>
      <c r="B11" s="5032"/>
      <c r="C11" s="5034"/>
      <c r="D11" s="5036"/>
      <c r="E11" s="1250"/>
      <c r="F11" s="1251"/>
      <c r="G11" s="1252" t="s">
        <v>859</v>
      </c>
      <c r="H11" s="1252" t="s">
        <v>865</v>
      </c>
      <c r="I11" s="1252" t="s">
        <v>860</v>
      </c>
      <c r="J11" s="1252" t="s">
        <v>861</v>
      </c>
      <c r="K11" s="1252" t="s">
        <v>862</v>
      </c>
      <c r="L11" s="1252" t="s">
        <v>866</v>
      </c>
      <c r="M11" s="5039"/>
      <c r="N11" s="5031"/>
    </row>
    <row r="12" spans="1:16" ht="15.75">
      <c r="A12" s="1253" t="s">
        <v>863</v>
      </c>
      <c r="B12" s="1253"/>
      <c r="C12" s="1253"/>
      <c r="D12" s="1254">
        <f>SUM(D13:E13)</f>
        <v>490</v>
      </c>
      <c r="E12" s="1255">
        <f>SUM(E13:F13)</f>
        <v>490</v>
      </c>
      <c r="F12" s="1255">
        <f>SUM(F13:G13)</f>
        <v>588</v>
      </c>
      <c r="G12" s="1256">
        <f>SUM(G13)</f>
        <v>98</v>
      </c>
      <c r="H12" s="1256">
        <f>SUM(H13)</f>
        <v>245</v>
      </c>
      <c r="I12" s="1256">
        <f t="shared" ref="I12:L12" si="0">SUM(I13)</f>
        <v>245</v>
      </c>
      <c r="J12" s="1256">
        <f t="shared" si="0"/>
        <v>245</v>
      </c>
      <c r="K12" s="1256">
        <f t="shared" si="0"/>
        <v>245</v>
      </c>
      <c r="L12" s="1256">
        <f t="shared" si="0"/>
        <v>245</v>
      </c>
      <c r="M12" s="1255">
        <f>SUM(M13:N13)</f>
        <v>1323</v>
      </c>
      <c r="N12" s="1257"/>
    </row>
    <row r="13" spans="1:16" ht="15.75">
      <c r="A13" s="1258" t="s">
        <v>96</v>
      </c>
      <c r="B13" s="1258" t="s">
        <v>162</v>
      </c>
      <c r="C13" s="1258" t="s">
        <v>18</v>
      </c>
      <c r="D13" s="1259">
        <v>490</v>
      </c>
      <c r="E13" s="1254"/>
      <c r="F13" s="1260">
        <f t="shared" ref="F13" si="1">+D13-E13</f>
        <v>490</v>
      </c>
      <c r="G13" s="1261">
        <f>+D13-(490*0.8)</f>
        <v>98</v>
      </c>
      <c r="H13" s="1261">
        <v>245</v>
      </c>
      <c r="I13" s="1261">
        <f>490-245</f>
        <v>245</v>
      </c>
      <c r="J13" s="1261">
        <f t="shared" ref="J13:L13" si="2">490-245</f>
        <v>245</v>
      </c>
      <c r="K13" s="1261">
        <f t="shared" si="2"/>
        <v>245</v>
      </c>
      <c r="L13" s="1261">
        <f t="shared" si="2"/>
        <v>245</v>
      </c>
      <c r="M13" s="1262">
        <f>+SUM(G13:L13)</f>
        <v>1323</v>
      </c>
      <c r="N13" s="1263"/>
    </row>
    <row r="14" spans="1:16" ht="15.75">
      <c r="A14" s="5029" t="s">
        <v>869</v>
      </c>
      <c r="B14" s="5029"/>
      <c r="C14" s="5029"/>
      <c r="D14" s="5029"/>
      <c r="E14" s="5029"/>
      <c r="F14" s="5029"/>
      <c r="G14" s="5029"/>
      <c r="H14" s="5029"/>
      <c r="I14" s="5029"/>
      <c r="J14" s="5029"/>
      <c r="K14" s="5029"/>
      <c r="L14" s="5029"/>
      <c r="M14" s="5029"/>
      <c r="N14" s="5029"/>
      <c r="O14" s="1267"/>
      <c r="P14" s="1268"/>
    </row>
    <row r="15" spans="1:16" ht="15.75">
      <c r="A15" s="1242"/>
      <c r="B15" s="1242"/>
      <c r="C15" s="1269"/>
      <c r="D15" s="1269"/>
      <c r="E15" s="1269"/>
      <c r="F15" s="1269"/>
      <c r="G15" s="1269"/>
      <c r="H15" s="1269"/>
      <c r="I15" s="1269"/>
      <c r="J15" s="1269"/>
      <c r="K15" s="1269"/>
      <c r="L15" s="5028" t="s">
        <v>868</v>
      </c>
      <c r="M15" s="5028"/>
      <c r="N15" s="5028"/>
      <c r="O15" s="1270"/>
      <c r="P15" s="1270"/>
    </row>
    <row r="16" spans="1:16" ht="16.5">
      <c r="A16" s="5027" t="s">
        <v>46</v>
      </c>
      <c r="B16" s="5027"/>
      <c r="C16" s="1272" t="s">
        <v>867</v>
      </c>
      <c r="D16" s="1272"/>
      <c r="E16" s="1272"/>
      <c r="F16" s="1272"/>
      <c r="G16" s="1272"/>
      <c r="H16" s="5027" t="s">
        <v>257</v>
      </c>
      <c r="I16" s="5027"/>
      <c r="J16" s="5027" t="s">
        <v>167</v>
      </c>
      <c r="K16" s="5027"/>
      <c r="L16" s="5027"/>
      <c r="M16" s="1272" t="s">
        <v>614</v>
      </c>
      <c r="N16" s="1273"/>
      <c r="P16" s="910"/>
    </row>
    <row r="17" spans="1:14" ht="16.5">
      <c r="A17" s="909"/>
      <c r="B17" s="909"/>
      <c r="C17" s="909"/>
      <c r="D17" s="909"/>
      <c r="E17" s="909"/>
      <c r="F17" s="909"/>
      <c r="G17" s="909"/>
      <c r="H17" s="909"/>
      <c r="I17" s="909"/>
      <c r="J17" s="909"/>
      <c r="K17" s="909"/>
      <c r="L17" s="909"/>
      <c r="M17" s="1264"/>
      <c r="N17" s="1265"/>
    </row>
    <row r="18" spans="1:14" ht="16.5">
      <c r="A18" s="910"/>
      <c r="B18" s="910"/>
      <c r="C18" s="910"/>
      <c r="D18" s="910"/>
      <c r="E18" s="910"/>
      <c r="F18" s="910"/>
      <c r="G18" s="910"/>
      <c r="H18" s="910"/>
      <c r="I18" s="910"/>
      <c r="J18" s="910"/>
      <c r="K18" s="910"/>
      <c r="L18" s="910"/>
      <c r="M18" s="1266"/>
      <c r="N18" s="913"/>
    </row>
    <row r="19" spans="1:14" ht="16.5">
      <c r="A19" s="909"/>
      <c r="B19" s="909"/>
      <c r="C19" s="909"/>
      <c r="D19" s="909"/>
      <c r="E19" s="909"/>
      <c r="F19" s="909"/>
      <c r="G19" s="909"/>
      <c r="H19" s="909"/>
      <c r="I19" s="909"/>
      <c r="J19" s="909"/>
      <c r="K19" s="909"/>
      <c r="L19" s="909"/>
      <c r="M19" s="1264"/>
      <c r="N19" s="1264"/>
    </row>
  </sheetData>
  <mergeCells count="18">
    <mergeCell ref="A1:N1"/>
    <mergeCell ref="A2:N2"/>
    <mergeCell ref="A3:N3"/>
    <mergeCell ref="A4:G4"/>
    <mergeCell ref="A5:G5"/>
    <mergeCell ref="A16:B16"/>
    <mergeCell ref="L15:N15"/>
    <mergeCell ref="J16:L16"/>
    <mergeCell ref="A14:N14"/>
    <mergeCell ref="A7:N7"/>
    <mergeCell ref="N10:N11"/>
    <mergeCell ref="H16:I16"/>
    <mergeCell ref="A10:A11"/>
    <mergeCell ref="B10:B11"/>
    <mergeCell ref="C10:C11"/>
    <mergeCell ref="D10:D11"/>
    <mergeCell ref="G10:L10"/>
    <mergeCell ref="M10:M11"/>
  </mergeCells>
  <phoneticPr fontId="156" type="noConversion"/>
  <pageMargins left="0.27" right="0.28999999999999998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40</vt:i4>
      </vt:variant>
    </vt:vector>
  </HeadingPairs>
  <TitlesOfParts>
    <vt:vector size="140" baseType="lpstr">
      <vt:lpstr>BẢNG PHÂN TOÁN</vt:lpstr>
      <vt:lpstr>Tính lương tổ</vt:lpstr>
      <vt:lpstr>Mủ</vt:lpstr>
      <vt:lpstr>Chấm công công nhân</vt:lpstr>
      <vt:lpstr>LƯƠNG TT</vt:lpstr>
      <vt:lpstr>BẢNG LƯƠNG KT</vt:lpstr>
      <vt:lpstr>1</vt:lpstr>
      <vt:lpstr>2</vt:lpstr>
      <vt:lpstr>3</vt:lpstr>
      <vt:lpstr>BV</vt:lpstr>
      <vt:lpstr>CHẤM CÔNG BV</vt:lpstr>
      <vt:lpstr>Vươn KTCB</vt:lpstr>
      <vt:lpstr>Tạp vụ</vt:lpstr>
      <vt:lpstr>Phụ cấp người Việt</vt:lpstr>
      <vt:lpstr>BẢNG PHÂN TOÁN ĐÚNG</vt:lpstr>
      <vt:lpstr>Mủ BN D40</vt:lpstr>
      <vt:lpstr>THƯỞNG SL</vt:lpstr>
      <vt:lpstr>QL LƯƠNG</vt:lpstr>
      <vt:lpstr>Tổ 1</vt:lpstr>
      <vt:lpstr>Tổ 2</vt:lpstr>
      <vt:lpstr>Tổ 3</vt:lpstr>
      <vt:lpstr>BN DRC CHUẨN</vt:lpstr>
      <vt:lpstr>DANH SÁCH THUẾ</vt:lpstr>
      <vt:lpstr>Tong hop cong</vt:lpstr>
      <vt:lpstr>BCSX T4</vt:lpstr>
      <vt:lpstr>KHSX T5</vt:lpstr>
      <vt:lpstr>Tạm tính BN</vt:lpstr>
      <vt:lpstr>Lương gia thuộc</vt:lpstr>
      <vt:lpstr>Phụ cấp</vt:lpstr>
      <vt:lpstr>KTCB</vt:lpstr>
      <vt:lpstr>Lương USD</vt:lpstr>
      <vt:lpstr>Bảng kê lương</vt:lpstr>
      <vt:lpstr>PC trực đêm</vt:lpstr>
      <vt:lpstr>PL con</vt:lpstr>
      <vt:lpstr>pl CBCNV</vt:lpstr>
      <vt:lpstr>Công CBNV</vt:lpstr>
      <vt:lpstr>CHẤM CÔNG XĂNG XE</vt:lpstr>
      <vt:lpstr>XĂNG XE T3</vt:lpstr>
      <vt:lpstr>PC XĂNG XE</vt:lpstr>
      <vt:lpstr>Chấm công xăng)</vt:lpstr>
      <vt:lpstr>tt xăng</vt:lpstr>
      <vt:lpstr>Lương Tổ</vt:lpstr>
      <vt:lpstr>TH MỦ</vt:lpstr>
      <vt:lpstr>TH CÔNG</vt:lpstr>
      <vt:lpstr>Kỷ thuật</vt:lpstr>
      <vt:lpstr>C.B NV</vt:lpstr>
      <vt:lpstr>VC KTCB</vt:lpstr>
      <vt:lpstr>VC TAI CANH</vt:lpstr>
      <vt:lpstr>BẢO VỆ</vt:lpstr>
      <vt:lpstr>VƯƠN ƯƠM</vt:lpstr>
      <vt:lpstr>Biểu t.h</vt:lpstr>
      <vt:lpstr>Mã số NV</vt:lpstr>
      <vt:lpstr>Công việc khác</vt:lpstr>
      <vt:lpstr>TRƯỞN BẢN</vt:lpstr>
      <vt:lpstr>ky thuật</vt:lpstr>
      <vt:lpstr>BC</vt:lpstr>
      <vt:lpstr>Lương Tổng NT</vt:lpstr>
      <vt:lpstr>CV KHAC</vt:lpstr>
      <vt:lpstr>BHXH</vt:lpstr>
      <vt:lpstr>NTNB</vt:lpstr>
      <vt:lpstr> Công</vt:lpstr>
      <vt:lpstr>mẩu</vt:lpstr>
      <vt:lpstr>TRƯỞNG BẢN</vt:lpstr>
      <vt:lpstr>Sheet3</vt:lpstr>
      <vt:lpstr>TỔNG HỢP CHI PHÍ KHÁC</vt:lpstr>
      <vt:lpstr>KHSX T8</vt:lpstr>
      <vt:lpstr>BCSXT7</vt:lpstr>
      <vt:lpstr>BCSX T8</vt:lpstr>
      <vt:lpstr>KHSX T9</vt:lpstr>
      <vt:lpstr>bcsx t9</vt:lpstr>
      <vt:lpstr>khsx t10</vt:lpstr>
      <vt:lpstr>Hổ trợ 2421</vt:lpstr>
      <vt:lpstr>Thiết kế t1</vt:lpstr>
      <vt:lpstr>xã miệng cạo cũ t1</vt:lpstr>
      <vt:lpstr>xã miệng cạo mới t1</vt:lpstr>
      <vt:lpstr>Trang bị t1</vt:lpstr>
      <vt:lpstr>Trang bị t2</vt:lpstr>
      <vt:lpstr>Thiết kế t2</vt:lpstr>
      <vt:lpstr>Xã cạo t2</vt:lpstr>
      <vt:lpstr>Trang bị t3</vt:lpstr>
      <vt:lpstr>xã cạo t3</vt:lpstr>
      <vt:lpstr>mcm t1</vt:lpstr>
      <vt:lpstr>mcm t2</vt:lpstr>
      <vt:lpstr>mcm t3</vt:lpstr>
      <vt:lpstr>mpc t1</vt:lpstr>
      <vt:lpstr>mpc t2</vt:lpstr>
      <vt:lpstr>mpc t3</vt:lpstr>
      <vt:lpstr>gia cố mcm t1</vt:lpstr>
      <vt:lpstr>kt1</vt:lpstr>
      <vt:lpstr>kt2</vt:lpstr>
      <vt:lpstr>kt3</vt:lpstr>
      <vt:lpstr>Kỹ thuật 1 (ngữa)</vt:lpstr>
      <vt:lpstr>Sheet2</vt:lpstr>
      <vt:lpstr>Kỹ thuật 1 (úp)</vt:lpstr>
      <vt:lpstr>kỹ thuật 2</vt:lpstr>
      <vt:lpstr>kỹ thuật 3</vt:lpstr>
      <vt:lpstr>MSNV</vt:lpstr>
      <vt:lpstr>TIỀN ĂN</vt:lpstr>
      <vt:lpstr>Thưởng tết dương lich</vt:lpstr>
      <vt:lpstr>Sheet1</vt:lpstr>
      <vt:lpstr>'Bảng kê lương'!Print_Area</vt:lpstr>
      <vt:lpstr>'BẢNG LƯƠNG KT'!Print_Area</vt:lpstr>
      <vt:lpstr>'BẢNG PHÂN TOÁN ĐÚNG'!Print_Area</vt:lpstr>
      <vt:lpstr>'BẢO VỆ'!Print_Area</vt:lpstr>
      <vt:lpstr>'Biểu t.h'!Print_Area</vt:lpstr>
      <vt:lpstr>'C.B NV'!Print_Area</vt:lpstr>
      <vt:lpstr>'Công việc khác'!Print_Area</vt:lpstr>
      <vt:lpstr>'Chấm công công nhân'!Print_Area</vt:lpstr>
      <vt:lpstr>KTCB!Print_Area</vt:lpstr>
      <vt:lpstr>'Lương Tổng NT'!Print_Area</vt:lpstr>
      <vt:lpstr>'Lương USD'!Print_Area</vt:lpstr>
      <vt:lpstr>'VC KTCB'!Print_Area</vt:lpstr>
      <vt:lpstr>'VC TAI CANH'!Print_Area</vt:lpstr>
      <vt:lpstr>'VƯƠN ƯƠM'!Print_Area</vt:lpstr>
      <vt:lpstr>' Công'!Print_Titles</vt:lpstr>
      <vt:lpstr>'1'!Print_Titles</vt:lpstr>
      <vt:lpstr>'3'!Print_Titles</vt:lpstr>
      <vt:lpstr>'BẢNG LƯƠNG KT'!Print_Titles</vt:lpstr>
      <vt:lpstr>'BẢNG PHÂN TOÁN'!Print_Titles</vt:lpstr>
      <vt:lpstr>'BẢNG PHÂN TOÁN ĐÚNG'!Print_Titles</vt:lpstr>
      <vt:lpstr>BC!Print_Titles</vt:lpstr>
      <vt:lpstr>'Biểu t.h'!Print_Titles</vt:lpstr>
      <vt:lpstr>'Công việc khác'!Print_Titles</vt:lpstr>
      <vt:lpstr>'Chấm công công nhân'!Print_Titles</vt:lpstr>
      <vt:lpstr>'Kỷ thuật'!Print_Titles</vt:lpstr>
      <vt:lpstr>'Kỹ thuật 1 (ngữa)'!Print_Titles</vt:lpstr>
      <vt:lpstr>'Kỹ thuật 1 (úp)'!Print_Titles</vt:lpstr>
      <vt:lpstr>'kỹ thuật 2'!Print_Titles</vt:lpstr>
      <vt:lpstr>'kỹ thuật 3'!Print_Titles</vt:lpstr>
      <vt:lpstr>'Lương gia thuộc'!Print_Titles</vt:lpstr>
      <vt:lpstr>'Lương Tổng NT'!Print_Titles</vt:lpstr>
      <vt:lpstr>'LƯƠNG TT'!Print_Titles</vt:lpstr>
      <vt:lpstr>mẩu!Print_Titles</vt:lpstr>
      <vt:lpstr>Mủ!Print_Titles</vt:lpstr>
      <vt:lpstr>'Tong hop cong'!Print_Titles</vt:lpstr>
      <vt:lpstr>'Tổ 1'!Print_Titles</vt:lpstr>
      <vt:lpstr>'Tổ 2'!Print_Titles</vt:lpstr>
      <vt:lpstr>'Tổ 3'!Print_Titles</vt:lpstr>
      <vt:lpstr>'Thưởng tết dương lich'!Print_Titles</vt:lpstr>
      <vt:lpstr>'VƯƠN ƯƠM'!Print_Titles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2025-05-02T23:43:25Z</cp:lastPrinted>
  <dcterms:created xsi:type="dcterms:W3CDTF">2016-08-22T04:16:23Z</dcterms:created>
  <dcterms:modified xsi:type="dcterms:W3CDTF">2026-01-30T01:40:54Z</dcterms:modified>
</cp:coreProperties>
</file>