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codeName="ЦяКнига"/>
  <mc:AlternateContent xmlns:mc="http://schemas.openxmlformats.org/markup-compatibility/2006">
    <mc:Choice Requires="x15">
      <x15ac:absPath xmlns:x15ac="http://schemas.microsoft.com/office/spreadsheetml/2010/11/ac" url="/Users/bulhakov/projects/energy-cert-calc/src/mock-data/"/>
    </mc:Choice>
  </mc:AlternateContent>
  <xr:revisionPtr revIDLastSave="0" documentId="13_ncr:1_{E5436CD5-B94C-124F-A66D-8BDCA59972A0}" xr6:coauthVersionLast="47" xr6:coauthVersionMax="47" xr10:uidLastSave="{00000000-0000-0000-0000-000000000000}"/>
  <bookViews>
    <workbookView xWindow="0" yWindow="500" windowWidth="20480" windowHeight="16220" activeTab="4" xr2:uid="{00000000-000D-0000-FFFF-FFFF00000000}"/>
  </bookViews>
  <sheets>
    <sheet name="Відомості" sheetId="4" r:id="rId1"/>
    <sheet name="Вхідні дані" sheetId="1" r:id="rId2"/>
    <sheet name="Матеріали" sheetId="21" r:id="rId3"/>
    <sheet name="Qnd" sheetId="5" r:id="rId4"/>
    <sheet name="Qtr" sheetId="6" r:id="rId5"/>
    <sheet name="Qve" sheetId="7" r:id="rId6"/>
    <sheet name="Qint" sheetId="8" r:id="rId7"/>
    <sheet name="Qsol" sheetId="9" r:id="rId8"/>
    <sheet name="ηgn" sheetId="10" r:id="rId9"/>
    <sheet name="QH,use" sheetId="12" r:id="rId10"/>
    <sheet name="QC,use" sheetId="16" r:id="rId11"/>
    <sheet name="QDHW,use" sheetId="17" r:id="rId12"/>
    <sheet name="QV,use" sheetId="18" r:id="rId13"/>
    <sheet name="W,use" sheetId="19" r:id="rId14"/>
    <sheet name="Ep" sheetId="20" r:id="rId15"/>
    <sheet name="Результати" sheetId="11" r:id="rId16"/>
    <sheet name="Сертифікат" sheetId="13" r:id="rId17"/>
    <sheet name="Діаграма споживання" sheetId="15" r:id="rId18"/>
  </sheets>
  <definedNames>
    <definedName name="ExternalData_1" localSheetId="1" hidden="1">'Вхідні дані'!$A$2:$F$6</definedName>
    <definedName name="ExternalData_2" localSheetId="1" hidden="1">'Вхідні дані'!$H$2:$M$8</definedName>
    <definedName name="ExternalData_3" localSheetId="1" hidden="1">'Вхідні дані'!$O$2:$T$8</definedName>
    <definedName name="ExternalData_4" localSheetId="1" hidden="1">'Вхідні дані'!$V$2:$AA$14</definedName>
    <definedName name="ExternalData_5" localSheetId="1" hidden="1">'Вхідні дані'!$AC$2:$AH$4</definedName>
    <definedName name="ExternalData_6" localSheetId="1" hidden="1">'Вхідні дані'!$AJ$2:$AO$4</definedName>
    <definedName name="ExternalData_7" localSheetId="1" hidden="1">'Вхідні дані'!$AQ$2:$AV$3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/>
  <c r="W53" i="6"/>
  <c r="W52" i="6"/>
  <c r="W51" i="6"/>
  <c r="W50" i="6"/>
  <c r="W49" i="6"/>
  <c r="W48" i="6"/>
  <c r="W47" i="6"/>
  <c r="W46" i="6"/>
  <c r="W45" i="6"/>
  <c r="W44" i="6"/>
  <c r="W43" i="6"/>
  <c r="W42" i="6"/>
  <c r="W41" i="6"/>
  <c r="W40" i="6"/>
  <c r="W39" i="6"/>
  <c r="W38" i="6"/>
  <c r="W37" i="6"/>
  <c r="W36" i="6"/>
  <c r="W35" i="6"/>
  <c r="W34" i="6"/>
  <c r="W33" i="6"/>
  <c r="W32" i="6"/>
  <c r="W31" i="6"/>
  <c r="W30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3" i="6"/>
  <c r="Q26" i="6"/>
  <c r="Q25" i="6"/>
  <c r="Q24" i="6"/>
  <c r="Q23" i="6"/>
  <c r="Q22" i="6"/>
  <c r="Q21" i="6"/>
  <c r="Q20" i="6"/>
  <c r="Q19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W15" i="1"/>
  <c r="X15" i="1"/>
  <c r="Y15" i="1"/>
  <c r="Z15" i="1"/>
  <c r="AA15" i="1"/>
  <c r="I9" i="1"/>
  <c r="J9" i="1"/>
  <c r="K9" i="1"/>
  <c r="L9" i="1"/>
  <c r="M9" i="1"/>
  <c r="P9" i="1"/>
  <c r="Q9" i="1"/>
  <c r="R9" i="1"/>
  <c r="S9" i="1"/>
  <c r="T9" i="1"/>
  <c r="AD5" i="1"/>
  <c r="AE5" i="1"/>
  <c r="AF5" i="1"/>
  <c r="AG5" i="1"/>
  <c r="AH5" i="1"/>
  <c r="AR4" i="1"/>
  <c r="AS4" i="1"/>
  <c r="AT4" i="1"/>
  <c r="AU4" i="1"/>
  <c r="AV4" i="1"/>
  <c r="AK5" i="1"/>
  <c r="AL5" i="1"/>
  <c r="AM5" i="1"/>
  <c r="AN5" i="1"/>
  <c r="AO5" i="1"/>
  <c r="M10" i="6" s="1"/>
  <c r="K10" i="6" s="1"/>
  <c r="C7" i="1"/>
  <c r="D7" i="1"/>
  <c r="E7" i="1"/>
  <c r="F7" i="1"/>
  <c r="J4" i="4"/>
  <c r="J5" i="4"/>
  <c r="E4" i="4"/>
  <c r="E5" i="4"/>
  <c r="E6" i="4"/>
  <c r="E7" i="4"/>
  <c r="E8" i="4"/>
  <c r="E9" i="4"/>
  <c r="E10" i="4"/>
  <c r="E11" i="4"/>
  <c r="E12" i="4"/>
  <c r="E13" i="4"/>
  <c r="E15" i="4"/>
  <c r="E16" i="4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3" i="6"/>
  <c r="J41" i="6"/>
  <c r="J51" i="6"/>
  <c r="J61" i="6"/>
  <c r="AA10" i="6" s="1"/>
  <c r="AA37" i="6" s="1"/>
  <c r="J71" i="6"/>
  <c r="AA11" i="6" s="1"/>
  <c r="AA38" i="6" s="1"/>
  <c r="C112" i="6"/>
  <c r="AA3" i="6" s="1"/>
  <c r="AA30" i="6" s="1"/>
  <c r="C102" i="6"/>
  <c r="AA4" i="6" s="1"/>
  <c r="AA31" i="6" s="1"/>
  <c r="C91" i="6"/>
  <c r="C81" i="6"/>
  <c r="O7" i="6" s="1"/>
  <c r="C71" i="6"/>
  <c r="C61" i="6"/>
  <c r="O5" i="6" s="1"/>
  <c r="C51" i="6"/>
  <c r="C41" i="6"/>
  <c r="O3" i="6" s="1"/>
  <c r="E19" i="7"/>
  <c r="E20" i="7"/>
  <c r="E21" i="7"/>
  <c r="E22" i="7"/>
  <c r="E23" i="7"/>
  <c r="E24" i="7"/>
  <c r="E25" i="7"/>
  <c r="E26" i="7"/>
  <c r="E27" i="7"/>
  <c r="E28" i="7"/>
  <c r="E29" i="7"/>
  <c r="E18" i="7"/>
  <c r="E3" i="7"/>
  <c r="E4" i="7"/>
  <c r="E5" i="7"/>
  <c r="E6" i="7"/>
  <c r="E7" i="7"/>
  <c r="E8" i="7"/>
  <c r="E9" i="7"/>
  <c r="E10" i="7"/>
  <c r="E11" i="7"/>
  <c r="E12" i="7"/>
  <c r="E13" i="7"/>
  <c r="E2" i="7"/>
  <c r="D19" i="7"/>
  <c r="D20" i="7"/>
  <c r="D21" i="7"/>
  <c r="D22" i="7"/>
  <c r="D23" i="7"/>
  <c r="D24" i="7"/>
  <c r="D25" i="7"/>
  <c r="D26" i="7"/>
  <c r="D27" i="7"/>
  <c r="D28" i="7"/>
  <c r="D29" i="7"/>
  <c r="D18" i="7"/>
  <c r="C19" i="7"/>
  <c r="C20" i="7"/>
  <c r="C21" i="7"/>
  <c r="C22" i="7"/>
  <c r="C23" i="7"/>
  <c r="C24" i="7"/>
  <c r="C25" i="7"/>
  <c r="C26" i="7"/>
  <c r="C27" i="7"/>
  <c r="C28" i="7"/>
  <c r="C29" i="7"/>
  <c r="C18" i="7"/>
  <c r="D3" i="7"/>
  <c r="D4" i="7"/>
  <c r="D5" i="7"/>
  <c r="D6" i="7"/>
  <c r="D7" i="7"/>
  <c r="D8" i="7"/>
  <c r="D9" i="7"/>
  <c r="D10" i="7"/>
  <c r="D11" i="7"/>
  <c r="D12" i="7"/>
  <c r="D13" i="7"/>
  <c r="D2" i="7"/>
  <c r="C3" i="7"/>
  <c r="C4" i="7"/>
  <c r="C5" i="7"/>
  <c r="C6" i="7"/>
  <c r="C7" i="7"/>
  <c r="C8" i="7"/>
  <c r="C9" i="7"/>
  <c r="C10" i="7"/>
  <c r="C11" i="7"/>
  <c r="C12" i="7"/>
  <c r="C13" i="7"/>
  <c r="C2" i="7"/>
  <c r="AA34" i="6"/>
  <c r="AA33" i="6"/>
  <c r="AA8" i="6"/>
  <c r="AA35" i="6" s="1"/>
  <c r="AA7" i="6"/>
  <c r="AA6" i="6"/>
  <c r="Y6" i="6" a="1"/>
  <c r="Y6" i="6" s="1"/>
  <c r="Y33" i="6" s="1"/>
  <c r="X6" i="6" a="1"/>
  <c r="X6" i="6" s="1"/>
  <c r="X33" i="6" s="1"/>
  <c r="AA32" i="6"/>
  <c r="X32" i="6"/>
  <c r="X31" i="6"/>
  <c r="X30" i="6"/>
  <c r="Y4" i="6"/>
  <c r="Y31" i="6" s="1"/>
  <c r="Y3" i="6"/>
  <c r="Y30" i="6" s="1"/>
  <c r="O8" i="6"/>
  <c r="O6" i="6"/>
  <c r="O4" i="6"/>
  <c r="M3" i="6" a="1"/>
  <c r="M3" i="6" s="1"/>
  <c r="K3" i="6" s="1"/>
  <c r="L3" i="6" a="1"/>
  <c r="L3" i="6" s="1"/>
  <c r="G98" i="6"/>
  <c r="G97" i="6"/>
  <c r="G107" i="6"/>
  <c r="G111" i="6"/>
  <c r="G110" i="6"/>
  <c r="G109" i="6"/>
  <c r="G108" i="6"/>
  <c r="N68" i="6"/>
  <c r="N67" i="6"/>
  <c r="N66" i="6"/>
  <c r="N57" i="6"/>
  <c r="N56" i="6"/>
  <c r="N48" i="6"/>
  <c r="N47" i="6"/>
  <c r="N46" i="6"/>
  <c r="N37" i="6"/>
  <c r="N36" i="6"/>
  <c r="G88" i="6"/>
  <c r="G87" i="6"/>
  <c r="G86" i="6"/>
  <c r="G78" i="6"/>
  <c r="G77" i="6"/>
  <c r="G76" i="6"/>
  <c r="G68" i="6"/>
  <c r="G67" i="6"/>
  <c r="G66" i="6"/>
  <c r="G58" i="6"/>
  <c r="G57" i="6"/>
  <c r="G56" i="6"/>
  <c r="G48" i="6"/>
  <c r="G47" i="6"/>
  <c r="G46" i="6"/>
  <c r="G38" i="6"/>
  <c r="G37" i="6"/>
  <c r="G36" i="6"/>
  <c r="I63" i="6"/>
  <c r="I53" i="6"/>
  <c r="L61" i="6"/>
  <c r="L60" i="6"/>
  <c r="L59" i="6"/>
  <c r="L58" i="6"/>
  <c r="L57" i="6"/>
  <c r="L56" i="6"/>
  <c r="I43" i="6"/>
  <c r="L51" i="6"/>
  <c r="L50" i="6"/>
  <c r="L49" i="6"/>
  <c r="L48" i="6"/>
  <c r="L47" i="6"/>
  <c r="L46" i="6"/>
  <c r="J48" i="6" s="1"/>
  <c r="I33" i="6"/>
  <c r="L41" i="6"/>
  <c r="L40" i="6"/>
  <c r="L39" i="6"/>
  <c r="L38" i="6"/>
  <c r="L37" i="6"/>
  <c r="L36" i="6"/>
  <c r="B83" i="6"/>
  <c r="B73" i="6"/>
  <c r="B63" i="6"/>
  <c r="B53" i="6"/>
  <c r="B43" i="6"/>
  <c r="B33" i="6"/>
  <c r="M9" i="6"/>
  <c r="K9" i="6" s="1"/>
  <c r="Y5" i="6"/>
  <c r="Y32" i="6" s="1"/>
  <c r="T3" i="6"/>
  <c r="T4" i="6"/>
  <c r="T5" i="6"/>
  <c r="T6" i="6"/>
  <c r="T7" i="6"/>
  <c r="T8" i="6"/>
  <c r="B28" i="12"/>
  <c r="K7" i="6" l="1"/>
  <c r="X34" i="6"/>
  <c r="K6" i="6"/>
  <c r="X35" i="6"/>
  <c r="K5" i="6"/>
  <c r="Y34" i="6"/>
  <c r="X36" i="6"/>
  <c r="K4" i="6"/>
  <c r="Y35" i="6"/>
  <c r="X37" i="6"/>
  <c r="Y36" i="6"/>
  <c r="X38" i="6"/>
  <c r="Y37" i="6"/>
  <c r="Y38" i="6"/>
  <c r="K8" i="6"/>
  <c r="AA9" i="6"/>
  <c r="AA36" i="6" s="1"/>
  <c r="J58" i="6"/>
  <c r="J59" i="6" s="1" a="1"/>
  <c r="J59" i="6" s="1"/>
  <c r="J49" i="6" a="1"/>
  <c r="J49" i="6" s="1"/>
  <c r="J38" i="6"/>
  <c r="J39" i="6" s="1" a="1"/>
  <c r="J39" i="6" s="1"/>
  <c r="B26" i="12"/>
  <c r="D20" i="12"/>
  <c r="F19" i="12"/>
  <c r="T18" i="12" l="1"/>
  <c r="K18" i="12"/>
  <c r="E20" i="12"/>
  <c r="R24" i="12" s="1"/>
  <c r="I24" i="12" l="1"/>
  <c r="I20" i="12"/>
  <c r="K20" i="12"/>
  <c r="R31" i="12"/>
  <c r="I26" i="12"/>
  <c r="I28" i="12"/>
  <c r="R29" i="12"/>
  <c r="I29" i="12"/>
  <c r="I25" i="12"/>
  <c r="R26" i="12"/>
  <c r="I21" i="12"/>
  <c r="R22" i="12"/>
  <c r="R23" i="12"/>
  <c r="I30" i="12"/>
  <c r="I23" i="12"/>
  <c r="I22" i="12"/>
  <c r="I31" i="12"/>
  <c r="R27" i="12"/>
  <c r="R28" i="12"/>
  <c r="R20" i="12"/>
  <c r="R25" i="12"/>
  <c r="R30" i="12"/>
  <c r="I27" i="12"/>
  <c r="R21" i="12"/>
  <c r="M10" i="7"/>
  <c r="I4" i="7"/>
  <c r="W15" i="9"/>
  <c r="L71" i="6"/>
  <c r="L70" i="6"/>
  <c r="L69" i="6"/>
  <c r="L68" i="6"/>
  <c r="L67" i="6"/>
  <c r="L66" i="6"/>
  <c r="W11" i="9" l="1"/>
  <c r="W7" i="9"/>
  <c r="J68" i="6"/>
  <c r="J69" i="6" s="1" a="1"/>
  <c r="J69" i="6" s="1"/>
  <c r="J2" i="7"/>
  <c r="I7" i="7" l="1"/>
  <c r="W3" i="9"/>
  <c r="E2" i="8"/>
  <c r="B2" i="17"/>
  <c r="E58" i="11"/>
  <c r="E56" i="11"/>
  <c r="E55" i="11"/>
  <c r="E54" i="11"/>
  <c r="E53" i="11"/>
  <c r="E52" i="11"/>
  <c r="E57" i="11"/>
  <c r="E5" i="13"/>
  <c r="E4" i="13"/>
  <c r="E2" i="13" s="1"/>
  <c r="E3" i="13"/>
  <c r="E1" i="13" s="1"/>
  <c r="O22" i="17" l="1"/>
  <c r="N22" i="17"/>
  <c r="M22" i="17"/>
  <c r="L22" i="17"/>
  <c r="O17" i="17"/>
  <c r="N17" i="17"/>
  <c r="M17" i="17"/>
  <c r="L17" i="17"/>
  <c r="D2" i="17" s="1"/>
  <c r="K12" i="17"/>
  <c r="L11" i="17" s="1"/>
  <c r="C2" i="17" s="1"/>
  <c r="F2" i="17" s="1"/>
  <c r="O11" i="17"/>
  <c r="N11" i="17"/>
  <c r="M11" i="17"/>
  <c r="K6" i="17"/>
  <c r="K3" i="17"/>
  <c r="P13" i="16"/>
  <c r="P12" i="16"/>
  <c r="P11" i="16"/>
  <c r="P10" i="16"/>
  <c r="O9" i="16"/>
  <c r="P9" i="16" s="1"/>
  <c r="P8" i="16"/>
  <c r="O8" i="16"/>
  <c r="O7" i="16"/>
  <c r="P7" i="16" s="1"/>
  <c r="P6" i="16"/>
  <c r="P5" i="16"/>
  <c r="P4" i="16"/>
  <c r="P3" i="16"/>
  <c r="P2" i="16"/>
  <c r="A19" i="16"/>
  <c r="J13" i="16"/>
  <c r="J12" i="16"/>
  <c r="J11" i="16"/>
  <c r="J10" i="16"/>
  <c r="J9" i="16"/>
  <c r="J8" i="16"/>
  <c r="J7" i="16"/>
  <c r="J6" i="16"/>
  <c r="J5" i="16"/>
  <c r="J4" i="16"/>
  <c r="J3" i="16"/>
  <c r="J2" i="16"/>
  <c r="I2" i="16" s="1"/>
  <c r="H2" i="16" s="1"/>
  <c r="E2" i="17" l="1"/>
  <c r="A2" i="17" s="1"/>
  <c r="B3" i="15" l="1"/>
  <c r="D10" i="11"/>
  <c r="D28" i="11"/>
  <c r="G22" i="13" s="1"/>
  <c r="H22" i="13" s="1"/>
  <c r="D2" i="20"/>
  <c r="D5" i="11"/>
  <c r="D31" i="11"/>
  <c r="D2" i="8"/>
  <c r="N18" i="7" l="1"/>
  <c r="M18" i="7"/>
  <c r="L18" i="7"/>
  <c r="K18" i="7"/>
  <c r="I11" i="7"/>
  <c r="I13" i="7"/>
  <c r="I10" i="7"/>
  <c r="I8" i="7"/>
  <c r="J27" i="7"/>
  <c r="K27" i="7"/>
  <c r="L27" i="7"/>
  <c r="M27" i="7"/>
  <c r="N27" i="7"/>
  <c r="O27" i="7"/>
  <c r="P27" i="7"/>
  <c r="I27" i="7"/>
  <c r="I29" i="7"/>
  <c r="J11" i="7"/>
  <c r="P11" i="7"/>
  <c r="O11" i="7"/>
  <c r="N11" i="7"/>
  <c r="M11" i="7"/>
  <c r="L11" i="7"/>
  <c r="K11" i="7"/>
  <c r="K25" i="7"/>
  <c r="I25" i="7" s="1"/>
  <c r="K9" i="7"/>
  <c r="I9" i="7" s="1"/>
  <c r="I20" i="7"/>
  <c r="I24" i="7"/>
  <c r="O26" i="7"/>
  <c r="M26" i="7"/>
  <c r="I26" i="7"/>
  <c r="K7" i="7"/>
  <c r="M7" i="7"/>
  <c r="O7" i="7"/>
  <c r="G12" i="13"/>
  <c r="G13" i="13"/>
  <c r="D3" i="8"/>
  <c r="D4" i="8"/>
  <c r="D5" i="8"/>
  <c r="D6" i="8"/>
  <c r="D7" i="8"/>
  <c r="D8" i="8"/>
  <c r="D9" i="8"/>
  <c r="D10" i="8"/>
  <c r="D11" i="8"/>
  <c r="D12" i="8"/>
  <c r="D13" i="8"/>
  <c r="Z31" i="8"/>
  <c r="Y31" i="8"/>
  <c r="X31" i="8"/>
  <c r="W31" i="8"/>
  <c r="V31" i="8"/>
  <c r="U31" i="8"/>
  <c r="T31" i="8"/>
  <c r="S31" i="8"/>
  <c r="R31" i="8"/>
  <c r="Q31" i="8"/>
  <c r="P31" i="8"/>
  <c r="O31" i="8"/>
  <c r="O15" i="8"/>
  <c r="AJ5" i="7" s="1"/>
  <c r="K4" i="7" s="1"/>
  <c r="I6" i="7" l="1"/>
  <c r="AJ23" i="7"/>
  <c r="AJ21" i="7"/>
  <c r="K20" i="7" s="1"/>
  <c r="D2" i="18"/>
  <c r="AJ7" i="7"/>
  <c r="M23" i="7"/>
  <c r="M22" i="7" s="1"/>
  <c r="K23" i="7"/>
  <c r="K22" i="7" s="1"/>
  <c r="I23" i="7"/>
  <c r="I22" i="7" s="1"/>
  <c r="O23" i="7"/>
  <c r="O22" i="7" s="1"/>
  <c r="G7" i="13"/>
  <c r="J22" i="7"/>
  <c r="J18" i="7"/>
  <c r="N6" i="7"/>
  <c r="P22" i="7"/>
  <c r="N22" i="7"/>
  <c r="L22" i="7"/>
  <c r="L6" i="7"/>
  <c r="J6" i="7"/>
  <c r="K6" i="7"/>
  <c r="M6" i="7"/>
  <c r="P6" i="7"/>
  <c r="O6" i="7"/>
  <c r="H4" i="7" l="1"/>
  <c r="H20" i="7"/>
  <c r="G20" i="7" s="1"/>
  <c r="F18" i="7" s="1"/>
  <c r="AC38" i="6"/>
  <c r="AB38" i="6" s="1"/>
  <c r="AC37" i="6"/>
  <c r="AB37" i="6" s="1"/>
  <c r="AC36" i="6"/>
  <c r="AB36" i="6" s="1"/>
  <c r="AC35" i="6"/>
  <c r="AB35" i="6" s="1"/>
  <c r="AC34" i="6"/>
  <c r="AB34" i="6" s="1"/>
  <c r="AC33" i="6"/>
  <c r="AB33" i="6" s="1"/>
  <c r="AC32" i="6"/>
  <c r="AC31" i="6"/>
  <c r="AC30" i="6"/>
  <c r="AB30" i="6" s="1"/>
  <c r="AB53" i="6"/>
  <c r="AB52" i="6"/>
  <c r="AB51" i="6"/>
  <c r="AB50" i="6"/>
  <c r="AB49" i="6"/>
  <c r="AB48" i="6"/>
  <c r="AB47" i="6"/>
  <c r="AB46" i="6"/>
  <c r="AB45" i="6"/>
  <c r="AB44" i="6"/>
  <c r="AB43" i="6"/>
  <c r="AB42" i="6"/>
  <c r="AB41" i="6"/>
  <c r="AB40" i="6"/>
  <c r="AB39" i="6"/>
  <c r="AB32" i="6"/>
  <c r="AB31" i="6"/>
  <c r="Z37" i="6"/>
  <c r="Z38" i="6"/>
  <c r="Z53" i="6"/>
  <c r="Z52" i="6"/>
  <c r="Z51" i="6"/>
  <c r="Z50" i="6"/>
  <c r="Z49" i="6"/>
  <c r="Z48" i="6"/>
  <c r="Z47" i="6"/>
  <c r="Z46" i="6"/>
  <c r="Z45" i="6"/>
  <c r="Z44" i="6"/>
  <c r="Z43" i="6"/>
  <c r="Z42" i="6"/>
  <c r="Z41" i="6"/>
  <c r="Z40" i="6"/>
  <c r="Z39" i="6"/>
  <c r="AB3" i="6"/>
  <c r="G4" i="7" l="1"/>
  <c r="F2" i="7" s="1"/>
  <c r="I2" i="7"/>
  <c r="I18" i="7"/>
  <c r="B20" i="7" l="1"/>
  <c r="G18" i="7"/>
  <c r="B19" i="7"/>
  <c r="B18" i="7"/>
  <c r="F2" i="18"/>
  <c r="C2" i="18" s="1"/>
  <c r="B2" i="18" s="1"/>
  <c r="A2" i="18" s="1"/>
  <c r="O2" i="10"/>
  <c r="B4" i="15" l="1"/>
  <c r="D38" i="11"/>
  <c r="D35" i="11"/>
  <c r="G24" i="13" s="1"/>
  <c r="H24" i="13" s="1"/>
  <c r="B2" i="7"/>
  <c r="U10" i="12"/>
  <c r="V18" i="12" s="1"/>
  <c r="D11" i="11"/>
  <c r="D6" i="11"/>
  <c r="D15" i="11" s="1"/>
  <c r="Q21" i="12"/>
  <c r="W21" i="12" s="1"/>
  <c r="Q22" i="12"/>
  <c r="Q23" i="12"/>
  <c r="Q24" i="12"/>
  <c r="Q25" i="12"/>
  <c r="Q26" i="12"/>
  <c r="W26" i="12" s="1"/>
  <c r="Q27" i="12"/>
  <c r="Q28" i="12"/>
  <c r="W28" i="12" s="1"/>
  <c r="Q29" i="12"/>
  <c r="Q30" i="12"/>
  <c r="Q31" i="12"/>
  <c r="Q20" i="12"/>
  <c r="T20" i="12" s="1"/>
  <c r="N31" i="12"/>
  <c r="M31" i="12"/>
  <c r="L31" i="12"/>
  <c r="K31" i="12"/>
  <c r="N30" i="12"/>
  <c r="M30" i="12"/>
  <c r="L30" i="12"/>
  <c r="K30" i="12"/>
  <c r="N29" i="12"/>
  <c r="M29" i="12"/>
  <c r="L29" i="12"/>
  <c r="K29" i="12"/>
  <c r="N28" i="12"/>
  <c r="M28" i="12"/>
  <c r="L28" i="12"/>
  <c r="K28" i="12"/>
  <c r="N27" i="12"/>
  <c r="M27" i="12"/>
  <c r="L27" i="12"/>
  <c r="K27" i="12"/>
  <c r="N26" i="12"/>
  <c r="M26" i="12"/>
  <c r="L26" i="12"/>
  <c r="K26" i="12"/>
  <c r="N25" i="12"/>
  <c r="M25" i="12"/>
  <c r="L25" i="12"/>
  <c r="K25" i="12"/>
  <c r="N24" i="12"/>
  <c r="M24" i="12"/>
  <c r="L24" i="12"/>
  <c r="K24" i="12"/>
  <c r="N23" i="12"/>
  <c r="M23" i="12"/>
  <c r="L23" i="12"/>
  <c r="K23" i="12"/>
  <c r="N22" i="12"/>
  <c r="M22" i="12"/>
  <c r="L22" i="12"/>
  <c r="K22" i="12"/>
  <c r="N21" i="12"/>
  <c r="M21" i="12"/>
  <c r="L21" i="12"/>
  <c r="K21" i="12"/>
  <c r="A21" i="12"/>
  <c r="N20" i="12"/>
  <c r="M20" i="12"/>
  <c r="L20" i="12"/>
  <c r="G10" i="12" l="1"/>
  <c r="G8" i="12"/>
  <c r="G4" i="12"/>
  <c r="B3" i="7"/>
  <c r="B4" i="7"/>
  <c r="G2" i="12"/>
  <c r="G7" i="12"/>
  <c r="G5" i="12"/>
  <c r="G12" i="12"/>
  <c r="G6" i="12"/>
  <c r="G9" i="12"/>
  <c r="G11" i="12"/>
  <c r="W30" i="12"/>
  <c r="G13" i="12"/>
  <c r="G3" i="12"/>
  <c r="W25" i="12"/>
  <c r="W31" i="12"/>
  <c r="W22" i="12"/>
  <c r="W23" i="12"/>
  <c r="W24" i="12"/>
  <c r="W29" i="12"/>
  <c r="W27" i="12"/>
  <c r="W20" i="12"/>
  <c r="U9" i="12"/>
  <c r="U18" i="12" s="1"/>
  <c r="D32" i="11"/>
  <c r="B31" i="11" s="1"/>
  <c r="D25" i="11"/>
  <c r="D18" i="11"/>
  <c r="D39" i="11"/>
  <c r="B38" i="11" s="1"/>
  <c r="E2" i="20" s="1"/>
  <c r="V27" i="12"/>
  <c r="V20" i="12"/>
  <c r="V28" i="12"/>
  <c r="V30" i="12"/>
  <c r="V29" i="12"/>
  <c r="V31" i="12"/>
  <c r="T21" i="12"/>
  <c r="T22" i="12"/>
  <c r="T25" i="12"/>
  <c r="T26" i="12"/>
  <c r="T27" i="12"/>
  <c r="V21" i="12"/>
  <c r="V22" i="12"/>
  <c r="V23" i="12"/>
  <c r="V24" i="12"/>
  <c r="V25" i="12"/>
  <c r="T28" i="12"/>
  <c r="T29" i="12"/>
  <c r="T30" i="12"/>
  <c r="T31" i="12"/>
  <c r="T23" i="12"/>
  <c r="T24" i="12"/>
  <c r="V26" i="12"/>
  <c r="D22" i="11"/>
  <c r="D36" i="11"/>
  <c r="B35" i="11" s="1"/>
  <c r="D47" i="11"/>
  <c r="D45" i="11"/>
  <c r="D29" i="11"/>
  <c r="B28" i="11" s="1"/>
  <c r="D42" i="11"/>
  <c r="U22" i="12" l="1"/>
  <c r="H4" i="12" s="1"/>
  <c r="C2" i="19"/>
  <c r="B2" i="19"/>
  <c r="U20" i="12" l="1"/>
  <c r="H2" i="12" s="1"/>
  <c r="U25" i="12"/>
  <c r="H7" i="12" s="1"/>
  <c r="U24" i="12"/>
  <c r="H6" i="12" s="1"/>
  <c r="U28" i="12"/>
  <c r="H10" i="12" s="1"/>
  <c r="U31" i="12"/>
  <c r="H13" i="12" s="1"/>
  <c r="U27" i="12"/>
  <c r="H9" i="12" s="1"/>
  <c r="U23" i="12"/>
  <c r="H5" i="12" s="1"/>
  <c r="U30" i="12"/>
  <c r="H12" i="12" s="1"/>
  <c r="U26" i="12"/>
  <c r="H8" i="12" s="1"/>
  <c r="U29" i="12"/>
  <c r="H11" i="12" s="1"/>
  <c r="A2" i="19"/>
  <c r="D41" i="11" s="1"/>
  <c r="U21" i="12"/>
  <c r="H3" i="12" s="1"/>
  <c r="E112" i="6"/>
  <c r="E111" i="6"/>
  <c r="E110" i="6"/>
  <c r="E109" i="6"/>
  <c r="E108" i="6"/>
  <c r="E107" i="6"/>
  <c r="E102" i="6"/>
  <c r="E101" i="6"/>
  <c r="E100" i="6"/>
  <c r="E99" i="6"/>
  <c r="E98" i="6"/>
  <c r="E97" i="6"/>
  <c r="E91" i="6"/>
  <c r="E90" i="6"/>
  <c r="E89" i="6"/>
  <c r="E88" i="6"/>
  <c r="E87" i="6"/>
  <c r="E86" i="6"/>
  <c r="E81" i="6"/>
  <c r="E80" i="6"/>
  <c r="E79" i="6"/>
  <c r="E78" i="6"/>
  <c r="E77" i="6"/>
  <c r="E76" i="6"/>
  <c r="E71" i="6"/>
  <c r="E70" i="6"/>
  <c r="E69" i="6"/>
  <c r="E68" i="6"/>
  <c r="E67" i="6"/>
  <c r="E66" i="6"/>
  <c r="E61" i="6"/>
  <c r="E60" i="6"/>
  <c r="E59" i="6"/>
  <c r="E58" i="6"/>
  <c r="E57" i="6"/>
  <c r="E56" i="6"/>
  <c r="E51" i="6"/>
  <c r="E50" i="6"/>
  <c r="E49" i="6"/>
  <c r="E48" i="6"/>
  <c r="E47" i="6"/>
  <c r="E46" i="6"/>
  <c r="G11" i="13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4" i="6"/>
  <c r="G8" i="13"/>
  <c r="S19" i="10"/>
  <c r="S18" i="10"/>
  <c r="S17" i="10"/>
  <c r="S16" i="10"/>
  <c r="S15" i="10"/>
  <c r="V12" i="10"/>
  <c r="U12" i="10"/>
  <c r="L58" i="9"/>
  <c r="K58" i="9"/>
  <c r="L56" i="9"/>
  <c r="AJ13" i="9" s="1"/>
  <c r="K56" i="9"/>
  <c r="L26" i="9"/>
  <c r="T15" i="8"/>
  <c r="S15" i="8"/>
  <c r="R15" i="8"/>
  <c r="Z26" i="6"/>
  <c r="T26" i="6"/>
  <c r="Z25" i="6"/>
  <c r="T25" i="6"/>
  <c r="Z24" i="6"/>
  <c r="T24" i="6"/>
  <c r="Z23" i="6"/>
  <c r="T23" i="6"/>
  <c r="E41" i="6"/>
  <c r="Z22" i="6"/>
  <c r="T22" i="6"/>
  <c r="E40" i="6"/>
  <c r="Z21" i="6"/>
  <c r="T21" i="6"/>
  <c r="E39" i="6"/>
  <c r="Z20" i="6"/>
  <c r="T20" i="6"/>
  <c r="E38" i="6"/>
  <c r="Z19" i="6"/>
  <c r="T19" i="6"/>
  <c r="E37" i="6"/>
  <c r="Z18" i="6"/>
  <c r="T18" i="6"/>
  <c r="E36" i="6"/>
  <c r="Z17" i="6"/>
  <c r="T17" i="6"/>
  <c r="Z16" i="6"/>
  <c r="T16" i="6"/>
  <c r="Z15" i="6"/>
  <c r="T15" i="6"/>
  <c r="Z14" i="6"/>
  <c r="T14" i="6"/>
  <c r="Z13" i="6"/>
  <c r="T13" i="6"/>
  <c r="Z12" i="6"/>
  <c r="T12" i="6"/>
  <c r="Z11" i="6"/>
  <c r="T11" i="6"/>
  <c r="Z10" i="6"/>
  <c r="T10" i="6"/>
  <c r="T9" i="6"/>
  <c r="B8" i="8" l="1"/>
  <c r="G24" i="5" s="1"/>
  <c r="B2" i="8"/>
  <c r="B12" i="8"/>
  <c r="G28" i="5" s="1"/>
  <c r="B11" i="8"/>
  <c r="G27" i="5" s="1"/>
  <c r="B7" i="8"/>
  <c r="G23" i="5" s="1"/>
  <c r="B10" i="8"/>
  <c r="G26" i="5" s="1"/>
  <c r="B4" i="8"/>
  <c r="G20" i="5" s="1"/>
  <c r="B3" i="8"/>
  <c r="G19" i="5" s="1"/>
  <c r="B5" i="8"/>
  <c r="G21" i="5" s="1"/>
  <c r="B6" i="8"/>
  <c r="G22" i="5" s="1"/>
  <c r="B9" i="8"/>
  <c r="G25" i="5" s="1"/>
  <c r="B13" i="8"/>
  <c r="G29" i="5" s="1"/>
  <c r="V3" i="9"/>
  <c r="N3" i="9" s="1"/>
  <c r="V13" i="9"/>
  <c r="S7" i="9" s="1"/>
  <c r="V11" i="9"/>
  <c r="R6" i="9" s="1"/>
  <c r="V7" i="9"/>
  <c r="P3" i="9" s="1"/>
  <c r="V9" i="9"/>
  <c r="Q4" i="9" s="1"/>
  <c r="V15" i="9"/>
  <c r="T13" i="9" s="1"/>
  <c r="V5" i="9"/>
  <c r="O3" i="9" s="1"/>
  <c r="V17" i="9"/>
  <c r="U8" i="9" s="1"/>
  <c r="B5" i="15"/>
  <c r="G23" i="13"/>
  <c r="H23" i="13" s="1"/>
  <c r="B41" i="11"/>
  <c r="F2" i="20" s="1"/>
  <c r="AJ9" i="9"/>
  <c r="Q5" i="9"/>
  <c r="AJ17" i="9"/>
  <c r="C48" i="6"/>
  <c r="C88" i="6"/>
  <c r="C109" i="6"/>
  <c r="C99" i="6"/>
  <c r="C78" i="6"/>
  <c r="C68" i="6"/>
  <c r="C58" i="6"/>
  <c r="C38" i="6"/>
  <c r="AG19" i="9"/>
  <c r="AJ19" i="9"/>
  <c r="AG17" i="9"/>
  <c r="AG13" i="9"/>
  <c r="AG5" i="9"/>
  <c r="AG9" i="9"/>
  <c r="AJ5" i="9"/>
  <c r="H2" i="6" l="1"/>
  <c r="H18" i="6" s="1"/>
  <c r="C69" i="6" a="1"/>
  <c r="C69" i="6" s="1"/>
  <c r="C89" i="6" a="1"/>
  <c r="C89" i="6" s="1"/>
  <c r="C59" i="6" a="1"/>
  <c r="C59" i="6" s="1"/>
  <c r="C39" i="6" a="1"/>
  <c r="C39" i="6" s="1"/>
  <c r="S12" i="9"/>
  <c r="S10" i="9"/>
  <c r="S6" i="9"/>
  <c r="S9" i="9"/>
  <c r="S5" i="9"/>
  <c r="S14" i="9"/>
  <c r="S13" i="9"/>
  <c r="S4" i="9"/>
  <c r="R5" i="9"/>
  <c r="R12" i="9"/>
  <c r="N12" i="9"/>
  <c r="R13" i="9"/>
  <c r="R9" i="9"/>
  <c r="R10" i="9"/>
  <c r="R11" i="9"/>
  <c r="P10" i="9"/>
  <c r="R4" i="9"/>
  <c r="P5" i="9"/>
  <c r="P6" i="9"/>
  <c r="P11" i="9"/>
  <c r="P14" i="9"/>
  <c r="P8" i="9"/>
  <c r="P12" i="9"/>
  <c r="R7" i="9"/>
  <c r="R14" i="9"/>
  <c r="Q7" i="9"/>
  <c r="Q11" i="9"/>
  <c r="R8" i="9"/>
  <c r="Q10" i="9"/>
  <c r="T8" i="9"/>
  <c r="P7" i="9"/>
  <c r="O10" i="9"/>
  <c r="Q8" i="9"/>
  <c r="R3" i="9"/>
  <c r="T12" i="9"/>
  <c r="T4" i="9"/>
  <c r="O13" i="9"/>
  <c r="O4" i="9"/>
  <c r="O11" i="9"/>
  <c r="T6" i="9"/>
  <c r="U10" i="9"/>
  <c r="U6" i="9"/>
  <c r="U13" i="9"/>
  <c r="U4" i="9"/>
  <c r="U12" i="9"/>
  <c r="U9" i="9"/>
  <c r="U3" i="9"/>
  <c r="U11" i="9"/>
  <c r="Q13" i="9"/>
  <c r="Q9" i="9"/>
  <c r="T3" i="9"/>
  <c r="Q6" i="9"/>
  <c r="O12" i="9"/>
  <c r="T10" i="9"/>
  <c r="U7" i="9"/>
  <c r="O8" i="9"/>
  <c r="O6" i="9"/>
  <c r="T5" i="9"/>
  <c r="P4" i="9"/>
  <c r="P9" i="9"/>
  <c r="Q14" i="9"/>
  <c r="T9" i="9"/>
  <c r="T7" i="9"/>
  <c r="U14" i="9"/>
  <c r="O7" i="9"/>
  <c r="T14" i="9"/>
  <c r="Q3" i="9"/>
  <c r="O9" i="9"/>
  <c r="P13" i="9"/>
  <c r="O5" i="9"/>
  <c r="O14" i="9"/>
  <c r="Q12" i="9"/>
  <c r="T11" i="9"/>
  <c r="U5" i="9"/>
  <c r="S8" i="9"/>
  <c r="S3" i="9"/>
  <c r="S11" i="9"/>
  <c r="C79" i="6" a="1"/>
  <c r="C79" i="6" s="1"/>
  <c r="G18" i="5"/>
  <c r="N6" i="9"/>
  <c r="N7" i="9"/>
  <c r="N11" i="9"/>
  <c r="N14" i="9"/>
  <c r="N10" i="9"/>
  <c r="N4" i="9"/>
  <c r="N5" i="9"/>
  <c r="N8" i="9"/>
  <c r="N13" i="9"/>
  <c r="N9" i="9"/>
  <c r="AI7" i="9"/>
  <c r="AG7" i="9" s="1"/>
  <c r="C49" i="6" a="1"/>
  <c r="C49" i="6" s="1"/>
  <c r="Z3" i="6"/>
  <c r="C100" i="6" a="1"/>
  <c r="C100" i="6" s="1"/>
  <c r="Z4" i="6"/>
  <c r="C110" i="6" a="1"/>
  <c r="C110" i="6" s="1"/>
  <c r="AF14" i="9"/>
  <c r="G9" i="5"/>
  <c r="G12" i="5"/>
  <c r="G10" i="5"/>
  <c r="G11" i="5"/>
  <c r="G8" i="5"/>
  <c r="G6" i="5"/>
  <c r="G3" i="5"/>
  <c r="G4" i="5"/>
  <c r="G7" i="5"/>
  <c r="G2" i="5"/>
  <c r="G13" i="5"/>
  <c r="G5" i="5"/>
  <c r="AI3" i="9"/>
  <c r="AJ3" i="9" s="1"/>
  <c r="AI15" i="9"/>
  <c r="AJ15" i="9" s="1"/>
  <c r="AI11" i="9"/>
  <c r="AJ11" i="9" s="1"/>
  <c r="AF6" i="9"/>
  <c r="AF9" i="9"/>
  <c r="AF4" i="9"/>
  <c r="AF12" i="9"/>
  <c r="AF13" i="9"/>
  <c r="AF8" i="9"/>
  <c r="AF7" i="9"/>
  <c r="AF10" i="9"/>
  <c r="AF11" i="9"/>
  <c r="AF5" i="9"/>
  <c r="AF3" i="9"/>
  <c r="Y14" i="9"/>
  <c r="Y7" i="9"/>
  <c r="Y6" i="9"/>
  <c r="Y13" i="9"/>
  <c r="Y12" i="9"/>
  <c r="Y5" i="9"/>
  <c r="Y4" i="9"/>
  <c r="Y11" i="9"/>
  <c r="Y10" i="9"/>
  <c r="Y3" i="9"/>
  <c r="Y9" i="9"/>
  <c r="Y8" i="9"/>
  <c r="AC14" i="9"/>
  <c r="AC7" i="9"/>
  <c r="AC6" i="9"/>
  <c r="AC13" i="9"/>
  <c r="AC12" i="9"/>
  <c r="AC5" i="9"/>
  <c r="AC4" i="9"/>
  <c r="AC11" i="9"/>
  <c r="AC10" i="9"/>
  <c r="AC3" i="9"/>
  <c r="AC9" i="9"/>
  <c r="AC8" i="9"/>
  <c r="AA11" i="9"/>
  <c r="AA10" i="9"/>
  <c r="AA3" i="9"/>
  <c r="AA6" i="9"/>
  <c r="AA9" i="9"/>
  <c r="AA8" i="9"/>
  <c r="AA14" i="9"/>
  <c r="AA7" i="9"/>
  <c r="AA13" i="9"/>
  <c r="AA5" i="9"/>
  <c r="AA12" i="9"/>
  <c r="AA4" i="9"/>
  <c r="AE11" i="9"/>
  <c r="AE10" i="9"/>
  <c r="AE3" i="9"/>
  <c r="AE9" i="9"/>
  <c r="AE8" i="9"/>
  <c r="AE14" i="9"/>
  <c r="AE7" i="9"/>
  <c r="AE6" i="9"/>
  <c r="AE4" i="9"/>
  <c r="AE13" i="9"/>
  <c r="AE5" i="9"/>
  <c r="AE12" i="9"/>
  <c r="M3" i="9" l="1"/>
  <c r="AG15" i="9"/>
  <c r="AD14" i="9" s="1"/>
  <c r="AJ7" i="9"/>
  <c r="Z5" i="9" s="1"/>
  <c r="E4" i="5"/>
  <c r="B9" i="7"/>
  <c r="E9" i="5" s="1"/>
  <c r="B11" i="7"/>
  <c r="E11" i="5" s="1"/>
  <c r="B12" i="7"/>
  <c r="E12" i="5" s="1"/>
  <c r="E3" i="5"/>
  <c r="E2" i="5"/>
  <c r="B8" i="7"/>
  <c r="E8" i="5" s="1"/>
  <c r="B6" i="7"/>
  <c r="E6" i="5" s="1"/>
  <c r="B13" i="7"/>
  <c r="E13" i="5" s="1"/>
  <c r="B10" i="7"/>
  <c r="E10" i="5" s="1"/>
  <c r="B7" i="7"/>
  <c r="E7" i="5" s="1"/>
  <c r="B5" i="7"/>
  <c r="E5" i="5" s="1"/>
  <c r="Z31" i="6"/>
  <c r="Z30" i="6"/>
  <c r="B29" i="7"/>
  <c r="E29" i="5" s="1"/>
  <c r="B24" i="7"/>
  <c r="E24" i="5" s="1"/>
  <c r="B26" i="7"/>
  <c r="E26" i="5" s="1"/>
  <c r="B25" i="7"/>
  <c r="E25" i="5" s="1"/>
  <c r="B23" i="7"/>
  <c r="E23" i="5" s="1"/>
  <c r="E18" i="5"/>
  <c r="B22" i="7"/>
  <c r="E22" i="5" s="1"/>
  <c r="E20" i="5"/>
  <c r="B21" i="7"/>
  <c r="E21" i="5" s="1"/>
  <c r="E19" i="5"/>
  <c r="B27" i="7"/>
  <c r="E27" i="5" s="1"/>
  <c r="B28" i="7"/>
  <c r="E28" i="5" s="1"/>
  <c r="Z6" i="6"/>
  <c r="Z33" i="6"/>
  <c r="AG3" i="9"/>
  <c r="X7" i="9" s="1"/>
  <c r="AG11" i="9"/>
  <c r="AB5" i="9" s="1"/>
  <c r="G2" i="6" l="1"/>
  <c r="G18" i="6" s="1"/>
  <c r="AD5" i="9"/>
  <c r="AD7" i="9"/>
  <c r="AD10" i="9"/>
  <c r="AD6" i="9"/>
  <c r="AD11" i="9"/>
  <c r="AD12" i="9"/>
  <c r="AD8" i="9"/>
  <c r="AD3" i="9"/>
  <c r="AD4" i="9"/>
  <c r="AD9" i="9"/>
  <c r="AD13" i="9"/>
  <c r="Z12" i="9"/>
  <c r="Z14" i="9"/>
  <c r="Z11" i="9"/>
  <c r="Z3" i="9"/>
  <c r="Z6" i="9"/>
  <c r="Z9" i="9"/>
  <c r="Z4" i="9"/>
  <c r="Z13" i="9"/>
  <c r="Z8" i="9"/>
  <c r="Z10" i="9"/>
  <c r="Z7" i="9"/>
  <c r="M7" i="9" s="1"/>
  <c r="X4" i="9"/>
  <c r="X3" i="9"/>
  <c r="X13" i="9"/>
  <c r="X11" i="9"/>
  <c r="X6" i="9"/>
  <c r="X9" i="9"/>
  <c r="X10" i="9"/>
  <c r="X8" i="9"/>
  <c r="X12" i="9"/>
  <c r="X14" i="9"/>
  <c r="X5" i="9"/>
  <c r="Z8" i="6"/>
  <c r="Z35" i="6"/>
  <c r="Z9" i="6"/>
  <c r="Z36" i="6"/>
  <c r="Z7" i="6"/>
  <c r="Z34" i="6"/>
  <c r="Z5" i="6"/>
  <c r="Z32" i="6"/>
  <c r="AB10" i="9"/>
  <c r="AB3" i="9"/>
  <c r="AB12" i="9"/>
  <c r="AB14" i="9"/>
  <c r="AB9" i="9"/>
  <c r="AB4" i="9"/>
  <c r="AB8" i="9"/>
  <c r="AB13" i="9"/>
  <c r="AB7" i="9"/>
  <c r="AB6" i="9"/>
  <c r="AB11" i="9"/>
  <c r="M14" i="9" l="1"/>
  <c r="B14" i="9" s="1"/>
  <c r="H29" i="5" s="1"/>
  <c r="F29" i="5" s="1"/>
  <c r="M10" i="9"/>
  <c r="B10" i="9" s="1"/>
  <c r="H25" i="5" s="1"/>
  <c r="F25" i="5" s="1"/>
  <c r="M12" i="9"/>
  <c r="B12" i="9" s="1"/>
  <c r="H11" i="5" s="1"/>
  <c r="F11" i="5" s="1"/>
  <c r="M13" i="9"/>
  <c r="B13" i="9" s="1"/>
  <c r="H12" i="5" s="1"/>
  <c r="F12" i="5" s="1"/>
  <c r="M4" i="9"/>
  <c r="B4" i="9" s="1"/>
  <c r="H19" i="5" s="1"/>
  <c r="F19" i="5" s="1"/>
  <c r="M8" i="9"/>
  <c r="B8" i="9" s="1"/>
  <c r="H23" i="5" s="1"/>
  <c r="F23" i="5" s="1"/>
  <c r="M9" i="9"/>
  <c r="B9" i="9" s="1"/>
  <c r="H24" i="5" s="1"/>
  <c r="F24" i="5" s="1"/>
  <c r="M6" i="9"/>
  <c r="B6" i="9" s="1"/>
  <c r="H21" i="5" s="1"/>
  <c r="F21" i="5" s="1"/>
  <c r="M11" i="9"/>
  <c r="B11" i="9" s="1"/>
  <c r="H26" i="5" s="1"/>
  <c r="F26" i="5" s="1"/>
  <c r="M5" i="9"/>
  <c r="B5" i="9" s="1"/>
  <c r="B7" i="9"/>
  <c r="H22" i="5" s="1"/>
  <c r="F22" i="5" s="1"/>
  <c r="B3" i="9"/>
  <c r="H18" i="5" s="1"/>
  <c r="F18" i="5" s="1"/>
  <c r="I2" i="6"/>
  <c r="F2" i="6" s="1"/>
  <c r="I18" i="6"/>
  <c r="F18" i="6" s="1"/>
  <c r="H6" i="5" l="1"/>
  <c r="F6" i="5" s="1"/>
  <c r="H20" i="5"/>
  <c r="F20" i="5" s="1"/>
  <c r="H4" i="5"/>
  <c r="F4" i="5" s="1"/>
  <c r="H27" i="5"/>
  <c r="F27" i="5" s="1"/>
  <c r="H9" i="5"/>
  <c r="F9" i="5" s="1"/>
  <c r="H28" i="5"/>
  <c r="F28" i="5" s="1"/>
  <c r="H13" i="5"/>
  <c r="F13" i="5" s="1"/>
  <c r="H3" i="5"/>
  <c r="F3" i="5" s="1"/>
  <c r="H8" i="5"/>
  <c r="F8" i="5" s="1"/>
  <c r="H10" i="5"/>
  <c r="F10" i="5" s="1"/>
  <c r="H5" i="5"/>
  <c r="F5" i="5" s="1"/>
  <c r="H7" i="5"/>
  <c r="F7" i="5" s="1"/>
  <c r="H2" i="5"/>
  <c r="F2" i="5" s="1"/>
  <c r="B27" i="6"/>
  <c r="D27" i="5" s="1"/>
  <c r="C27" i="5" s="1"/>
  <c r="B25" i="6"/>
  <c r="D25" i="5" s="1"/>
  <c r="C25" i="5" s="1"/>
  <c r="B26" i="6"/>
  <c r="D26" i="5" s="1"/>
  <c r="C26" i="5" s="1"/>
  <c r="B18" i="6"/>
  <c r="D18" i="5" s="1"/>
  <c r="C18" i="5" s="1"/>
  <c r="C18" i="10" s="1"/>
  <c r="B22" i="6"/>
  <c r="D22" i="5" s="1"/>
  <c r="C22" i="5" s="1"/>
  <c r="B20" i="6"/>
  <c r="D20" i="5" s="1"/>
  <c r="C20" i="5" s="1"/>
  <c r="B21" i="6"/>
  <c r="D21" i="5" s="1"/>
  <c r="C21" i="5" s="1"/>
  <c r="B19" i="6"/>
  <c r="D19" i="5" s="1"/>
  <c r="C19" i="5" s="1"/>
  <c r="B29" i="6"/>
  <c r="D29" i="5" s="1"/>
  <c r="C29" i="5" s="1"/>
  <c r="B28" i="6"/>
  <c r="D28" i="5" s="1"/>
  <c r="C28" i="5" s="1"/>
  <c r="B24" i="6"/>
  <c r="D24" i="5" s="1"/>
  <c r="C24" i="5" s="1"/>
  <c r="B23" i="6"/>
  <c r="D23" i="5" s="1"/>
  <c r="C23" i="5" s="1"/>
  <c r="C23" i="10" s="1"/>
  <c r="F23" i="10" s="1"/>
  <c r="E18" i="10"/>
  <c r="D18" i="10" s="1"/>
  <c r="D14" i="4"/>
  <c r="E14" i="4" s="1"/>
  <c r="D2" i="5" l="1"/>
  <c r="C2" i="5" s="1"/>
  <c r="C2" i="10" s="1"/>
  <c r="E2" i="10"/>
  <c r="D2" i="10" s="1"/>
  <c r="K5" i="10" s="1"/>
  <c r="B11" i="6"/>
  <c r="D11" i="5" s="1"/>
  <c r="C11" i="5" s="1"/>
  <c r="C11" i="10" s="1"/>
  <c r="H11" i="10" s="1"/>
  <c r="B7" i="6"/>
  <c r="D7" i="5" s="1"/>
  <c r="C7" i="5" s="1"/>
  <c r="C7" i="10" s="1"/>
  <c r="I7" i="10" s="1"/>
  <c r="B6" i="6"/>
  <c r="D6" i="5" s="1"/>
  <c r="C6" i="5" s="1"/>
  <c r="C6" i="10" s="1"/>
  <c r="H6" i="10" s="1"/>
  <c r="B4" i="6"/>
  <c r="D4" i="5" s="1"/>
  <c r="C4" i="5" s="1"/>
  <c r="C4" i="10" s="1"/>
  <c r="H4" i="10" s="1"/>
  <c r="B3" i="6"/>
  <c r="D3" i="5" s="1"/>
  <c r="C3" i="5" s="1"/>
  <c r="C3" i="10" s="1"/>
  <c r="G3" i="10" s="1"/>
  <c r="B5" i="6"/>
  <c r="D5" i="5" s="1"/>
  <c r="C5" i="5" s="1"/>
  <c r="C5" i="10" s="1"/>
  <c r="H5" i="10" s="1"/>
  <c r="B13" i="6"/>
  <c r="D13" i="5" s="1"/>
  <c r="C13" i="5" s="1"/>
  <c r="C13" i="10" s="1"/>
  <c r="F13" i="10" s="1"/>
  <c r="B10" i="6"/>
  <c r="D10" i="5" s="1"/>
  <c r="C10" i="5" s="1"/>
  <c r="C10" i="10" s="1"/>
  <c r="G10" i="10" s="1"/>
  <c r="B9" i="6"/>
  <c r="D9" i="5" s="1"/>
  <c r="C9" i="5" s="1"/>
  <c r="C9" i="10" s="1"/>
  <c r="B12" i="6"/>
  <c r="D12" i="5" s="1"/>
  <c r="C12" i="5" s="1"/>
  <c r="C12" i="10" s="1"/>
  <c r="I12" i="10" s="1"/>
  <c r="B8" i="6"/>
  <c r="D8" i="5" s="1"/>
  <c r="C8" i="5" s="1"/>
  <c r="C8" i="10" s="1"/>
  <c r="L8" i="10" s="1"/>
  <c r="L19" i="10"/>
  <c r="L25" i="10"/>
  <c r="L20" i="10"/>
  <c r="L28" i="10"/>
  <c r="L21" i="10"/>
  <c r="L27" i="10"/>
  <c r="L29" i="10"/>
  <c r="L22" i="10"/>
  <c r="L23" i="10"/>
  <c r="L26" i="10"/>
  <c r="L18" i="10"/>
  <c r="L24" i="10"/>
  <c r="H18" i="10"/>
  <c r="F18" i="10"/>
  <c r="G18" i="10"/>
  <c r="I18" i="10"/>
  <c r="J18" i="10"/>
  <c r="H23" i="10"/>
  <c r="G23" i="10"/>
  <c r="I23" i="10"/>
  <c r="J23" i="10"/>
  <c r="C27" i="10"/>
  <c r="F27" i="10" s="1"/>
  <c r="C24" i="10"/>
  <c r="F24" i="10" s="1"/>
  <c r="C25" i="10"/>
  <c r="F25" i="10" s="1"/>
  <c r="C21" i="10"/>
  <c r="F21" i="10" s="1"/>
  <c r="C20" i="10"/>
  <c r="F20" i="10" s="1"/>
  <c r="C19" i="10"/>
  <c r="F19" i="10" s="1"/>
  <c r="C22" i="10"/>
  <c r="F22" i="10" s="1"/>
  <c r="C26" i="10"/>
  <c r="F26" i="10" s="1"/>
  <c r="C29" i="10"/>
  <c r="F29" i="10" s="1"/>
  <c r="C28" i="10"/>
  <c r="F28" i="10" s="1"/>
  <c r="K10" i="10" l="1"/>
  <c r="K12" i="10"/>
  <c r="K7" i="10"/>
  <c r="K11" i="10"/>
  <c r="K8" i="10"/>
  <c r="K4" i="10"/>
  <c r="K6" i="10"/>
  <c r="K9" i="10"/>
  <c r="K3" i="10"/>
  <c r="K2" i="10"/>
  <c r="K13" i="10"/>
  <c r="J9" i="10"/>
  <c r="I11" i="10"/>
  <c r="G11" i="10"/>
  <c r="F11" i="10"/>
  <c r="J11" i="10"/>
  <c r="L11" i="10"/>
  <c r="G6" i="10"/>
  <c r="I6" i="10"/>
  <c r="J6" i="10"/>
  <c r="L6" i="10"/>
  <c r="F6" i="10"/>
  <c r="N6" i="10" s="1"/>
  <c r="F4" i="10"/>
  <c r="I4" i="10"/>
  <c r="J4" i="10"/>
  <c r="G4" i="10"/>
  <c r="L4" i="10"/>
  <c r="H13" i="10"/>
  <c r="G13" i="10"/>
  <c r="I13" i="10"/>
  <c r="L13" i="10"/>
  <c r="J13" i="10"/>
  <c r="H9" i="10"/>
  <c r="L9" i="10"/>
  <c r="I9" i="10"/>
  <c r="F9" i="10"/>
  <c r="G9" i="10"/>
  <c r="L12" i="10"/>
  <c r="J12" i="10"/>
  <c r="F12" i="10"/>
  <c r="N12" i="10" s="1"/>
  <c r="H12" i="10"/>
  <c r="G12" i="10"/>
  <c r="L10" i="10"/>
  <c r="I10" i="10"/>
  <c r="J10" i="10"/>
  <c r="F10" i="10"/>
  <c r="H10" i="10"/>
  <c r="H8" i="10"/>
  <c r="G8" i="10"/>
  <c r="I8" i="10"/>
  <c r="J8" i="10"/>
  <c r="F8" i="10"/>
  <c r="J3" i="10"/>
  <c r="I3" i="10"/>
  <c r="J5" i="10"/>
  <c r="F5" i="10"/>
  <c r="N5" i="10" s="1"/>
  <c r="I5" i="10"/>
  <c r="L5" i="10"/>
  <c r="G5" i="10"/>
  <c r="F3" i="10"/>
  <c r="H3" i="10"/>
  <c r="L3" i="10"/>
  <c r="L7" i="10"/>
  <c r="G7" i="10"/>
  <c r="J7" i="10"/>
  <c r="H7" i="10"/>
  <c r="F7" i="10"/>
  <c r="N18" i="10"/>
  <c r="B18" i="10" s="1"/>
  <c r="J2" i="10"/>
  <c r="F2" i="10"/>
  <c r="I2" i="10"/>
  <c r="G2" i="10"/>
  <c r="L2" i="10"/>
  <c r="H2" i="10"/>
  <c r="I24" i="10"/>
  <c r="J24" i="10"/>
  <c r="H24" i="10"/>
  <c r="G24" i="10"/>
  <c r="J26" i="10"/>
  <c r="H26" i="10"/>
  <c r="G26" i="10"/>
  <c r="I26" i="10"/>
  <c r="G22" i="10"/>
  <c r="I22" i="10"/>
  <c r="J22" i="10"/>
  <c r="H22" i="10"/>
  <c r="G19" i="10"/>
  <c r="I19" i="10"/>
  <c r="J19" i="10"/>
  <c r="H19" i="10"/>
  <c r="G20" i="10"/>
  <c r="I20" i="10"/>
  <c r="H20" i="10"/>
  <c r="J20" i="10"/>
  <c r="G25" i="10"/>
  <c r="I25" i="10"/>
  <c r="H25" i="10"/>
  <c r="J25" i="10"/>
  <c r="G27" i="10"/>
  <c r="I27" i="10"/>
  <c r="H27" i="10"/>
  <c r="J27" i="10"/>
  <c r="G28" i="10"/>
  <c r="I28" i="10"/>
  <c r="H28" i="10"/>
  <c r="J28" i="10"/>
  <c r="J29" i="10"/>
  <c r="H29" i="10"/>
  <c r="G29" i="10"/>
  <c r="I29" i="10"/>
  <c r="J21" i="10"/>
  <c r="G21" i="10"/>
  <c r="I21" i="10"/>
  <c r="H21" i="10"/>
  <c r="N23" i="10"/>
  <c r="B23" i="10" s="1"/>
  <c r="N13" i="10" l="1"/>
  <c r="N11" i="10"/>
  <c r="B11" i="10" s="1"/>
  <c r="B11" i="5" s="1"/>
  <c r="N10" i="10"/>
  <c r="B10" i="10" s="1"/>
  <c r="N3" i="10"/>
  <c r="B3" i="10" s="1"/>
  <c r="N4" i="10"/>
  <c r="B4" i="10" s="1"/>
  <c r="B4" i="5" s="1"/>
  <c r="N19" i="10"/>
  <c r="B19" i="10" s="1"/>
  <c r="B19" i="5" s="1"/>
  <c r="E3" i="16" s="1"/>
  <c r="N7" i="10"/>
  <c r="B7" i="10" s="1"/>
  <c r="B7" i="5" s="1"/>
  <c r="N7" i="12" s="1"/>
  <c r="B6" i="10"/>
  <c r="B6" i="5" s="1"/>
  <c r="B13" i="10"/>
  <c r="B13" i="5" s="1"/>
  <c r="N9" i="10"/>
  <c r="B9" i="10" s="1"/>
  <c r="B12" i="10"/>
  <c r="N8" i="10"/>
  <c r="B8" i="10" s="1"/>
  <c r="B5" i="10"/>
  <c r="B23" i="5"/>
  <c r="E7" i="16" s="1"/>
  <c r="N28" i="10"/>
  <c r="N20" i="10"/>
  <c r="N29" i="10"/>
  <c r="N27" i="10"/>
  <c r="B18" i="5"/>
  <c r="E2" i="16" s="1"/>
  <c r="N2" i="10"/>
  <c r="B2" i="10" s="1"/>
  <c r="B2" i="5" s="1"/>
  <c r="N2" i="12" s="1"/>
  <c r="N21" i="10"/>
  <c r="N22" i="10"/>
  <c r="N26" i="10"/>
  <c r="N25" i="10"/>
  <c r="N24" i="10"/>
  <c r="L2" i="12" l="1"/>
  <c r="N13" i="12"/>
  <c r="L13" i="12" s="1"/>
  <c r="M13" i="12" s="1"/>
  <c r="K13" i="12" s="1"/>
  <c r="F13" i="12" s="1"/>
  <c r="N4" i="12"/>
  <c r="L4" i="12" s="1"/>
  <c r="M4" i="12" s="1"/>
  <c r="K4" i="12" s="1"/>
  <c r="F4" i="12" s="1"/>
  <c r="N6" i="12"/>
  <c r="L6" i="12" s="1"/>
  <c r="M6" i="12" s="1"/>
  <c r="K6" i="12" s="1"/>
  <c r="F6" i="12" s="1"/>
  <c r="N11" i="12"/>
  <c r="L11" i="12" s="1"/>
  <c r="M11" i="12" s="1"/>
  <c r="K11" i="12" s="1"/>
  <c r="F11" i="12" s="1"/>
  <c r="I4" i="12"/>
  <c r="J4" i="12" s="1"/>
  <c r="E4" i="12" s="1"/>
  <c r="I6" i="12"/>
  <c r="J6" i="12" s="1"/>
  <c r="E6" i="12" s="1"/>
  <c r="I11" i="12"/>
  <c r="J11" i="12" s="1"/>
  <c r="E11" i="12" s="1"/>
  <c r="I13" i="12"/>
  <c r="J13" i="12" s="1"/>
  <c r="E13" i="12" s="1"/>
  <c r="B10" i="5"/>
  <c r="B12" i="5"/>
  <c r="B8" i="5"/>
  <c r="B9" i="5"/>
  <c r="I5" i="12"/>
  <c r="J5" i="12" s="1"/>
  <c r="E5" i="12" s="1"/>
  <c r="B5" i="5"/>
  <c r="B3" i="5"/>
  <c r="N3" i="12" s="1"/>
  <c r="L3" i="12" s="1"/>
  <c r="I9" i="12"/>
  <c r="J9" i="12" s="1"/>
  <c r="E9" i="12" s="1"/>
  <c r="I12" i="12"/>
  <c r="J12" i="12" s="1"/>
  <c r="E12" i="12" s="1"/>
  <c r="I8" i="12"/>
  <c r="J8" i="12" s="1"/>
  <c r="E8" i="12" s="1"/>
  <c r="I10" i="12"/>
  <c r="J10" i="12" s="1"/>
  <c r="E10" i="12" s="1"/>
  <c r="I3" i="12"/>
  <c r="J3" i="12" s="1"/>
  <c r="E3" i="12" s="1"/>
  <c r="B24" i="10"/>
  <c r="B24" i="5" s="1"/>
  <c r="E8" i="16" s="1"/>
  <c r="B25" i="10"/>
  <c r="B25" i="5" s="1"/>
  <c r="E9" i="16" s="1"/>
  <c r="B26" i="10"/>
  <c r="B26" i="5" s="1"/>
  <c r="E10" i="16" s="1"/>
  <c r="B29" i="10"/>
  <c r="B29" i="5" s="1"/>
  <c r="E13" i="16" s="1"/>
  <c r="B22" i="10"/>
  <c r="B22" i="5" s="1"/>
  <c r="E6" i="16" s="1"/>
  <c r="B20" i="10"/>
  <c r="B20" i="5" s="1"/>
  <c r="B27" i="10"/>
  <c r="B27" i="5" s="1"/>
  <c r="E11" i="16" s="1"/>
  <c r="B28" i="10"/>
  <c r="B28" i="5" s="1"/>
  <c r="E12" i="16" s="1"/>
  <c r="B21" i="10"/>
  <c r="B21" i="5" s="1"/>
  <c r="E5" i="16" s="1"/>
  <c r="L7" i="12"/>
  <c r="M7" i="12" s="1"/>
  <c r="K7" i="12" s="1"/>
  <c r="F7" i="12" s="1"/>
  <c r="I7" i="12"/>
  <c r="J7" i="12" s="1"/>
  <c r="E7" i="12" s="1"/>
  <c r="I2" i="12"/>
  <c r="J2" i="12" s="1"/>
  <c r="E2" i="12" s="1"/>
  <c r="M2" i="12" l="1"/>
  <c r="K2" i="12" s="1"/>
  <c r="F2" i="12" s="1"/>
  <c r="D2" i="12" s="1"/>
  <c r="B2" i="12" s="1"/>
  <c r="D4" i="12"/>
  <c r="B4" i="12" s="1"/>
  <c r="N9" i="12"/>
  <c r="L9" i="12" s="1"/>
  <c r="M9" i="12" s="1"/>
  <c r="K9" i="12" s="1"/>
  <c r="F9" i="12" s="1"/>
  <c r="D9" i="12" s="1"/>
  <c r="B9" i="12" s="1"/>
  <c r="N8" i="12"/>
  <c r="L8" i="12" s="1"/>
  <c r="M8" i="12" s="1"/>
  <c r="K8" i="12" s="1"/>
  <c r="F8" i="12" s="1"/>
  <c r="D8" i="12" s="1"/>
  <c r="B8" i="12" s="1"/>
  <c r="N10" i="12"/>
  <c r="L10" i="12" s="1"/>
  <c r="M10" i="12" s="1"/>
  <c r="K10" i="12" s="1"/>
  <c r="F10" i="12" s="1"/>
  <c r="D10" i="12" s="1"/>
  <c r="B10" i="12" s="1"/>
  <c r="D11" i="12"/>
  <c r="B11" i="12" s="1"/>
  <c r="N12" i="12"/>
  <c r="L12" i="12" s="1"/>
  <c r="M12" i="12" s="1"/>
  <c r="K12" i="12" s="1"/>
  <c r="F12" i="12" s="1"/>
  <c r="D12" i="12" s="1"/>
  <c r="B12" i="12" s="1"/>
  <c r="D13" i="12"/>
  <c r="B13" i="12" s="1"/>
  <c r="C13" i="12" s="1"/>
  <c r="N5" i="12"/>
  <c r="L5" i="12" s="1"/>
  <c r="M5" i="12" s="1"/>
  <c r="K5" i="12" s="1"/>
  <c r="F5" i="12" s="1"/>
  <c r="D5" i="12" s="1"/>
  <c r="B5" i="12" s="1"/>
  <c r="D6" i="12"/>
  <c r="B6" i="12" s="1"/>
  <c r="B14" i="5"/>
  <c r="M3" i="12"/>
  <c r="K3" i="12" s="1"/>
  <c r="F3" i="12" s="1"/>
  <c r="E4" i="16"/>
  <c r="G2" i="16" s="1"/>
  <c r="D4" i="11" s="1"/>
  <c r="B30" i="5"/>
  <c r="D7" i="12"/>
  <c r="B7" i="12" s="1"/>
  <c r="C2" i="12" l="1"/>
  <c r="A2" i="12" s="1"/>
  <c r="C5" i="12"/>
  <c r="A5" i="12" s="1"/>
  <c r="C12" i="12"/>
  <c r="A12" i="12" s="1"/>
  <c r="C11" i="12"/>
  <c r="A11" i="12" s="1"/>
  <c r="D3" i="12"/>
  <c r="B3" i="12" s="1"/>
  <c r="C9" i="12"/>
  <c r="A9" i="12" s="1"/>
  <c r="A13" i="12"/>
  <c r="C7" i="12"/>
  <c r="A7" i="12" s="1"/>
  <c r="C10" i="12"/>
  <c r="A10" i="12" s="1"/>
  <c r="C8" i="12"/>
  <c r="A8" i="12" s="1"/>
  <c r="C6" i="12"/>
  <c r="A6" i="12" s="1"/>
  <c r="C4" i="12"/>
  <c r="A4" i="12" s="1"/>
  <c r="D3" i="11"/>
  <c r="E15" i="13" s="1"/>
  <c r="D8" i="11"/>
  <c r="D9" i="11"/>
  <c r="F2" i="16"/>
  <c r="D2" i="16" s="1"/>
  <c r="C2" i="16" s="1"/>
  <c r="B2" i="16" s="1"/>
  <c r="A2" i="16" s="1"/>
  <c r="B2" i="15" s="1"/>
  <c r="C3" i="12" l="1"/>
  <c r="A3" i="12" s="1"/>
  <c r="B3" i="11"/>
  <c r="B8" i="11"/>
  <c r="C2" i="20"/>
  <c r="B11" i="20" s="1"/>
  <c r="D21" i="11"/>
  <c r="B21" i="11" s="1"/>
  <c r="D24" i="11"/>
  <c r="B24" i="11" s="1"/>
  <c r="B1" i="15" l="1"/>
  <c r="B12" i="20"/>
  <c r="G21" i="13"/>
  <c r="H21" i="13" s="1"/>
  <c r="B2" i="20" l="1"/>
  <c r="B8" i="20" s="1"/>
  <c r="A2" i="20" s="1"/>
  <c r="D44" i="11" s="1"/>
  <c r="E17" i="13" s="1"/>
  <c r="D14" i="11"/>
  <c r="E16" i="13" s="1"/>
  <c r="D17" i="11"/>
  <c r="B17" i="11" s="1"/>
  <c r="G20" i="13" l="1"/>
  <c r="H20" i="13" s="1"/>
  <c r="B14" i="11"/>
  <c r="B49" i="11" s="1"/>
  <c r="B50" i="11" s="1"/>
  <c r="C58" i="11" s="1"/>
  <c r="B44" i="11"/>
  <c r="B9" i="20"/>
  <c r="A4" i="20" s="1"/>
  <c r="D46" i="11" s="1"/>
  <c r="B46" i="11" s="1"/>
  <c r="E18" i="13" s="1"/>
  <c r="G25" i="13" l="1"/>
  <c r="H25" i="13" s="1"/>
  <c r="C52" i="11"/>
  <c r="C56" i="11"/>
  <c r="C54" i="11"/>
  <c r="C53" i="11"/>
  <c r="C55" i="11"/>
  <c r="C57" i="11"/>
  <c r="D49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1" authorId="0" shapeId="0" xr:uid="{47B7962E-691C-4702-9409-746C95CC4E4D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сумарна теплопередача в режимі опалення, Вт∙год</t>
        </r>
      </text>
    </comment>
    <comment ref="D1" authorId="0" shapeId="0" xr:uid="{09C522E1-24D8-478F-862A-BD19B4B212A8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сумарна теплопередача трансміссією, Вт∙год</t>
        </r>
      </text>
    </comment>
    <comment ref="E1" authorId="0" shapeId="0" xr:uid="{9C831171-7549-46F4-9456-C9418CC8D935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вентиляцією, Вт∙год</t>
        </r>
      </text>
    </comment>
    <comment ref="F1" authorId="0" shapeId="0" xr:uid="{EDE6AC6D-25C8-4E44-85F6-8A47B8268804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сумарні теплонадходження в режимі опалення, Вт∙год</t>
        </r>
      </text>
    </comment>
    <comment ref="G1" authorId="0" shapeId="0" xr:uid="{48A34E33-E9AD-42FA-B03A-9143DD741083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сума внутрішніх теплонадходжень протягом даного періоду, Вт∙год</t>
        </r>
      </text>
    </comment>
    <comment ref="H1" authorId="0" shapeId="0" xr:uid="{A3EC92A6-0FB1-4772-85D4-F12570558736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 сонячних теплонадходжень протягом даного періоду</t>
        </r>
      </text>
    </comment>
    <comment ref="A2" authorId="0" shapeId="0" xr:uid="{956E2C6F-23F4-4A8C-8B73-BE0B646C4D61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Енергопотреба для опалення зони, що розглядається, для і-го місяця, Вт∙год</t>
        </r>
      </text>
    </comment>
    <comment ref="A14" authorId="0" shapeId="0" xr:uid="{C0D609AA-1906-47FC-91F8-C0A98A263865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Річні енергопотреби для опалення будівлі, кВт∙год</t>
        </r>
      </text>
    </comment>
    <comment ref="C17" authorId="0" shapeId="0" xr:uid="{3A3A9102-A2FB-4CE2-8171-2FFAD52C890E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в режимі охолоджння, Вт∙год</t>
        </r>
      </text>
    </comment>
    <comment ref="D17" authorId="0" shapeId="0" xr:uid="{AFF59EFB-3BFB-4DD4-B1D5-35EC1F3CA3A6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трансміссією, Вт∙год</t>
        </r>
      </text>
    </comment>
    <comment ref="E17" authorId="0" shapeId="0" xr:uid="{16C8503E-AF39-4504-A663-EEF50275D51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вентиляцією, Вт∙год</t>
        </r>
      </text>
    </comment>
    <comment ref="F17" authorId="0" shapeId="0" xr:uid="{110CA22F-3AAE-49C1-8D5B-5600D3742D18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сумарні теплонадходження в режимі охолодження, Вт∙год</t>
        </r>
      </text>
    </comment>
    <comment ref="G17" authorId="0" shapeId="0" xr:uid="{0BDBBF63-B519-4696-9F24-AA0A60834715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 внутрішніх теплонадходжень протягом даного періоду, Вт∙год</t>
        </r>
      </text>
    </comment>
    <comment ref="H17" authorId="0" shapeId="0" xr:uid="{743FFB48-9925-4DA5-8D5A-FF0FE255CF57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сума сонячних теплонадходжень протягом даного періоду</t>
        </r>
      </text>
    </comment>
    <comment ref="A18" authorId="0" shapeId="0" xr:uid="{736FF8DA-EBCD-4437-AAD0-FDB75B697C77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Енергопотреба для охолодження зони, що розглядається, для і-го місяця, Вт∙год</t>
        </r>
      </text>
    </comment>
    <comment ref="A30" authorId="0" shapeId="0" xr:uid="{408D1550-553B-4B39-B464-9B82ACF4B51F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Річні енергопотреби для охолодження будівлі, кВт∙год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  <author>Олексій Булгаков</author>
  </authors>
  <commentList>
    <comment ref="C1" authorId="0" shapeId="0" xr:uid="{52E09E46-842C-4661-BE64-9E1F5B6EFDB4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задана температура зони будівлі для опалення,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>С</t>
        </r>
      </text>
    </comment>
    <comment ref="D1" authorId="0" shapeId="0" xr:uid="{62D89F50-527B-496E-A0D8-F70D53F2E6D4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середньомісячна температура зовнішнього середовища,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>С</t>
        </r>
      </text>
    </comment>
    <comment ref="E1" authorId="0" shapeId="0" xr:uid="{569E9B0E-AB1C-4956-A311-79792CE44331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тривалість місяця для якого проводиться розрахунок, год</t>
        </r>
      </text>
    </comment>
    <comment ref="F1" authorId="0" shapeId="0" xr:uid="{5C9CA9B6-0D3C-4FF6-AFAE-94BEED2C76C5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загальний коефіцієнт теплопередачі трансмісією зони, Вт/К</t>
        </r>
      </text>
    </comment>
    <comment ref="G1" authorId="0" shapeId="0" xr:uid="{1E002CE9-2DEE-42FE-82C9-2047E54C45E9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безпосередній узагальнений коефіцієнт теплопередачі трансмісією до зовнішнього
</t>
        </r>
        <r>
          <rPr>
            <sz val="9"/>
            <color rgb="FF000000"/>
            <rFont val="Tahoma"/>
            <family val="2"/>
            <charset val="204"/>
          </rPr>
          <t>середовища, Вт/К</t>
        </r>
      </text>
    </comment>
    <comment ref="H1" authorId="0" shapeId="0" xr:uid="{ED771FD2-F801-46E0-A42E-43B3A1F1BF01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стаціонарний узагальнений коефіцієнт теплопередачі трансмісією до ґрунту, Вт/К</t>
        </r>
      </text>
    </comment>
    <comment ref="I1" authorId="0" shapeId="0" xr:uid="{EE050B81-55E6-42D2-B734-990FF9AED756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узагальнений коефіцієнт теплопередачі трансмісією через некондиціоновані об'єми,
Вт/К</t>
        </r>
      </text>
    </comment>
    <comment ref="AZ1" authorId="1" shapeId="0" xr:uid="{31A171AB-1144-434A-A52C-49F3B681173F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Значення поправочного коефіцієнта для опалювального періоду</t>
        </r>
      </text>
    </comment>
    <comment ref="BA1" authorId="1" shapeId="0" xr:uid="{87D24B26-6514-4D06-A525-A7089A6E2D31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Значення поправочного коефіцієнта для періоду охолодження</t>
        </r>
      </text>
    </comment>
    <comment ref="A2" authorId="0" shapeId="0" xr:uid="{18842F4E-65E1-4376-BC97-D15E826B208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трансміссією, Вт∙год</t>
        </r>
      </text>
    </comment>
    <comment ref="M2" authorId="0" shapeId="0" xr:uid="{EF03416B-9904-42C4-8AD0-968635BA7245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площа i-го елемента оболонки будівлі, м2</t>
        </r>
      </text>
    </comment>
    <comment ref="N2" authorId="0" shapeId="0" xr:uid="{9FE229C3-752D-484D-B80D-4C38F5F81B33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приведений коефіцієнт теплопередачі і-го елемента оболонки будівлі, Вт/(м2 К). що
</t>
        </r>
        <r>
          <rPr>
            <sz val="9"/>
            <color rgb="FF000000"/>
            <rFont val="Tahoma"/>
            <family val="2"/>
            <charset val="204"/>
          </rPr>
          <t>становить Ui = 1 /RΣпpi</t>
        </r>
      </text>
    </comment>
    <comment ref="O2" authorId="0" shapeId="0" xr:uid="{F9842255-F2E2-4494-B7B9-81F4D4FF8D3B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приведений опір теплопередачі і-го елемента оболонки будівлі, м2 К/Вт, що для
непрозорих елементів визначають згідно з ДСТУ Б В.2.6-189. Для світлопрозорих
елементів приймається за відповідними стандартами;</t>
        </r>
      </text>
    </comment>
    <comment ref="S2" authorId="0" shapeId="0" xr:uid="{76AA58D3-E0C9-4786-9997-407691783327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площа i-го елемента оболонки будівлі, м2</t>
        </r>
      </text>
    </comment>
    <comment ref="T2" authorId="0" shapeId="0" xr:uid="{342CF826-EB50-4173-887D-5D585A4ED98F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приведений коефіцієнт теплопередачі і-го елемента оболонки будівлі, Вт/(м2 К). що
становить Ui = 1 /RΣпpi</t>
        </r>
      </text>
    </comment>
    <comment ref="U2" authorId="0" shapeId="0" xr:uid="{43E634CF-C709-4AF9-9846-A202549682FE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приведений опір теплопередачі і-го елемента оболонки будівлі, м2 К/Вт, що для
</t>
        </r>
        <r>
          <rPr>
            <sz val="9"/>
            <color rgb="FF000000"/>
            <rFont val="Tahoma"/>
            <family val="2"/>
            <charset val="204"/>
          </rPr>
          <t xml:space="preserve">непрозорих елементів визначають згідно з ДСТУ Б В.2.6-189. Для світлопрозорих
</t>
        </r>
        <r>
          <rPr>
            <sz val="9"/>
            <color rgb="FF000000"/>
            <rFont val="Tahoma"/>
            <family val="2"/>
            <charset val="204"/>
          </rPr>
          <t>елементів приймається за відповідними стандартами;</t>
        </r>
      </text>
    </comment>
    <comment ref="Y2" authorId="0" shapeId="0" xr:uid="{F85098DF-6803-45F1-B302-E7A400558A0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площа i-го елемента оболонки будівлі, м2</t>
        </r>
      </text>
    </comment>
    <comment ref="Z2" authorId="0" shapeId="0" xr:uid="{238487B5-612F-4BCC-BDB8-2C73974C8B58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приведений коефіцієнт теплопередачі і-го елемента оболонки будівлі, Вт/(м2 К). що
становить Ui = 1 /RΣпpi</t>
        </r>
      </text>
    </comment>
    <comment ref="AA2" authorId="0" shapeId="0" xr:uid="{E877A6B9-DCA4-4DDD-8F5D-05354E7A332D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приведений опір теплопередачі і-го елемента оболонки будівлі, м2 К/Вт, що для
</t>
        </r>
        <r>
          <rPr>
            <sz val="9"/>
            <color rgb="FF000000"/>
            <rFont val="Tahoma"/>
            <family val="2"/>
            <charset val="204"/>
          </rPr>
          <t xml:space="preserve">непрозорих елементів визначають згідно з ДСТУ Б В.2.6-189. Для світлопрозорих
</t>
        </r>
        <r>
          <rPr>
            <sz val="9"/>
            <color rgb="FF000000"/>
            <rFont val="Tahoma"/>
            <family val="2"/>
            <charset val="204"/>
          </rPr>
          <t>елементів приймається за відповідними стандартами;</t>
        </r>
      </text>
    </comment>
    <comment ref="AB2" authorId="1" shapeId="0" xr:uid="{9FC36394-E424-42B3-B1C5-993A83172817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Для існуючих будівель, якщо збирання повних потрібних вхідних даних є занадто
</t>
        </r>
        <r>
          <rPr>
            <sz val="9"/>
            <color rgb="FF000000"/>
            <rFont val="Tahoma"/>
            <family val="2"/>
            <charset val="204"/>
          </rPr>
          <t xml:space="preserve">трудомістким та економічно недоцільним, а також для цілей сертифікації енергоефективності згідно
</t>
        </r>
        <r>
          <rPr>
            <sz val="9"/>
            <color rgb="FF000000"/>
            <rFont val="Tahoma"/>
            <family val="2"/>
            <charset val="204"/>
          </rPr>
          <t xml:space="preserve">з нормативними вимогами допускається використовувати значення поправочного коефіцієнта bu,
</t>
        </r>
        <r>
          <rPr>
            <sz val="9"/>
            <color rgb="FF000000"/>
            <rFont val="Tahoma"/>
            <family val="2"/>
            <charset val="204"/>
          </rPr>
          <t>що наведені в таблиці 3</t>
        </r>
      </text>
    </comment>
    <comment ref="C17" authorId="0" shapeId="0" xr:uid="{EC5B5145-8FEF-3041-9294-D85E03609C3F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задана температура зони будівлі для опалення,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>С</t>
        </r>
      </text>
    </comment>
    <comment ref="D17" authorId="0" shapeId="0" xr:uid="{1C27AB2C-8978-624B-B435-E8A1C65878E7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середньомісячна температура зовнішнього середовища,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>С</t>
        </r>
      </text>
    </comment>
    <comment ref="E17" authorId="0" shapeId="0" xr:uid="{19829B89-5BDF-9E49-AEF9-F6F70DF167B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тривалість місяця для якого проводиться розрахунок, год</t>
        </r>
      </text>
    </comment>
    <comment ref="F17" authorId="0" shapeId="0" xr:uid="{2A76EB45-EC24-D64F-87F6-689E16FE7F9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загальний коефіцієнт теплопередачі трансмісією зони, Вт/К</t>
        </r>
      </text>
    </comment>
    <comment ref="G17" authorId="0" shapeId="0" xr:uid="{86ED4A1F-4DA8-864E-8940-B77A91DD5D6A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безпосередній узагальнений коефіцієнт теплопередачі трансмісією до зовнішнього
</t>
        </r>
        <r>
          <rPr>
            <sz val="9"/>
            <color rgb="FF000000"/>
            <rFont val="Tahoma"/>
            <family val="2"/>
            <charset val="204"/>
          </rPr>
          <t>середовища, Вт/К</t>
        </r>
      </text>
    </comment>
    <comment ref="H17" authorId="0" shapeId="0" xr:uid="{D95E8DDA-18DE-A54B-A566-469D370AACC3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стаціонарний узагальнений коефіцієнт теплопередачі трансмісією до ґрунту, Вт/К</t>
        </r>
      </text>
    </comment>
    <comment ref="I17" authorId="0" shapeId="0" xr:uid="{65E5C6F9-927E-174B-90BD-1255AC9FC609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узагальнений коефіцієнт теплопередачі трансмісією через некондиціоновані об'єми,
</t>
        </r>
        <r>
          <rPr>
            <sz val="9"/>
            <color rgb="FF000000"/>
            <rFont val="Tahoma"/>
            <family val="2"/>
            <charset val="204"/>
          </rPr>
          <t>Вт/К</t>
        </r>
      </text>
    </comment>
    <comment ref="A18" authorId="0" shapeId="0" xr:uid="{5DBD30F0-B2E0-BB42-B637-F890F0238C96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трансміссією, Вт∙год</t>
        </r>
      </text>
    </comment>
    <comment ref="Y29" authorId="0" shapeId="0" xr:uid="{7D50C710-2451-D24A-A857-0F24FBC97CD3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площа i-го елемента оболонки будівлі, м2</t>
        </r>
      </text>
    </comment>
    <comment ref="Z29" authorId="0" shapeId="0" xr:uid="{0C2734F2-5F59-F043-ADED-759D12BE120C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приведений коефіцієнт теплопередачі і-го елемента оболонки будівлі, Вт/(м2 К). що
становить Ui = 1 /RΣпpi</t>
        </r>
      </text>
    </comment>
    <comment ref="AA29" authorId="0" shapeId="0" xr:uid="{C3CFB2CF-01E7-1C47-B2DA-A27C5E6A46D6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приведений опір теплопередачі і-го елемента оболонки будівлі, м2 К/Вт, що для
непрозорих елементів визначають згідно з ДСТУ Б В.2.6-189. Для світлопрозорих
елементів приймається за відповідними стандартами;</t>
        </r>
      </text>
    </comment>
    <comment ref="AB29" authorId="1" shapeId="0" xr:uid="{0979916B-7F62-514F-BA21-3509895A46AC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Для існуючих будівель, якщо збирання повних потрібних вхідних даних є занадто
трудомістким та економічно недоцільним, а також для цілей сертифікації енергоефективності згідно
з нормативними вимогами допускається використовувати значення поправочного коефіцієнта bu,
що наведені в таблиці 3</t>
        </r>
      </text>
    </comment>
    <comment ref="B40" authorId="1" shapeId="0" xr:uid="{4DEE2635-B099-4395-96FB-3FC3D9C8C83D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I40" authorId="1" shapeId="0" xr:uid="{DD2A69F9-1194-4746-8D84-08821306547C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додаткова складова за замовчуванням до коефіцієнта теплопередачі непрозорих
</t>
        </r>
        <r>
          <rPr>
            <sz val="9"/>
            <color rgb="FF000000"/>
            <rFont val="Tahoma"/>
            <family val="2"/>
            <charset val="204"/>
          </rPr>
          <t>конструкцій Uop , що враховує вплив теплопровідних включень, Вт/(м2 К), розрахункові значення наведені в таблиці 4.</t>
        </r>
      </text>
    </comment>
    <comment ref="B50" authorId="1" shapeId="0" xr:uid="{50412748-CCAA-4E5E-B0AD-336E9D1B202C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I50" authorId="1" shapeId="0" xr:uid="{A1D7E859-4D1F-E648-B745-C3CD656F050E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B60" authorId="1" shapeId="0" xr:uid="{C951836A-87A1-4A67-9BBE-D9F0A1E8E2DD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I60" authorId="1" shapeId="0" xr:uid="{AF1097B0-EF63-BF47-ADD8-06D97F07C48E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B70" authorId="1" shapeId="0" xr:uid="{FA44BF9B-BF9C-453B-BE4F-362AF21162B8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I70" authorId="1" shapeId="0" xr:uid="{497ECC2F-53C7-AB4D-9DA8-523563ABA5F1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B80" authorId="1" shapeId="0" xr:uid="{85F0B14B-C7A9-487F-8986-B80A5620AC3B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B90" authorId="1" shapeId="0" xr:uid="{7C7749F6-F75F-4638-9069-1B3FB1A1395A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B101" authorId="1" shapeId="0" xr:uid="{7A260225-7B12-48D1-B51B-A36FD21E09B3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  <comment ref="B111" authorId="1" shapeId="0" xr:uid="{F0241517-6AC1-4C71-8743-C5C16E2486AC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додаткова складова за замовчуванням до коефіцієнта теплопередачі непрозорих
конструкцій Uop , що враховує вплив теплопровідних включень, Вт/(м2 К), розрахункові значення наведені в таблиці 4.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  <author>Олексій Булгаков</author>
  </authors>
  <commentList>
    <comment ref="C1" authorId="0" shapeId="0" xr:uid="{1CC05F06-4020-48B2-9B9F-254509E1EF97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задана температура зони будівлі для опалення, °С</t>
        </r>
      </text>
    </comment>
    <comment ref="D1" authorId="0" shapeId="0" xr:uid="{59AD684E-C607-4EBA-8640-66E03846F826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середньомісячна температура зовнішнього середовища, °С</t>
        </r>
      </text>
    </comment>
    <comment ref="E1" authorId="0" shapeId="0" xr:uid="{132AFC82-B527-433B-AC66-1E88B8206326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тривалість місяця для якого проводиться розрахунок, год</t>
        </r>
      </text>
    </comment>
    <comment ref="F1" authorId="0" shapeId="0" xr:uid="{810536EC-D54A-44AC-B88D-F12EBCC412E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загальний коефіцієнт теплопередачі трансмісією зони, Вт/К</t>
        </r>
      </text>
    </comment>
    <comment ref="G1" authorId="1" shapeId="0" xr:uid="{9477F0BD-AA7A-456C-913F-03F3E09C6222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Усереднена за часом витрата повітря для вентиляції для опалення
</t>
        </r>
        <r>
          <rPr>
            <sz val="9"/>
            <color rgb="FF000000"/>
            <rFont val="Tahoma"/>
            <family val="2"/>
            <charset val="204"/>
          </rPr>
          <t>та для охолодження відповідно, м/год</t>
        </r>
      </text>
    </comment>
    <comment ref="H1" authorId="1" shapeId="0" xr:uid="{DAF12693-B879-4A74-99B5-F6FF0F9172A1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температурний поправковий коефіцієнт, що коригує коефіцієнт теплопередачі
</t>
        </r>
        <r>
          <rPr>
            <sz val="9"/>
            <color rgb="FF000000"/>
            <rFont val="Tahoma"/>
            <family val="2"/>
            <charset val="204"/>
          </rPr>
          <t xml:space="preserve">вентиляцією замість різниці температур у випадках, коли температура
</t>
        </r>
        <r>
          <rPr>
            <sz val="9"/>
            <color rgb="FF000000"/>
            <rFont val="Tahoma"/>
            <family val="2"/>
            <charset val="204"/>
          </rPr>
          <t>припливного повітря не дорівнює температурі зовнішнього середовища</t>
        </r>
      </text>
    </comment>
    <comment ref="I1" authorId="1" shapeId="0" xr:uid="{CA9452C1-43AA-4F59-8558-C7FC717CDAF3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Нормативна витрата вентиляційного повітря для опалення та для охолодження
</t>
        </r>
        <r>
          <rPr>
            <sz val="9"/>
            <color rgb="FF000000"/>
            <rFont val="Tahoma"/>
            <family val="2"/>
            <charset val="204"/>
          </rPr>
          <t>відповідно, м/год</t>
        </r>
      </text>
    </comment>
    <comment ref="J1" authorId="1" shapeId="0" xr:uid="{89D61E6F-88D6-44D4-BEBE-EB6DF2CDFF77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Загальна мінімальна витрата зовнішнього повітря Qtot, дм3/с</t>
        </r>
      </text>
    </comment>
    <comment ref="K1" authorId="1" shapeId="0" xr:uid="{7341FC8C-1809-4272-9E07-765166B33A39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Проектна кількість людей у приміщенні</t>
        </r>
      </text>
    </comment>
    <comment ref="L1" authorId="1" shapeId="0" xr:uid="{4298A952-B0F1-4CBC-AF6A-DFBB15740F8B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питома витрата зовнішнього повітря на одну людину, дм3/с</t>
        </r>
      </text>
    </comment>
    <comment ref="M1" authorId="1" shapeId="0" xr:uid="{27F43ABC-59AE-4ABA-A2DD-6138E25E4F4D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Загальна площа приміщення, м2</t>
        </r>
      </text>
    </comment>
    <comment ref="N1" authorId="1" shapeId="0" xr:uid="{34D3ADDE-7544-4DDA-BEC9-139AAD975EF2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питома витрата зовнішнього повітря на розбавлення будівельних забруднень, дм3/(с*м2)</t>
        </r>
      </text>
    </comment>
    <comment ref="A2" authorId="0" shapeId="0" xr:uid="{30BBF2F8-F260-4167-905B-1CD6971F8786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сумарна теплопередача вентиляцією, Вт∙год</t>
        </r>
      </text>
    </comment>
    <comment ref="G3" authorId="1" shapeId="0" xr:uid="{CDC32594-7EF7-4784-887F-398C818D69E0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усереднена за часом витрата повітря для інфільтрації для опалення
</t>
        </r>
        <r>
          <rPr>
            <sz val="9"/>
            <color rgb="FF000000"/>
            <rFont val="Tahoma"/>
            <family val="2"/>
            <charset val="204"/>
          </rPr>
          <t>та для охолодження відповідно, м"/год</t>
        </r>
      </text>
    </comment>
    <comment ref="H3" authorId="1" shapeId="0" xr:uid="{2F4655F6-A962-4AE2-A2E2-876FF8284C3A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кратність повітрообміну з а рахунок інфільтрації, год-1</t>
        </r>
      </text>
    </comment>
    <comment ref="I3" authorId="1" shapeId="0" xr:uid="{42F44BEA-984B-44FE-9DE1-3A26062D4859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об'єм зони (чи вентиляційної підзони), призначений для вентиляції. Для однозонного
</t>
        </r>
        <r>
          <rPr>
            <sz val="9"/>
            <color rgb="FF000000"/>
            <rFont val="Tahoma"/>
            <family val="2"/>
            <charset val="204"/>
          </rPr>
          <t xml:space="preserve">розраховування та якщо весь об'єм будівлі призначений для вентиляції, то дорівнює
</t>
        </r>
        <r>
          <rPr>
            <sz val="9"/>
            <color rgb="FF000000"/>
            <rFont val="Tahoma"/>
            <family val="2"/>
            <charset val="204"/>
          </rPr>
          <t>кондиціонованому об'єму будівлі</t>
        </r>
      </text>
    </comment>
    <comment ref="J3" authorId="1" shapeId="0" xr:uid="{053FD80D-F9EB-4049-9153-A52CB5F8BACB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коефіцієнт зниження об'єму повітря в будівлі, яким враховують наявність внутрішніх
</t>
        </r>
        <r>
          <rPr>
            <sz val="9"/>
            <color rgb="FF000000"/>
            <rFont val="Tahoma"/>
            <family val="2"/>
            <charset val="204"/>
          </rPr>
          <t>огороджувальних конструкцій, за відсутності точних даних приймають 0,85;</t>
        </r>
      </text>
    </comment>
    <comment ref="K3" authorId="1" shapeId="0" xr:uid="{E65CF270-6939-423C-A608-091EAB96A872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період використання витрати повітря для інфільтрації для періодів опалення та для
</t>
        </r>
        <r>
          <rPr>
            <sz val="9"/>
            <color rgb="FF000000"/>
            <rFont val="Tahoma"/>
            <family val="2"/>
            <charset val="204"/>
          </rPr>
          <t>охолодження відповідно, год.</t>
        </r>
      </text>
    </comment>
    <comment ref="H6" authorId="1" shapeId="0" xr:uid="{B219350D-99BC-4B92-905A-DE032073023B}">
      <text>
        <r>
          <rPr>
            <b/>
            <sz val="9"/>
            <color rgb="FF000000"/>
            <rFont val="Tahoma"/>
            <family val="2"/>
          </rPr>
          <t>Олексій Булгаков: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приведені витрати повітря через оболонку будівлі, що орієнтована на т-ну
</t>
        </r>
        <r>
          <rPr>
            <sz val="9"/>
            <color rgb="FF000000"/>
            <rFont val="Tahoma"/>
            <family val="2"/>
          </rPr>
          <t>сторону світу для опалення та дпя охоподження відповідно, м/год</t>
        </r>
      </text>
    </comment>
    <comment ref="H7" authorId="1" shapeId="0" xr:uid="{6DB222D2-0852-4F80-820C-B46047A820C5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Повітропроникність через отвори (віконні, дверні) в стінових конструкціях будівлі; орієнтованих
</t>
        </r>
        <r>
          <rPr>
            <sz val="9"/>
            <color rgb="FF000000"/>
            <rFont val="Tahoma"/>
            <family val="2"/>
            <charset val="204"/>
          </rPr>
          <t>на відповідну сторону світу під час перепаду тиску зовні та всередині будівлі 100 Па, м/год</t>
        </r>
      </text>
    </comment>
    <comment ref="H8" authorId="1" shapeId="0" xr:uid="{8ED7E7E0-B557-42E5-A051-8E2B3AABE950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надбавковий коефіцієнт, що враховує витрату повітря через глухі стінові
</t>
        </r>
        <r>
          <rPr>
            <sz val="9"/>
            <color rgb="FF000000"/>
            <rFont val="Tahoma"/>
            <family val="2"/>
            <charset val="204"/>
          </rPr>
          <t>конструкції оболонки будівлі.</t>
        </r>
      </text>
    </comment>
    <comment ref="H9" authorId="1" shapeId="0" xr:uid="{8C289963-DA98-4F04-ADD7-CAE431BAFAB7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Перепад гравітаційного тиску усереднено приймають у точці геометричного центра фасаду
</t>
        </r>
        <r>
          <rPr>
            <sz val="9"/>
            <color rgb="FF000000"/>
            <rFont val="Tahoma"/>
            <family val="2"/>
            <charset val="204"/>
          </rPr>
          <t>(зважаючи на його нерівномірність за висотою), Па</t>
        </r>
      </text>
    </comment>
    <comment ref="J9" authorId="1" shapeId="0" xr:uid="{19F45AB9-E2D1-470B-91AC-37A462F95B11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исота будівлі від нижнього рівня опалюваного об'єму (чи грунту за наявності
</t>
        </r>
        <r>
          <rPr>
            <sz val="9"/>
            <color rgb="FF000000"/>
            <rFont val="Tahoma"/>
            <family val="2"/>
            <charset val="204"/>
          </rPr>
          <t>опалюваного цокольноно поверху) до верхнього рівня опалюваного об'єму, м</t>
        </r>
      </text>
    </comment>
    <comment ref="H10" authorId="1" shapeId="0" xr:uid="{D93DC426-D97D-4E06-B895-B06A2825EEB1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питома вага відповідно зовнішнього і внутрішнього повітря для періоду
</t>
        </r>
        <r>
          <rPr>
            <sz val="9"/>
            <color rgb="FF000000"/>
            <rFont val="Tahoma"/>
            <family val="2"/>
            <charset val="204"/>
          </rPr>
          <t>опалення, Н/м3</t>
        </r>
      </text>
    </comment>
    <comment ref="J10" authorId="0" shapeId="0" xr:uid="{57E14037-6669-4F50-9BCB-90A73F728589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середню температуру зовнішнього повітря за період із середньодобовою
</t>
        </r>
        <r>
          <rPr>
            <sz val="9"/>
            <color rgb="FF000000"/>
            <rFont val="Tahoma"/>
            <family val="2"/>
            <charset val="204"/>
          </rPr>
          <t xml:space="preserve">температурою повітря «8 "С (або «10 "С для будівель закладів освіти,
</t>
        </r>
        <r>
          <rPr>
            <sz val="9"/>
            <color rgb="FF000000"/>
            <rFont val="Tahoma"/>
            <family val="2"/>
            <charset val="204"/>
          </rPr>
          <t xml:space="preserve">дошкільної освіти та закладів охорони здоров'я), "С, приймають згідно
</t>
        </r>
        <r>
          <rPr>
            <sz val="9"/>
            <color rgb="FF000000"/>
            <rFont val="Tahoma"/>
            <family val="2"/>
            <charset val="204"/>
          </rPr>
          <t>з таблицею 2 ДСТУ-Н Б В.1.1-27;</t>
        </r>
      </text>
    </comment>
    <comment ref="L10" authorId="1" shapeId="0" xr:uid="{AAB5868A-7D9F-4A3B-872E-984EF8918E25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питома вага відповідно зовнішнього і внутрішнього повітря для періоду
</t>
        </r>
        <r>
          <rPr>
            <sz val="9"/>
            <color rgb="FF000000"/>
            <rFont val="Tahoma"/>
            <family val="2"/>
            <charset val="204"/>
          </rPr>
          <t>опалення, Н/м3</t>
        </r>
      </text>
    </comment>
    <comment ref="N10" authorId="0" shapeId="0" xr:uid="{E99B9FEA-0F21-4BAA-AA05-1318588C10C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задана температура зони будівлі для опалення,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>С</t>
        </r>
      </text>
    </comment>
    <comment ref="H11" authorId="1" shapeId="0" xr:uid="{02EB1473-1D3D-4050-B732-1DE03CD69CA5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Перепад вітрового тиску розраховують для середньої швидкості вітру за січень (для опапенняу
</t>
        </r>
        <r>
          <rPr>
            <sz val="9"/>
            <color rgb="FF000000"/>
            <rFont val="Tahoma"/>
            <family val="2"/>
            <charset val="204"/>
          </rPr>
          <t>пипень (для охоподження) за відповідною стороною світу, Па</t>
        </r>
      </text>
    </comment>
    <comment ref="H14" authorId="1" shapeId="0" xr:uid="{A821B686-71C1-490F-8924-AD2F97D95C8B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ПОВТОрюваність напряму вітру за січень (для опаленняулипень
</t>
        </r>
        <r>
          <rPr>
            <sz val="9"/>
            <color rgb="FF000000"/>
            <rFont val="Tahoma"/>
            <family val="2"/>
            <charset val="204"/>
          </rPr>
          <t xml:space="preserve">(для охолодження) відповідно за сторонами світу, приймають згідно
</t>
        </r>
        <r>
          <rPr>
            <sz val="9"/>
            <color rgb="FF000000"/>
            <rFont val="Tahoma"/>
            <family val="2"/>
            <charset val="204"/>
          </rPr>
          <t>з таблицями 5 та 6 ДСТУ-Н Б В.1.1-27</t>
        </r>
      </text>
    </comment>
    <comment ref="C17" authorId="0" shapeId="0" xr:uid="{038841B0-74C1-EB43-BB2D-0942E672F8E9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задана температура зони будівлі для опалення, °С</t>
        </r>
      </text>
    </comment>
    <comment ref="D17" authorId="0" shapeId="0" xr:uid="{2D5B3156-89B1-2E44-AF79-D1BBAF2052EF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середньомісячна температура зовнішнього середовища, °С</t>
        </r>
      </text>
    </comment>
    <comment ref="E17" authorId="0" shapeId="0" xr:uid="{7E43ECCF-56BF-3E4E-BCCE-AC7002859BEC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тривалість місяця для якого проводиться розрахунок, год</t>
        </r>
      </text>
    </comment>
    <comment ref="F17" authorId="0" shapeId="0" xr:uid="{7D77AD32-6B2B-F54C-9060-C7337DA218AA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загальний коефіцієнт теплопередачі трансмісією зони, Вт/К</t>
        </r>
      </text>
    </comment>
    <comment ref="G17" authorId="1" shapeId="0" xr:uid="{7C7CE32B-821E-4662-B680-4A95C0762825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Усереднена за часом витрата повітря для вентиляції для опалення
</t>
        </r>
        <r>
          <rPr>
            <sz val="9"/>
            <color rgb="FF000000"/>
            <rFont val="Tahoma"/>
            <family val="2"/>
            <charset val="204"/>
          </rPr>
          <t>та для охолодження відповідно, м/год</t>
        </r>
      </text>
    </comment>
    <comment ref="H17" authorId="1" shapeId="0" xr:uid="{164DDA4A-3310-49CF-BA5B-88AA443AB163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температурний поправковий коефіцієнт, що коригує коефіцієнт теплопередачі
</t>
        </r>
        <r>
          <rPr>
            <sz val="9"/>
            <color rgb="FF000000"/>
            <rFont val="Tahoma"/>
            <family val="2"/>
            <charset val="204"/>
          </rPr>
          <t xml:space="preserve">вентиляцією замість різниці температур у випадках, коли температура
</t>
        </r>
        <r>
          <rPr>
            <sz val="9"/>
            <color rgb="FF000000"/>
            <rFont val="Tahoma"/>
            <family val="2"/>
            <charset val="204"/>
          </rPr>
          <t>припливного повітря не дорівнює температурі зовнішнього середовища</t>
        </r>
      </text>
    </comment>
    <comment ref="I17" authorId="1" shapeId="0" xr:uid="{4BE00504-734A-44AB-A819-B0C1DD953DE5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Нормативна витрата вентиляційного повітря для опалення та для охолодження
</t>
        </r>
        <r>
          <rPr>
            <sz val="9"/>
            <color rgb="FF000000"/>
            <rFont val="Tahoma"/>
            <family val="2"/>
            <charset val="204"/>
          </rPr>
          <t>відповідно, м/год</t>
        </r>
      </text>
    </comment>
    <comment ref="J17" authorId="1" shapeId="0" xr:uid="{B36FD5B6-D8A0-406C-BEA6-AF482E93A067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Загальна мінімальна витрата зовнішнього повітря Qtot, дм3/с</t>
        </r>
      </text>
    </comment>
    <comment ref="K17" authorId="1" shapeId="0" xr:uid="{268A94CE-CEED-42C4-8BA6-599C9B3F4AC7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Проектна кількість людей у приміщенні</t>
        </r>
      </text>
    </comment>
    <comment ref="L17" authorId="1" shapeId="0" xr:uid="{BA1D78C2-EC83-4520-A637-8E938363218F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питома витрата зовнішнього повітря на одну людину, дм3/с</t>
        </r>
      </text>
    </comment>
    <comment ref="M17" authorId="1" shapeId="0" xr:uid="{E9ED37B8-72E0-4AF7-8C63-203C38EDBDF9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Загальна площа приміщення, м2</t>
        </r>
      </text>
    </comment>
    <comment ref="N17" authorId="1" shapeId="0" xr:uid="{1E389136-6657-4169-A57A-9C27ABA33896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питома витрата зовнішнього повітря на розбавлення будівельних забруднень, дм3/(с*м2)</t>
        </r>
      </text>
    </comment>
    <comment ref="A18" authorId="0" shapeId="0" xr:uid="{F38AE7A7-87F1-054F-8AE8-AFB896D2A790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сумарна теплопередача вентиляцією, Вт∙год</t>
        </r>
      </text>
    </comment>
    <comment ref="G19" authorId="1" shapeId="0" xr:uid="{D64865CA-EBF9-457C-910E-714F3F49B772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усереднена за часом витрата повітря для інфільтрації для опалення
</t>
        </r>
        <r>
          <rPr>
            <sz val="9"/>
            <color rgb="FF000000"/>
            <rFont val="Tahoma"/>
            <family val="2"/>
            <charset val="204"/>
          </rPr>
          <t>та для охолодження відповідно, м"/год</t>
        </r>
      </text>
    </comment>
    <comment ref="H19" authorId="1" shapeId="0" xr:uid="{2F9067FB-367D-4D65-8E1E-05BF68F792B6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кратність повітрообміну з а рахунок інфільтрації, год-1</t>
        </r>
      </text>
    </comment>
    <comment ref="I19" authorId="1" shapeId="0" xr:uid="{36C90993-5180-4874-80B7-4F513A9A3BC1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об'єм зони (чи вентиляційної підзони), призначений для вентиляції. Для однозонного
розраховування та якщо весь об'єм будівлі призначений для вентиляції, то дорівнює
кондиціонованому об'єму будівлі</t>
        </r>
      </text>
    </comment>
    <comment ref="J19" authorId="1" shapeId="0" xr:uid="{3986453D-5CCD-4960-B126-CEE576B823BD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коефіцієнт зниження об'єму повітря в будівлі, яким враховують наявність внутрішніх
</t>
        </r>
        <r>
          <rPr>
            <sz val="9"/>
            <color rgb="FF000000"/>
            <rFont val="Tahoma"/>
            <family val="2"/>
            <charset val="204"/>
          </rPr>
          <t>огороджувальних конструкцій, за відсутності точних даних приймають 0,85;</t>
        </r>
      </text>
    </comment>
    <comment ref="K19" authorId="1" shapeId="0" xr:uid="{04FD9BEA-3470-4A6F-A610-5AFEDA137A33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період використання витрати повітря для інфільтрації для періодів опалення та для
</t>
        </r>
        <r>
          <rPr>
            <sz val="9"/>
            <color rgb="FF000000"/>
            <rFont val="Tahoma"/>
            <family val="2"/>
            <charset val="204"/>
          </rPr>
          <t>охолодження відповідно, год.</t>
        </r>
      </text>
    </comment>
    <comment ref="H22" authorId="1" shapeId="0" xr:uid="{DD7EFCF9-14D2-4101-8BE0-F122B08952B8}">
      <text>
        <r>
          <rPr>
            <b/>
            <sz val="9"/>
            <color indexed="81"/>
            <rFont val="Tahoma"/>
            <family val="2"/>
          </rPr>
          <t>Олексій Булгаков:</t>
        </r>
        <r>
          <rPr>
            <sz val="9"/>
            <color indexed="81"/>
            <rFont val="Tahoma"/>
            <family val="2"/>
          </rPr>
          <t xml:space="preserve">
приведені витрати повітря через оболонку будівлі, що орієнтована на т-ну
сторону світу для опалення та дпя охоподження відповідно, м/год</t>
        </r>
      </text>
    </comment>
    <comment ref="H23" authorId="1" shapeId="0" xr:uid="{6559AB96-EB1C-4DF1-82EC-CAB816D83410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Повітропроникність через отвори (віконні, дверні) в стінових конструкціях будівлі; орієнтованих
на відповідну сторону світу під час перепаду тиску зовні та всередині будівлі 100 Па, м/год</t>
        </r>
      </text>
    </comment>
    <comment ref="H24" authorId="1" shapeId="0" xr:uid="{F855AB72-77F0-4924-9725-EDF8B72C15AC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надбавковий коефіцієнт, що враховує витрату повітря через глухі стінові
</t>
        </r>
        <r>
          <rPr>
            <sz val="9"/>
            <color rgb="FF000000"/>
            <rFont val="Tahoma"/>
            <family val="2"/>
            <charset val="204"/>
          </rPr>
          <t>конструкції оболонки будівлі.</t>
        </r>
      </text>
    </comment>
    <comment ref="H25" authorId="1" shapeId="0" xr:uid="{D07AFFF6-0D9C-469B-9E2E-392D26D917A6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Перепад гравітаційного тиску усереднено приймають у точці геометричного центра фасаду
(зважаючи на його нерівномірність за висотою), Па</t>
        </r>
      </text>
    </comment>
    <comment ref="J25" authorId="1" shapeId="0" xr:uid="{12122D53-4D0A-4504-9AA2-CCD1E477B9EA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исота будівлі від нижнього рівня опалюваного об'єму (чи грунту за наявності
опалюваного цокольноно поверху) до верхнього рівня опалюваного об'єму, м</t>
        </r>
      </text>
    </comment>
    <comment ref="H26" authorId="1" shapeId="0" xr:uid="{9BFC6AD4-22C5-41EA-984D-F592F5186CF4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питома вага відповідно зовнішнього і внутрішнього повітря для періоду
опалення, Н/м3</t>
        </r>
      </text>
    </comment>
    <comment ref="J26" authorId="0" shapeId="0" xr:uid="{D9DD6387-6BBF-4A1F-8E7A-DBAD868D08FE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середню температуру зовнішнього повітря за період із середньодобовою
температурою повітря «8 "С (або «10 "С для будівель закладів освіти,
дошкільної освіти та закладів охорони здоров'я), "С, приймають згідно
з таблицею 2 ДСТУ-Н Б В.1.1-27;</t>
        </r>
      </text>
    </comment>
    <comment ref="L26" authorId="1" shapeId="0" xr:uid="{38D15D24-99A4-4DD0-9670-3890DC57F811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питома вага відповідно зовнішнього і внутрішнього повітря для періоду
опалення, Н/м3</t>
        </r>
      </text>
    </comment>
    <comment ref="N26" authorId="0" shapeId="0" xr:uid="{580A8580-E006-41BD-ADC1-853B340BF1B0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задана температура зони будівлі для опалення, °С</t>
        </r>
      </text>
    </comment>
    <comment ref="H27" authorId="1" shapeId="0" xr:uid="{1547EE7F-1797-47A9-8E4F-1A2B786FD47E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Перепад вітрового тиску розраховують для середньої швидкості вітру за січень (для опапенняу
</t>
        </r>
        <r>
          <rPr>
            <sz val="9"/>
            <color rgb="FF000000"/>
            <rFont val="Tahoma"/>
            <family val="2"/>
            <charset val="204"/>
          </rPr>
          <t>пипень (для охоподження) за відповідною стороною світу, Па</t>
        </r>
      </text>
    </comment>
    <comment ref="H30" authorId="1" shapeId="0" xr:uid="{D78CDEAC-3D0C-45E4-A63C-4C4F67DEAD19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ПОВТОрюваність напряму вітру за січень (для опаленняулипень
(для охолодження) відповідно за сторонами світу, приймають згідно
з таблицями 5 та 6 ДСТУ-Н Б В.1.1-27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  <author>Олексій Булгаков</author>
  </authors>
  <commentList>
    <comment ref="C1" authorId="0" shapeId="0" xr:uid="{0E302B5D-F399-4632-8699-E566F4A01633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Кількість годин у місяці</t>
        </r>
      </text>
    </comment>
    <comment ref="D1" authorId="0" shapeId="0" xr:uid="{9FD66BED-2C35-4A9C-9F82-1CA1FB403A9B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Кількість діб у відповідному місяці</t>
        </r>
      </text>
    </comment>
    <comment ref="E1" authorId="0" shapeId="0" xr:uid="{187A16DA-8E9B-4BE6-A6C2-83F5DB99E1A3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кондиціонована площа зони будівлі, м2</t>
        </r>
      </text>
    </comment>
    <comment ref="F1" authorId="1" shapeId="0" xr:uid="{50E95550-F3D7-4BBF-844A-082C0BB593A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Уутилізаційні регулярні тепловтрати, Вт-год, у підсистемі розподілення ГВП з трубопроводів, що містяться в опалюваних приміщеннях за відповідний місяць</t>
        </r>
      </text>
    </comment>
    <comment ref="R1" authorId="0" shapeId="0" xr:uid="{EB83132F-001F-4DB2-A545-F32E4210AAB8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внутрішній тепловий потік від людей, Вт/м2</t>
        </r>
      </text>
    </comment>
    <comment ref="S1" authorId="0" shapeId="0" xr:uid="{8467AA10-B3F7-4D7A-9626-231CD9967CC3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внутрішній тепловий потік від освітлення, Вт/м2</t>
        </r>
      </text>
    </comment>
    <comment ref="T1" authorId="0" shapeId="0" xr:uid="{BE4FFFE9-2794-431E-9AF9-4923A409FA6B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внутрішній тепловий потік від обладнання, Вт/м2</t>
        </r>
      </text>
    </comment>
    <comment ref="A2" authorId="0" shapeId="0" xr:uid="{879C4DBC-FA31-4BA2-9004-2DD0BF189347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Теплонадходження від внутрішніх теплових джерел Вт∙год, для визначеного місяця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  <author>Олексій Булгаков</author>
  </authors>
  <commentList>
    <comment ref="C2" authorId="0" shapeId="0" xr:uid="{285D7520-5792-4394-A44B-6E45FA651CDE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тривалість місяця для якого проводиться розрахунок, год</t>
        </r>
      </text>
    </comment>
    <comment ref="D2" authorId="0" shapeId="0" xr:uid="{D3BD385E-2914-4DDE-8DBD-19D36ACD691C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сонячна радіація, значення енергетичної освітленості сприймаючої площі к-ої
поверхні орієнтованої на північ, за середніх умов хмарності Вт/м2</t>
        </r>
      </text>
    </comment>
    <comment ref="E2" authorId="0" shapeId="0" xr:uid="{9C389E7A-5D5D-40F6-A8E0-2080E7624777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сонячна радіація, значення енергетичної освітленості сприймаючої площі к-ої
поверхні орієнтованої на північ, за середніх умов хмарності Вт/м2</t>
        </r>
      </text>
    </comment>
    <comment ref="F2" authorId="0" shapeId="0" xr:uid="{96D15777-C2F9-4D68-910B-DE96FFA6B988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сонячна радіація, значення енергетичної освітленості сприймаючої площі к-ої
поверхні орієнтованої на схід, за середніх умов хмарності Вт/м2</t>
        </r>
      </text>
    </comment>
    <comment ref="G2" authorId="0" shapeId="0" xr:uid="{D011C89A-0190-4536-B7F8-F42037A0D6DD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сонячна радіація, значення енергетичної освітленості сприймаючої площі к-ої
</t>
        </r>
        <r>
          <rPr>
            <sz val="9"/>
            <color rgb="FF000000"/>
            <rFont val="Tahoma"/>
            <family val="2"/>
            <charset val="204"/>
          </rPr>
          <t>поверхні орієнтованої на північ, за середніх умов хмарності Вт/м2</t>
        </r>
      </text>
    </comment>
    <comment ref="H2" authorId="0" shapeId="0" xr:uid="{CDA7A67F-380C-4CEA-B3BF-7AF4D7672FC6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сонячна радіація, значення енергетичної освітленості сприймаючої площі к-ої
поверхні орієнтованої на південь, за середніх умов хмарності Вт/м2</t>
        </r>
      </text>
    </comment>
    <comment ref="I2" authorId="0" shapeId="0" xr:uid="{7DB86EB4-9B08-4702-844B-D76E3A326F79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сонячна радіація, значення енергетичної освітленості сприймаючої площі к-ої
поверхні орієнтованої на північ, за середніх умов хмарності Вт/м2</t>
        </r>
      </text>
    </comment>
    <comment ref="J2" authorId="0" shapeId="0" xr:uid="{CB5ACE75-E236-4F63-A5F0-7C355E632201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сонячна радіація, значення енергетичної освітленості сприймаючої площі к-ої
поверхні орієнтованої на захід, за середніх умов хмарності Вт/м2</t>
        </r>
      </text>
    </comment>
    <comment ref="K2" authorId="0" shapeId="0" xr:uid="{AF35EB4B-2812-4E00-814C-C2F07BB3A09C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сонячна радіація, значення енергетичної освітленості сприймаючої площі к-ої
</t>
        </r>
        <r>
          <rPr>
            <sz val="9"/>
            <color rgb="FF000000"/>
            <rFont val="Tahoma"/>
            <family val="2"/>
            <charset val="204"/>
          </rPr>
          <t>поверхні орієнтованої на захід, за середніх умов хмарності Вт/м2</t>
        </r>
      </text>
    </comment>
    <comment ref="L2" authorId="0" shapeId="0" xr:uid="{FE4FB9A1-115D-46C2-A433-9C38A07B12ED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сонячна радіація, значення енергетичної освітленості сприймаючої площі к-ої
поверхні орієнтованої на захід, за середніх умов хмарності Вт/м2</t>
        </r>
      </text>
    </comment>
    <comment ref="M2" authorId="0" shapeId="0" xr:uid="{95C80144-254E-4D48-9C4B-D58D262F9768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усереднений за часом тепловий потік від k-го джерела сонячного випромінювання,
Вт</t>
        </r>
      </text>
    </comment>
    <comment ref="N2" authorId="0" shapeId="0" xr:uid="{6DB0CCAE-E7C3-48CD-9B8A-9ADC19D3142E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Сонячні теплонадходження через к-ий елемент будівлі</t>
        </r>
      </text>
    </comment>
    <comment ref="O2" authorId="0" shapeId="0" xr:uid="{BD3FC1DC-92D2-4444-A376-8D0584A6FEC9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P2" authorId="0" shapeId="0" xr:uid="{1BDB92C9-8C22-424C-8F7F-0EABE686187C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Q2" authorId="0" shapeId="0" xr:uid="{8114B4A2-2AA5-49BB-BCA2-33FBC276FA1A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R2" authorId="0" shapeId="0" xr:uid="{DFEAB45E-CFD5-4C64-B569-6141B9048670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S2" authorId="0" shapeId="0" xr:uid="{8BF7C9BB-CFA7-44F1-AC20-9460CA2ABDE2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T2" authorId="0" shapeId="0" xr:uid="{C21D1FC0-F36E-4365-82D0-CF7256F57089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U2" authorId="0" shapeId="0" xr:uid="{7A71AF62-9ECF-4B14-B275-76A83DF0453F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Сонячні теплонадходження через к-ий елемент будівлі</t>
        </r>
      </text>
    </comment>
    <comment ref="V2" authorId="0" shapeId="0" xr:uid="{D6B6BA5D-C2EE-4DE4-8F29-ECD15427F993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еквівалентна площа інсоляції к-оі поверхні з даною орієнтацією та кутом нахилу у
визначеній зоні чи об'ємі, м2</t>
        </r>
      </text>
    </comment>
    <comment ref="W2" authorId="0" shapeId="0" xr:uid="{FC2A574C-DE88-4FF2-9C8D-8BD1B258031D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загальна площа проекції заскленого елемента (наприклад, площа вікна), м2</t>
        </r>
      </text>
    </comment>
    <comment ref="X2" authorId="0" shapeId="0" xr:uid="{C5D31866-AAB2-4456-B77E-7335B92A3369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Y2" authorId="0" shapeId="0" xr:uid="{FA032734-D84F-4544-A11E-7DE23043E467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Z2" authorId="0" shapeId="0" xr:uid="{28C9A6FB-D50D-44C8-B8E3-25B9C0BD94CB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Сонячні теплонадходження через к-ий елемент будівлі</t>
        </r>
      </text>
    </comment>
    <comment ref="AA2" authorId="0" shapeId="0" xr:uid="{0840B937-D867-4B80-9D36-A45C766B350B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AB2" authorId="0" shapeId="0" xr:uid="{E3846F79-C489-446D-9705-B0920F4AA1FC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AC2" authorId="0" shapeId="0" xr:uid="{19BC5EA4-69E0-4FEC-8A2B-562C82A3B66A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AD2" authorId="0" shapeId="0" xr:uid="{E9DEABA5-82E8-43AC-B6AE-45675630D81F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AE2" authorId="0" shapeId="0" xr:uid="{E069BB58-D71B-4EE9-A69F-FE8C0A17FAF6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AF2" authorId="0" shapeId="0" xr:uid="{6CE40E29-A6DE-4724-8431-D77E1C9397D8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Сонячні теплонадходження через к-ий елемент будівлі</t>
        </r>
      </text>
    </comment>
    <comment ref="AG2" authorId="0" shapeId="0" xr:uid="{4C16A286-BD7D-4230-A38D-F6E144738D72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еквівалентна площа інсоляції к-оі поверхні з даною орієнтацією та кутом нахилу у
визначеній зоні чи об'ємі, м2</t>
        </r>
      </text>
    </comment>
    <comment ref="AH2" authorId="0" shapeId="0" xr:uid="{2DEBBC9B-4DC8-4889-9FD4-1992E505D26D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загальна площа проекції заскленого елемента (наприклад, площа вікна), м2</t>
        </r>
      </text>
    </comment>
    <comment ref="AI2" authorId="1" shapeId="0" xr:uid="{E2E321BC-F66D-4E04-91C1-0380E342CC46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коефіцієнт теплопередачі непрозорої частини, 
</t>
        </r>
        <r>
          <rPr>
            <sz val="9"/>
            <color rgb="FF000000"/>
            <rFont val="Tahoma"/>
            <family val="2"/>
            <charset val="204"/>
          </rPr>
          <t>Вт/(м2 • К);</t>
        </r>
      </text>
    </comment>
    <comment ref="AJ2" authorId="0" shapeId="0" xr:uid="{D5198C14-ADF2-4EA6-BC17-D0FEB442D5DE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додатковий тепловий потік внаслідок теплового випромінювання в атмосферу від
k-го елемента будівлі, Вт</t>
        </r>
      </text>
    </comment>
    <comment ref="A3" authorId="0" shapeId="0" xr:uid="{47212FA9-90D9-4339-8125-DDE4128B103A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Теплонадходження від сонця, для кожного місяця, Вт∙год</t>
        </r>
      </text>
    </comment>
    <comment ref="K28" authorId="1" shapeId="0" xr:uid="{045782D3-975E-4591-9A21-36DC93ACCE35}">
      <text>
        <r>
          <rPr>
            <b/>
            <sz val="9"/>
            <color indexed="81"/>
            <rFont val="Tahoma"/>
            <family val="2"/>
            <charset val="204"/>
          </rPr>
          <t>Олексій Булгаков:</t>
        </r>
        <r>
          <rPr>
            <sz val="9"/>
            <color indexed="81"/>
            <rFont val="Tahoma"/>
            <family val="2"/>
            <charset val="204"/>
          </rPr>
          <t xml:space="preserve">
Коефіцієнт поглинання сонячної радіації</t>
        </r>
      </text>
    </comment>
    <comment ref="L28" authorId="1" shapeId="0" xr:uid="{F7C01C1F-1745-4073-AADD-356EEDF685C5}">
      <text>
        <r>
          <rPr>
            <b/>
            <sz val="9"/>
            <color rgb="FF000000"/>
            <rFont val="Tahoma"/>
            <family val="2"/>
            <charset val="204"/>
          </rPr>
          <t>Олексій Булгаков: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Коефіцієнт теплового випромінювання зовнішньою поверхнею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1" authorId="0" shapeId="0" xr:uid="{CFD9354E-DA55-4692-B679-11FFE3C745FC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безрозмірне співвідношення надходжень і втрат теплоти для режиму опалення</t>
        </r>
      </text>
    </comment>
    <comment ref="D1" authorId="0" shapeId="0" xr:uid="{535089E5-A39B-45BC-A0CE-4AAE00322357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безрозмірний числовий параметр, що залежить від часової константи будівлі </t>
        </r>
        <r>
          <rPr>
            <sz val="9"/>
            <color rgb="FF000000"/>
            <rFont val="Calibri"/>
            <family val="2"/>
            <charset val="204"/>
          </rPr>
          <t>τ</t>
        </r>
        <r>
          <rPr>
            <sz val="9"/>
            <color rgb="FF000000"/>
            <rFont val="Tahoma"/>
            <family val="2"/>
            <charset val="204"/>
          </rPr>
          <t>н</t>
        </r>
      </text>
    </comment>
    <comment ref="E1" authorId="0" shapeId="0" xr:uid="{742F3FA7-2656-416C-8690-DA721BBAB113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часова константа зони будівлі</t>
        </r>
      </text>
    </comment>
    <comment ref="O1" authorId="0" shapeId="0" xr:uid="{2EDFF1DC-E111-4071-BBF7-62CD603CBD5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кондиціонована площа будівлі або зони будівлі, м2.</t>
        </r>
      </text>
    </comment>
    <comment ref="U1" authorId="0" shapeId="0" xr:uid="{0F2D2406-D3D2-417F-BDEE-67CDBA3133E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внутрішня теплоємність будівлі або зони будівлі на одиницю площі, Вт • год/(м2 • К),
приймають згідно з таблицею 15;</t>
        </r>
      </text>
    </comment>
    <comment ref="A2" authorId="0" shapeId="0" xr:uid="{8B66C0B9-F747-418D-A135-798A53315714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безрозмірний коефіціент використання надходжень</t>
        </r>
      </text>
    </comment>
    <comment ref="C17" authorId="0" shapeId="0" xr:uid="{B5DAAF28-0F9D-4459-9560-52817E27F0D3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безрозмірне співвідношення надходжень і втрат теплоти для режиму охолодження</t>
        </r>
      </text>
    </comment>
    <comment ref="D17" authorId="0" shapeId="0" xr:uid="{F5D5702C-E46A-4322-A310-EABB46C7FCF0}">
      <text>
        <r>
          <rPr>
            <b/>
            <sz val="9"/>
            <color rgb="FF000000"/>
            <rFont val="Tahoma"/>
            <family val="2"/>
            <charset val="204"/>
          </rPr>
          <t>Bulgakov: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безрозмірний числовий параметр, що залежить від часової константи будівлі </t>
        </r>
        <r>
          <rPr>
            <sz val="9"/>
            <color rgb="FF000000"/>
            <rFont val="Calibri"/>
            <family val="2"/>
            <charset val="204"/>
          </rPr>
          <t>τ</t>
        </r>
        <r>
          <rPr>
            <sz val="9"/>
            <color rgb="FF000000"/>
            <rFont val="Tahoma"/>
            <family val="2"/>
            <charset val="204"/>
          </rPr>
          <t>н</t>
        </r>
      </text>
    </comment>
    <comment ref="E17" authorId="0" shapeId="0" xr:uid="{FCEC3E90-395D-444B-B557-CCD4D2D91190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часова константа зони будівлі</t>
        </r>
      </text>
    </comment>
    <comment ref="A18" authorId="0" shapeId="0" xr:uid="{FEB18EEB-E6A4-44BC-BE58-23A3AAAB9D37}">
      <text>
        <r>
          <rPr>
            <b/>
            <sz val="9"/>
            <color indexed="81"/>
            <rFont val="Tahoma"/>
            <family val="2"/>
            <charset val="204"/>
          </rPr>
          <t>Bulgakov:</t>
        </r>
        <r>
          <rPr>
            <sz val="9"/>
            <color indexed="81"/>
            <rFont val="Tahoma"/>
            <family val="2"/>
            <charset val="204"/>
          </rPr>
          <t xml:space="preserve">
безрозмірний коефіціент використання надходжень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9DC4A587-DE45-45B7-9B38-54ACB95E800E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річне енергоспоживання будівлі на опалення,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 що розраховується за
</t>
        </r>
        <r>
          <rPr>
            <sz val="9"/>
            <color rgb="FF000000"/>
            <rFont val="Tahoma"/>
            <family val="2"/>
            <charset val="204"/>
          </rPr>
          <t>формулою (5);</t>
        </r>
      </text>
    </comment>
    <comment ref="B1" authorId="0" shapeId="0" xr:uid="{D79452C2-7865-463A-8EA2-722E45308F58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енергія виходу з підсистеми виробництва/генерування та акумулювання теплоти
</t>
        </r>
        <r>
          <rPr>
            <sz val="9"/>
            <color rgb="FF000000"/>
            <rFont val="Tahoma"/>
            <family val="2"/>
            <charset val="204"/>
          </rPr>
          <t>упродовж і-го місяця,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>год, що розраховується за формулою (6);</t>
        </r>
      </text>
    </comment>
    <comment ref="C1" authorId="0" shapeId="0" xr:uid="{F71FA27C-4992-47AB-9564-2C9027C02B2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загальні тепловтрати підсистем виробництва/генерування та акумулювання
теплоти упродовж і-го місяця, кВт×год, що розраховуються за формулою (7).</t>
        </r>
      </text>
    </comment>
    <comment ref="D1" authorId="0" shapeId="0" xr:uid="{263185F4-6758-4B79-B5D7-BE156941C670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енергія входу в підсистему розподілення упродовж і-го місяця,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 що
</t>
        </r>
        <r>
          <rPr>
            <sz val="9"/>
            <color rgb="FF000000"/>
            <rFont val="Tahoma"/>
            <family val="2"/>
            <charset val="204"/>
          </rPr>
          <t>розраховується за формулою (8).</t>
        </r>
      </text>
    </comment>
    <comment ref="E1" authorId="0" shapeId="0" xr:uid="{B2C2A32F-61B8-441C-AD91-02DEBED9CEED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неутилізовані тепловтрати підсистеми розподілення упродовж і-го місяця,
</t>
        </r>
        <r>
          <rPr>
            <sz val="9"/>
            <color rgb="FF000000"/>
            <rFont val="Tahoma"/>
            <family val="2"/>
            <charset val="204"/>
          </rPr>
          <t>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>год, розраховується за формулою (9);</t>
        </r>
      </text>
    </comment>
    <comment ref="F1" authorId="0" shapeId="0" xr:uid="{4DAAE09A-9199-49C6-AEC1-F17143507329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енергія виходу з підсистеми розподілення упродовж і-го місяця,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
</t>
        </r>
        <r>
          <rPr>
            <sz val="9"/>
            <color rgb="FF000000"/>
            <rFont val="Tahoma"/>
            <family val="2"/>
            <charset val="204"/>
          </rPr>
          <t>розраховується за формулою (12).</t>
        </r>
      </text>
    </comment>
    <comment ref="G1" authorId="0" shapeId="0" xr:uid="{D34F814F-7970-4451-A772-3FFED937824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неутилізаційні тепловтрати, кВт×год, розраховується за формулою (10); Неутилізаційними вважають тепловтрати підсистем розподілення, що знаходяться в усіх
неопалювальних об’ємах.</t>
        </r>
      </text>
    </comment>
    <comment ref="H1" authorId="0" shapeId="0" xr:uid="{C7EB91CA-44FE-4B5D-8A2B-0B193EBBC2D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утилізаційні тепловтрати, кВт×год, розраховується за формулою (10); Утилізаційними вважають тепловтрати підсистем розподілення в усіх
опалюваних об’ємах.х.</t>
        </r>
      </text>
    </comment>
    <comment ref="I1" authorId="0" shapeId="0" xr:uid="{909AA9FC-6443-4992-9208-F85442C71D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безрозмірний коефіцієнт використання надходжень для опалення впродовж і-го
місяця розрахований згідно з пунктом 12.2 ДСТУ Б А.2.2-12.</t>
        </r>
      </text>
    </comment>
    <comment ref="J1" authorId="0" shapeId="0" xr:uid="{C5B9BAEE-9375-4590-9326-96D5D6FC7C2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утилізовані тепловтрати, кВт×год, розраховується за формулою (11);</t>
        </r>
      </text>
    </comment>
    <comment ref="K1" authorId="0" shapeId="0" xr:uid="{0CBF47A8-6A10-4E35-9A1A-590144FB45E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енергія входу, необхідна для підсистеми тепловіддачі впродовж і-го місяця
кВт×год, розраховується за формулою (13).</t>
        </r>
      </text>
    </comment>
    <comment ref="L1" authorId="0" shapeId="0" xr:uid="{F6869453-5B26-4D03-961C-AD3B134CA6B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енергія виходу підсистеми тепловіддачі за і-й місяць, кВт×год, розраховується
за формулою (14);</t>
        </r>
      </text>
    </comment>
    <comment ref="M1" authorId="0" shapeId="0" xr:uid="{639BE969-345C-43C8-9995-5CF50A3D568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загальні тепловтрати підсистем тепловіддачі/виділення впродовж і-го місяця,
які вважаються 100 % придатними для утилізації, кВт×год, розраховуються за
формулою (15).</t>
        </r>
      </text>
    </comment>
    <comment ref="N1" authorId="0" shapeId="0" xr:uid="{77AA5866-0F68-4BC3-ACC2-829F5A2FFC0D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теплота, яку необхідно подати до кондиціонованого об’єму для підтримки
</t>
        </r>
        <r>
          <rPr>
            <sz val="9"/>
            <color rgb="FF000000"/>
            <rFont val="Tahoma"/>
            <family val="2"/>
            <charset val="204"/>
          </rPr>
          <t xml:space="preserve">температури упродовж визначеного періоду часу, без урахування інженерних
</t>
        </r>
        <r>
          <rPr>
            <sz val="9"/>
            <color rgb="FF000000"/>
            <rFont val="Tahoma"/>
            <family val="2"/>
            <charset val="204"/>
          </rPr>
          <t>систем теплозабезпечення будівлі,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 визначається згідно з підпунктом
</t>
        </r>
        <r>
          <rPr>
            <sz val="9"/>
            <color rgb="FF000000"/>
            <rFont val="Tahoma"/>
            <family val="2"/>
            <charset val="204"/>
          </rPr>
          <t>7.2.1 розділу 7 ДСТУ Б А.2.2-12.</t>
        </r>
      </text>
    </comment>
    <comment ref="A16" authorId="0" shapeId="0" xr:uid="{6BA48AEE-F067-46C8-8465-67FB3520DBA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показники ефективності підсистем виробництва/генерування та акумулювання
теплоти, що приймаються згідно з даними значень сезонної ефективності
виробництва/генерування теплоти, наведених у додатку 1 до цієї Методики.</t>
        </r>
      </text>
    </comment>
    <comment ref="G16" authorId="0" shapeId="0" xr:uid="{56C78BA1-9950-432E-A7EA-ECAC008AB4F6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неутилізаційні тепловтрати,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 розраховується за формулою (10); Неутилізаційними вважають тепловтрати підсистем розподілення, що знаходяться в усіх
</t>
        </r>
        <r>
          <rPr>
            <sz val="9"/>
            <color rgb="FF000000"/>
            <rFont val="Tahoma"/>
            <family val="2"/>
            <charset val="204"/>
          </rPr>
          <t>неопалювальних об’ємах.</t>
        </r>
      </text>
    </comment>
    <comment ref="P16" authorId="0" shapeId="0" xr:uid="{9D49478F-A1DF-42E0-8BBC-46C9B188EC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утилізаційні тепловтрати, кВт×год, розраховується за формулою (10); Утилізаційними вважають тепловтрати підсистем розподілення в усіх
опалюваних об’ємах.х.</t>
        </r>
      </text>
    </comment>
    <comment ref="J17" authorId="0" shapeId="0" xr:uid="{85F03824-E7D6-4E59-BAF3-ADB30FF994AA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лінійний коефіцієнт теплопередачі j-го трубопроводу, кВт/(м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К), визначається
</t>
        </r>
        <r>
          <rPr>
            <sz val="9"/>
            <color rgb="FF000000"/>
            <rFont val="Tahoma"/>
            <family val="2"/>
            <charset val="204"/>
          </rPr>
          <t xml:space="preserve">відповідно до типових значень лінійного коефіцієнта теплопередачі Ψ, Вт/(м⋅К),
</t>
        </r>
        <r>
          <rPr>
            <sz val="9"/>
            <color rgb="FF000000"/>
            <rFont val="Tahoma"/>
            <family val="2"/>
            <charset val="204"/>
          </rPr>
          <t>для нових та існуючих будівель, наведених у додатку 2 до цієї Методики;</t>
        </r>
      </text>
    </comment>
    <comment ref="S17" authorId="0" shapeId="0" xr:uid="{68E1FFA2-CB11-46E3-878A-DD1B5FDE9250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лінійний коефіцієнт теплопередачі j-го трубопроводу, кВт/(м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К), визначається
</t>
        </r>
        <r>
          <rPr>
            <sz val="9"/>
            <color rgb="FF000000"/>
            <rFont val="Tahoma"/>
            <family val="2"/>
            <charset val="204"/>
          </rPr>
          <t xml:space="preserve">відповідно до типових значень лінійного коефіцієнта теплопередачі Ψ, Вт/(м⋅К),
</t>
        </r>
        <r>
          <rPr>
            <sz val="9"/>
            <color rgb="FF000000"/>
            <rFont val="Tahoma"/>
            <family val="2"/>
            <charset val="204"/>
          </rPr>
          <t>для нових та існуючих будівель, наведених у додатку 2 до цієї Методики;</t>
        </r>
      </text>
    </comment>
    <comment ref="A18" authorId="0" shapeId="0" xr:uid="{4B17FA08-42E9-4B70-AE3A-92649E3F2A2B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коефіцієнт, що враховує гідравлічне налагодження системи, що визначається
</t>
        </r>
        <r>
          <rPr>
            <sz val="9"/>
            <color rgb="FF000000"/>
            <rFont val="Tahoma"/>
            <family val="2"/>
            <charset val="204"/>
          </rPr>
          <t xml:space="preserve">відповідно до коефіцієнтів ефективності, наведених у додатку 3 до цієї
</t>
        </r>
        <r>
          <rPr>
            <sz val="9"/>
            <color rgb="FF000000"/>
            <rFont val="Tahoma"/>
            <family val="2"/>
            <charset val="204"/>
          </rPr>
          <t>Методики;</t>
        </r>
      </text>
    </comment>
    <comment ref="J18" authorId="0" shapeId="0" xr:uid="{8A940D0A-6713-49AA-B626-3B8441616C03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довжина j-го трубопроводу, м;
</t>
        </r>
      </text>
    </comment>
    <comment ref="S18" authorId="0" shapeId="0" xr:uid="{6FB89C08-078F-4A4D-B9E0-C1C9270C5E5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довжина j-го трубопроводу, м;
</t>
        </r>
      </text>
    </comment>
    <comment ref="H19" authorId="0" shapeId="0" xr:uid="{E1ADB872-3D39-4C23-9070-8D291E11EB36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температура оточуючого середовища упродовж і-го місяця,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>C;</t>
        </r>
      </text>
    </comment>
    <comment ref="I19" authorId="0" shapeId="0" xr:uid="{7AA6C637-87EE-4F42-AA4A-A760FD42F97F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середня температура теплоносія в зоні упродовж і-го місяця,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 xml:space="preserve">C; визначають за
</t>
        </r>
        <r>
          <rPr>
            <sz val="9"/>
            <color rgb="FF000000"/>
            <rFont val="Tahoma"/>
            <family val="2"/>
            <charset val="204"/>
          </rPr>
          <t xml:space="preserve">температурним графіком регулювання теплоносія за погодними умовами при
</t>
        </r>
        <r>
          <rPr>
            <sz val="9"/>
            <color rgb="FF000000"/>
            <rFont val="Tahoma"/>
            <family val="2"/>
            <charset val="204"/>
          </rPr>
          <t xml:space="preserve">середньомісячній температурі зовнішнього середовища відповідного місяця, що
</t>
        </r>
        <r>
          <rPr>
            <sz val="9"/>
            <color rgb="FF000000"/>
            <rFont val="Tahoma"/>
            <family val="2"/>
            <charset val="204"/>
          </rPr>
          <t>визначається згідно з таблицею А.2 ДСТУ Б А.2.2-12;</t>
        </r>
      </text>
    </comment>
    <comment ref="J19" authorId="0" shapeId="0" xr:uid="{C6320CF1-8E3E-4691-BFAE-AC0661353AD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години опалення упродовж і-го місяця, години;</t>
        </r>
      </text>
    </comment>
    <comment ref="Q19" authorId="0" shapeId="0" xr:uid="{A090947D-E7BB-4124-AE5D-119741D86EE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температура оточуючого середовища упродовж і-го місяця, °C;</t>
        </r>
      </text>
    </comment>
    <comment ref="R19" authorId="0" shapeId="0" xr:uid="{0F3CEF02-F0AE-4E2C-85BA-791E459830EB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середня температура теплоносія в зоні упродовж і-го місяця, </t>
        </r>
        <r>
          <rPr>
            <sz val="9"/>
            <color rgb="FF000000"/>
            <rFont val="Tahoma"/>
            <family val="2"/>
            <charset val="204"/>
          </rPr>
          <t>°</t>
        </r>
        <r>
          <rPr>
            <sz val="9"/>
            <color rgb="FF000000"/>
            <rFont val="Tahoma"/>
            <family val="2"/>
            <charset val="204"/>
          </rPr>
          <t xml:space="preserve">C; визначають за
</t>
        </r>
        <r>
          <rPr>
            <sz val="9"/>
            <color rgb="FF000000"/>
            <rFont val="Tahoma"/>
            <family val="2"/>
            <charset val="204"/>
          </rPr>
          <t xml:space="preserve">температурним графіком регулювання теплоносія за погодними умовами при
</t>
        </r>
        <r>
          <rPr>
            <sz val="9"/>
            <color rgb="FF000000"/>
            <rFont val="Tahoma"/>
            <family val="2"/>
            <charset val="204"/>
          </rPr>
          <t xml:space="preserve">середньомісячній температурі зовнішнього середовища відповідного місяця, що
</t>
        </r>
        <r>
          <rPr>
            <sz val="9"/>
            <color rgb="FF000000"/>
            <rFont val="Tahoma"/>
            <family val="2"/>
            <charset val="204"/>
          </rPr>
          <t>визначається згідно з таблицею А.2 ДСТУ Б А.2.2-12;</t>
        </r>
      </text>
    </comment>
    <comment ref="S19" authorId="0" shapeId="0" xr:uid="{001461CA-97F8-4FC4-86E9-3C817D96282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години опалення упродовж і-го місяця, години;</t>
        </r>
      </text>
    </comment>
    <comment ref="A20" authorId="0" shapeId="0" xr:uid="{7BB99764-5062-4726-AF21-D0DA89C2790A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коефіцієнт, що враховує застосування періодичного теплового режиму
</t>
        </r>
        <r>
          <rPr>
            <sz val="9"/>
            <color rgb="FF000000"/>
            <rFont val="Tahoma"/>
            <family val="2"/>
            <charset val="204"/>
          </rPr>
          <t>приміщення;</t>
        </r>
      </text>
    </comment>
    <comment ref="A24" authorId="0" shapeId="0" xr:uid="{CCF1BDEB-BEC3-4836-9198-A689A3B1AA8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коефіцієнт, що враховує променеву складову теплового потоку (тільки для
променевих систем опалення) і визначається згідно із додатком 3 до цієї
Методики;</t>
        </r>
      </text>
    </comment>
    <comment ref="A26" authorId="0" shapeId="0" xr:uid="{5F320988-D54B-4092-8841-AF8A1020C1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загальний рівень ефективності для тепловіддавальної складової системи у
приміщенні розраховується за формулою (16)</t>
        </r>
      </text>
    </comment>
    <comment ref="A28" authorId="0" shapeId="0" xr:uid="{137F5CB7-FF5A-4403-BB7F-24487585B94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складова загального рівня ефективності, яка враховує вертикальний профіль
температури повітря приміщення, визначається згідно з додатком 3 до цієї
Методики;</t>
        </r>
      </text>
    </comment>
    <comment ref="A30" authorId="0" shapeId="0" xr:uid="{D36E13E3-E9A8-43A1-AC10-10C87E4E146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складова загального рівня ефективності, яка враховує регулювання температури
приміщення, розраховується згідно з додатком 3 до цієї Методики;</t>
        </r>
      </text>
    </comment>
    <comment ref="A32" authorId="0" shapeId="0" xr:uid="{4FAE5C24-37C8-4B9F-9C95-88FD413530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складова загального рівня ефективності, яка враховує питомі втрати зовнішніх
огороджень (для вбудованих систем), визначається згідно з додатком 3 до цієї
Методики.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649E11DF-A63C-49A5-9EFC-8D989E3E05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при охолодженні, кВт×год, розраховується за
формулою (19).</t>
        </r>
      </text>
    </comment>
    <comment ref="B1" authorId="0" shapeId="0" xr:uid="{6A3A8D4F-E29E-4177-B102-2848D7441D2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загальні тепловтрати підсистеми виробництва/генерування та акумулювання,
кВт×год, розраховується за формулою (20);</t>
        </r>
      </text>
    </comment>
    <comment ref="C1" authorId="0" shapeId="0" xr:uid="{F64D26F7-0B16-43C2-BF83-ED4634A9662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енергія виходу від підсистем виробництва/генерування та акумулювання,
кВт×год, розраховується за формулою (21).</t>
        </r>
      </text>
    </comment>
    <comment ref="D1" authorId="0" shapeId="0" xr:uid="{9889D49F-6B28-43BC-B5CF-46893A5DA8E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енергія входу в підсистему розподілення, кВт×год, визначена згідно з
формулою (22).</t>
        </r>
      </text>
    </comment>
    <comment ref="E1" authorId="0" shapeId="0" xr:uid="{6D3CCC5D-1B14-49D3-9451-324981F83C3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енергію виходу для підсистеми розподілення упродовж і-го місяця, Вт×год,
приймають рівною енергопотребі для охолодження у даному місяці QC,nd,i та
для даної комбінації зон, яку обслуговує та сама підсистема виділення/
тепловіддачі та розподілення, Вт×год, визначена згідно з підрозділом 7.2.2
розділу 7 ДСТУ Б А.2.2-12;</t>
        </r>
      </text>
    </comment>
    <comment ref="F1" authorId="0" shapeId="0" xr:uid="{7DA2D559-9E61-4144-BBA9-11536035A2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річні тепловтрати підсистемою розподілення охолодженого повітря, кВт×год,
визначені згідно з формулою (23).</t>
        </r>
      </text>
    </comment>
    <comment ref="G1" authorId="0" shapeId="0" xr:uid="{48BA84C8-6A6D-449C-B406-38D4A5186D1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річні енергопотреби для охолодження, кВт×год, визначені згідно з розділом
14 ДСТУ Б А.2.2-12 ;</t>
        </r>
      </text>
    </comment>
    <comment ref="H1" authorId="0" shapeId="0" xr:uid="{41C8FD5C-897B-4D7D-84CA-B8AFD86CA26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Загальне енергоспоживання за наявності центрального попереднього охолодження
розраховується за формулою (24)</t>
        </r>
      </text>
    </comment>
    <comment ref="I1" authorId="0" shapeId="0" xr:uid="{061ACB2B-5E59-46B4-95C3-8B744BB19B7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загальна енергія виходу з підсистеми виробництва/генерування при
центральному попередньому охолодженні припливного повітря,
кВт×год, визначена згідно з формулою (25);</t>
        </r>
      </text>
    </comment>
    <comment ref="K1" authorId="0" shapeId="0" xr:uid="{70C6305F-E045-4A04-A866-99CDC27DF9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частка m-го місяця, що є частиною фактичного періоду охолодження для
роботи сезонозалежних технічних засобів, розрахована відповідно до
таблиці А.3 додатка А ДСТУ Б А.2.2-12;</t>
        </r>
      </text>
    </comment>
    <comment ref="L1" authorId="0" shapeId="0" xr:uid="{B16D011F-2D42-47B3-8D24-91D52B5FE8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енергопотреба для попереднього охолодження для m-го місяця, кВт×год,
розрахована згідно з підпунктом 9.3.2 розділу 9 ДСТУ Б А.2.2-12;</t>
        </r>
      </text>
    </comment>
    <comment ref="A16" authorId="0" shapeId="0" xr:uid="{2623BFE1-D9B2-4B8E-B539-54971497B3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показник ефективності підсистеми виробництва/генерування та акумулювання,
визначений відповідно до показників річної ефективності (SEER) окремих
охолоджувальних машин, наведених у додатку 4 цієї Методики.</t>
        </r>
      </text>
    </comment>
    <comment ref="A18" authorId="0" shapeId="0" xr:uid="{725FBA0C-304E-44A7-A580-B10A2C4FEEC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ефективність автоматичного управління/регулювання, залежно від класу
ефективності системи управління/регулювання приймають наступні значення:</t>
        </r>
      </text>
    </comment>
    <comment ref="A21" authorId="0" shapeId="0" xr:uid="{959FA485-71A9-4C7C-9169-8375B0362EE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ступінь утилізації теплообміну при охолодженні в системі охолодження
приймають згідно з показниками усереднених річних коефіцієнтів систем
охолодження, наведених у додатку 5 до цієї Методики;</t>
        </r>
      </text>
    </comment>
    <comment ref="A23" authorId="0" shapeId="0" xr:uid="{7C7A8359-E444-4B00-967F-D710C421CC1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ступінь явної утилізації теплообміну при охолодженні в системі охолодження
приймають згідно з даними додатка 5 до цієї Методики. Ця величина враховує
небажане осушення (енергію на конденсацію) в існуючому устаткуванні
системи охолодження;</t>
        </r>
      </text>
    </comment>
    <comment ref="A25" authorId="0" shapeId="0" xr:uid="{1B3C21E5-9591-423A-82E8-3BE8D7351E4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ступінь утилізації підсистеми розподілення приймають за даними додатка 5
до цієї Методики.</t>
        </r>
      </text>
    </comment>
    <comment ref="A27" authorId="0" shapeId="0" xr:uid="{57DC52DC-7A50-46BA-AFA0-60AA3088877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ефективність підсистеми виробництва/генерування системи
центрального попереднього охолодження відповідно до додатка 4 до цієї
Методики.</t>
        </r>
      </text>
    </comment>
    <comment ref="A29" authorId="0" shapeId="0" xr:uid="{86F3F10E-0E4B-49F3-A123-6942029E84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загальна ефективність розподілення і тепловіддачі/виділення для системи
попереднього охолодження, що приймається відповідно до показників
загальної ефективності розподілення і тепловіддачі/виділення для систем
попереднього охолодження, наведених у додатку 6 до цієї Методики.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0603BEF5-46E2-4B05-A89A-01B79D54805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будівлею при постачанні гарячої води, кВт×год,
розраховується за формулою (28);</t>
        </r>
      </text>
    </comment>
    <comment ref="B1" authorId="0" shapeId="0" xr:uid="{DD922502-C9A4-4926-8CA7-3528F76558DD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річна енергопотреба будівлі для постачання гарячої води,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
</t>
        </r>
        <r>
          <rPr>
            <sz val="9"/>
            <color rgb="FF000000"/>
            <rFont val="Tahoma"/>
            <family val="2"/>
            <charset val="204"/>
          </rPr>
          <t>розраховується за формулою (29).</t>
        </r>
      </text>
    </comment>
    <comment ref="C1" authorId="0" shapeId="0" xr:uid="{8E8A1A1E-C8A0-4109-A71B-875EB4F1BC6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річні тепловтрати підсистеми розподілення постачання гарячої води, кВт×год,
визначається згідно з пунктом 5 цього розділу;</t>
        </r>
      </text>
    </comment>
    <comment ref="D1" authorId="0" shapeId="0" xr:uid="{F64DDB1F-88CA-4B5E-BB1B-5BDDE3E7F35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річні тепловтрати циркуляційного контуру постачання гарячої води, кВт×год,
визначається згідно з пунктом 6 цього розділу;</t>
        </r>
      </text>
    </comment>
    <comment ref="E1" authorId="0" shapeId="0" xr:uid="{0BA228BC-20D5-48CA-BAEE-86A4DBB06FD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тепловтрати використаної води при водорозборі, кВт×год, визначається згідно
з пунктом 7 цього розділу, при цьому період постачання гарячої води (години),
встановлюється при виявленні фактичного стану будівлі;</t>
        </r>
      </text>
    </comment>
    <comment ref="F1" authorId="0" shapeId="0" xr:uid="{E072BBA0-F238-41C9-ADDE-9B8C5F30D8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Регулярні тепловтрати з секцій трубопроводу, розміщених в опалюваних приміщеннях,
утилізуються у вигляді опалення приміщення під час опалювального періоду. Частина таких
втрат може бути утилізована і здійснити внесок у нагрівання приміщення.
Утилізаційні регулярні тепловтрати, кВт×год, виражають часткою тепловтрат у підсистемі
розподілення ГВП з трубопроводів, що знаходяться в опалюваних приміщеннях, та часткою
додаткового енергоспоживання при розподіленні за формулою (36)</t>
        </r>
      </text>
    </comment>
    <comment ref="I1" authorId="0" shapeId="0" xr:uid="{8CAAD606-97D9-4AFA-8460-680CC1C1649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річна енергопотреба будівлі для постачання гарячої води, кВт×год,
розраховується за формулою (29).</t>
        </r>
      </text>
    </comment>
    <comment ref="J2" authorId="0" shapeId="0" xr:uid="{20C33598-D5AD-41BA-BC92-A6734EB86E8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питома теплоємність води, (кДж/кг×°C)</t>
        </r>
      </text>
    </comment>
    <comment ref="M2" authorId="0" shapeId="0" xr:uid="{B9FA760E-3699-444C-985C-1F7C79EEFC1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середня за рік добова витрата води, (л/добу), яка визначається згідно Таблиць А.1
та А.2 ДБН В.2.5.-64:2012 «Внутрішній водопровід та каналізація. Частина І.
Проектування. Частина ІІ. Будівництво» (далі - ДБН В.2.5.-64) або розрахунковим
шляхом, враховуючи фактичний обсяг споживання гарячої води, відповідно до
показників вузла комерційного обліку, без врахування поставленої гарячої води
для потреб басейнів (за наявності)</t>
        </r>
      </text>
    </comment>
    <comment ref="J3" authorId="0" shapeId="0" xr:uid="{BAC36AF9-EFA6-495F-AD0C-6BAFDC608D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річний обсяг споживання води, (кг), розраховується за формулою</t>
        </r>
      </text>
    </comment>
    <comment ref="M3" authorId="0" shapeId="0" xr:uid="{88532A8C-6085-4AF9-9B86-416B14F048B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кількість розрахункових одиниць споживання гарячої води, вид яких визначається
згідно Таблиць А.1 та А.2 ДБН В.2.5.-64:2012, а кількість - згідно з фактичними
значеннями;</t>
        </r>
      </text>
    </comment>
    <comment ref="J4" authorId="0" shapeId="0" xr:uid="{7AC87982-9E5C-4DEB-A87A-2C670C737C2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встановлена температура подачі гарячої води, °C;</t>
        </r>
      </text>
    </comment>
    <comment ref="M4" authorId="0" shapeId="0" xr:uid="{4CD8F492-044E-46CE-879F-41F603632F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кількість діб роботи системи гарячого водопостачання (діб);</t>
        </r>
      </text>
    </comment>
    <comment ref="J5" authorId="0" shapeId="0" xr:uid="{AD9ABF8F-D04E-4276-9C84-342A9189CB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середня річна температура холодної води, яку приймають рівною 10 °C;</t>
        </r>
      </text>
    </comment>
    <comment ref="M5" authorId="0" shapeId="0" xr:uid="{50F450B0-9346-4961-B2BE-52D7780CFD5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густина води за нормальних умов (кг/м3).</t>
        </r>
      </text>
    </comment>
    <comment ref="J6" authorId="0" shapeId="0" xr:uid="{8F1CF0BE-094E-47B2-849F-601B5A6E7B5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коефіцієнт переведення, кДж, в кВт×год, який приймають рівним 0,278×10-3
(кВт×год/кДж);</t>
        </r>
      </text>
    </comment>
    <comment ref="I8" authorId="0" shapeId="0" xr:uid="{0BCD7B34-CE2F-42AB-9BD1-7021C0B4FA2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річні тепловтрати підсистеми розподілення постачання гарячої води, кВт×год,
визначається згідно з пунктом 5 цього розділу;</t>
        </r>
      </text>
    </comment>
    <comment ref="K9" authorId="0" shapeId="0" xr:uid="{98259F55-16BE-41E8-9906-05BEA9E772F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лінійний коефіцієнт теплопередачі трубопроводу, Вт/(м×К), визначається
згідно з додатком 2 до цієї Методики;</t>
        </r>
      </text>
    </comment>
    <comment ref="K10" authorId="0" shapeId="0" xr:uid="{6DE2BBC8-D642-497F-9F84-9ADE4B6109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довжина секції трубопроводу, м;</t>
        </r>
      </text>
    </comment>
    <comment ref="I11" authorId="0" shapeId="0" xr:uid="{9FB09F15-4628-48E7-9739-9F08A0B7B6D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середня температура гарячої води у секції трубопроводу, °C;</t>
        </r>
      </text>
    </comment>
    <comment ref="J11" authorId="0" shapeId="0" xr:uid="{45C66030-73DB-4C54-8863-49AA445A7B0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середня температура середовища навколо секції трубопроводу або
температура опалюваного чи неопалюваного приміщення, °C;</t>
        </r>
      </text>
    </comment>
    <comment ref="K11" authorId="0" shapeId="0" xr:uid="{8CC2E3B2-3497-45EE-B9EA-572351042572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період користування ГВП (години/рік), що встановлюється при виявленні
</t>
        </r>
        <r>
          <rPr>
            <sz val="9"/>
            <color rgb="FF000000"/>
            <rFont val="Tahoma"/>
            <family val="2"/>
            <charset val="204"/>
          </rPr>
          <t>фактичного стану будівлі;</t>
        </r>
      </text>
    </comment>
    <comment ref="I14" authorId="0" shapeId="0" xr:uid="{40382E89-FF1C-46D7-9554-43E1A3D42B1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тепловтрати трубопроводів протягом періодів циркуляції, кВт×год,
визначають за формулою (33);</t>
        </r>
      </text>
    </comment>
    <comment ref="K15" authorId="0" shapeId="0" xr:uid="{86B717D1-33E2-47EE-B794-973043EB70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лінійний коефіцієнт теплопередачі трубопроводу, Вт/(м×К), визначається
згідно з додатком 2 до цієї Методики;</t>
        </r>
      </text>
    </comment>
    <comment ref="K16" authorId="0" shapeId="0" xr:uid="{73026DA2-1B61-47EC-B45C-C886C676391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довжина секції трубопроводу, м;</t>
        </r>
      </text>
    </comment>
    <comment ref="I17" authorId="0" shapeId="0" xr:uid="{3A700B0C-0350-467A-9356-5592326A09D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середня температура гарячої води у секції трубопроводу, °C;</t>
        </r>
      </text>
    </comment>
    <comment ref="J17" authorId="0" shapeId="0" xr:uid="{F67FF884-4BEA-4091-B4D6-1E2296DA2BA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середня температура середовища навколо секції трубопроводу або
температура опалюваного чи неопалюваного приміщення, °C;</t>
        </r>
      </text>
    </comment>
    <comment ref="K17" authorId="0" shapeId="0" xr:uid="{3009D9DC-6283-41CD-A632-EFA08A1B5B0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період циркуляції, години/рік; за відсутності точних даних приймають tw,on =
8760 годин;</t>
        </r>
      </text>
    </comment>
    <comment ref="A20" authorId="0" shapeId="0" xr:uid="{77A14AAB-58DF-420E-BFF9-85584BD78F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ефективність підсистеми виробництва/генерування та акумулювання теплоти
визначається згідно з додатком 1 до цієї Методики. При цьому за наявності
джерела теплопостачання з показником ефективності, що встановлений при
виявленні фактичного стану будівлі та є відмінним від показника, визначеного
у додатку 1 до цієї Методики, приймається значення, визначене при виявленні
фактичного стану будівлі.</t>
        </r>
      </text>
    </comment>
    <comment ref="I20" authorId="0" shapeId="0" xr:uid="{114280FA-2102-4CE8-BC57-97D4E66B012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тепловтрати трубопроводів протягом періодів відсутності циркуляції, кВт×год,
визначають за формулою (34).</t>
        </r>
      </text>
    </comment>
    <comment ref="K21" authorId="0" shapeId="0" xr:uid="{4C69D62E-1734-429B-A37C-51255E78BE3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об’єм води, що міститься в секції трубопроводу, м3, визначений за
допомогою значень довжини та діаметру трубопроводу;</t>
        </r>
      </text>
    </comment>
    <comment ref="A22" authorId="0" shapeId="0" xr:uid="{6E57B1BD-A021-40CB-A060-A40F68D243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еквівалент збільшення, що враховує тепловтрати використаної води при
водорозборі, приймають згідно з даними тепловтрат використаної води при
водорозборі у будівлях без циркуляційного контуру, наведених у додатку 7 до цієї
Методики.</t>
        </r>
      </text>
    </comment>
    <comment ref="J22" authorId="0" shapeId="0" xr:uid="{EFA4059B-3B5F-415B-8A14-5A31AA2ACC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теплоємність води, приймають 1150 Вт×год/(м3×К);</t>
        </r>
      </text>
    </comment>
    <comment ref="K22" authorId="0" shapeId="0" xr:uid="{10C2CD1D-337F-4CF4-A3FA-9BC06045E78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період користування ГВП (години/рік), що встановлюється при виявленні
фактичного стану будівлі;</t>
        </r>
      </text>
    </comment>
    <comment ref="A24" authorId="0" shapeId="0" xr:uid="{1B8AE759-B1C5-4A44-8E8B-88B743E7ABD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частка тепловтрат в підсистемі розподілення ГВП, що можуть бути
утилізовані для підвищення температури приміщення;</t>
        </r>
      </text>
    </comment>
    <comment ref="A26" authorId="0" shapeId="0" xr:uid="{0FE4788A-103D-486A-ADD2-0255AED6845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додаткове енергоспоживання при розподіленні в системі ГВП</t>
        </r>
      </text>
    </comment>
    <comment ref="A28" authorId="0" shapeId="0" xr:uid="{729EC519-5FE0-401C-942E-E68E64418B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частка додаткового енергоспоживання при розподіленні, що може бути
утилізована для опалення приміщення.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" authorId="0" shapeId="0" xr:uid="{DC3C830D-94A3-46A3-9F06-7F516E10B12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енергоспоживання припливного та витяжного вентиляторів системи вентиляції,
кВт×год, розраховується за формулою (40).</t>
        </r>
      </text>
    </comment>
    <comment ref="C1" authorId="0" shapeId="0" xr:uid="{2F087407-4757-4BC0-8001-4D48745141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електрична потужність вентилятора, кВт, розраховується за формулою (41);</t>
        </r>
      </text>
    </comment>
    <comment ref="D1" authorId="0" shapeId="0" xr:uid="{A5178440-9CEB-42CD-8007-3FBF4965D3E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час роботи системи вентиляції (години).</t>
        </r>
      </text>
    </comment>
    <comment ref="E1" authorId="0" shapeId="0" xr:uid="{BE9F6D66-69DB-45AF-8640-147D840541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питома потужність вентилятора системи механічної вентиляції, кВт/(м3/с), або
визначається згідно з проектною питомою потужністю вентилятора системи
механічної вентиляції, наведеною у додатку 8 до цієї Методики, щодо питомої
потужності вентилятора системи механічної вентиляції або фактичні дані
потужності системи вентиляції. За відсутності механічної системи вентиляції
розрахунок не виконується;</t>
        </r>
      </text>
    </comment>
    <comment ref="F1" authorId="0" shapeId="0" xr:uid="{1A1DA4A1-443D-42F5-9D0E-6D7DBC99C5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об’ємна витрата повітря в системі механічної вентиляції, м3 /год.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42530A6D-F344-46EF-9E01-D5C7F2B13D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річний обсяг енергоспоживання при освітленні кВт×год, розраховується за
формулою (43);</t>
        </r>
      </text>
    </comment>
    <comment ref="B1" authorId="0" shapeId="0" xr:uid="{B7FB99B9-DBC2-46F2-A1D5-A574BAC58F9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енергія, необхідна для виконання функції штучного освітлення в будівлі,
кВт×год, розраховується за формулою (44);</t>
        </r>
      </text>
    </comment>
    <comment ref="C1" authorId="0" shapeId="0" xr:uid="{23A37E9B-94E2-4871-99F0-503C53C88BC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енергія, необхідна для забезпечення заряду акумуляторів світильників аварійного
освітлення, та енергія для управління/регулювання освітленням в будівлі,
кВт×год, визначається згідно з пунктом 4 цього розділу.</t>
        </r>
      </text>
    </comment>
    <comment ref="E1" authorId="0" shapeId="0" xr:uid="{A923070F-F7BB-4D05-A145-7A8D65F7318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питома потужність встановленого штучного освітлення в будівлі, Вт/м2,
встановлюється за проектними даними або при виявленні фактичного стану будівлі
для забезпечення освітленості згідно з нормативними значеннями;</t>
        </r>
      </text>
    </comment>
    <comment ref="G1" authorId="0" shapeId="0" xr:uid="{F3B73446-8530-4973-B5FA-F7FC050AF94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загальна встановлена питома потужність заряду акумуляторів світильників
аварійного освітлення, кВт×год/м2 (приймають згідно з додатком 9 до цієї
Методики);</t>
        </r>
      </text>
    </comment>
    <comment ref="E2" authorId="0" shapeId="0" xr:uid="{D87E493B-2A67-4C7D-BBA4-A067F4F3CCD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постійний коефіцієнт яскравості, що відноситься до використання встановлення
освітлення при функціонуючому контролі сталої освітленості зони та
розраховується згідно з показниками типових значень для розрахунку
енергоспоживання при освітленні, наведених у додатку 9 до цієї Методики</t>
        </r>
      </text>
    </comment>
    <comment ref="G2" authorId="0" shapeId="0" xr:uid="{80DF6091-FE2A-4A58-B4E0-E1DA62728B3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загальна встановлена питома потужність усіх систем управління приладами
освітлення зони в час, коли лампи не використовують, кВт×год/м2 (приймають
згідно з додатком 9 до цієї Методики);</t>
        </r>
      </text>
    </comment>
    <comment ref="E3" authorId="0" shapeId="0" xr:uid="{3514508A-7009-4F81-8476-E0701D99639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коефіцієнт використання освітлення, який є відношенням використання загальної
встановленої потужності штучного освітлення до періоду використання зони, та
приймається згідно з додатком 9 до цієї Методики, або розраховується відповідно
до фактичних потужностей освітлювальних приладів;</t>
        </r>
      </text>
    </comment>
    <comment ref="E4" authorId="0" shapeId="0" xr:uid="{E2C93B6C-DC17-4F66-A7A4-27044C7F8F9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коефіцієнт природного освітлення, який є відношенням використання загальної
встановленої потужності штучного освітлення до наявного природного освітлення
зони, та приймається згідно з додатком 9 до цієї Методики;</t>
        </r>
      </text>
    </comment>
    <comment ref="E5" authorId="0" shapeId="0" xr:uid="{AE5335F9-DA2E-4C00-AE8D-C8A83D3CCB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час використання природного освітлення протягом року (години), приймається
згідно з додатком 9 до цієї Методики або визначається розрахунковим шляхом
враховуючи фактичну тривалість використання штучного освітлення;</t>
        </r>
      </text>
    </comment>
    <comment ref="E6" authorId="0" shapeId="0" xr:uid="{1DBD646C-A0D4-4FBD-ADCE-8DF247348A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час використання природного освітлення протягом року (години), приймається
згідно з додатком 9 до цієї Методики або розраховується відповідно до фактичного
періоду роботи освітлювальних приладів;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6E154549-1CA3-459B-A8B6-7F7B01F2E4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Первинна енергія, кВт×год</t>
        </r>
      </text>
    </comment>
    <comment ref="B1" authorId="0" shapeId="0" xr:uid="{120F3A06-38E2-4039-82E5-DB496F7887F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будівлі на опалення, кВт×год, що розраховується за
формулою (5);</t>
        </r>
      </text>
    </comment>
    <comment ref="C1" authorId="0" shapeId="0" xr:uid="{29450C91-FDB0-418D-A442-B442A019A20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при охолодженні, кВт×год, розраховується за
формулою (19).</t>
        </r>
      </text>
    </comment>
    <comment ref="D1" authorId="0" shapeId="0" xr:uid="{17E5ACC4-2217-434F-8846-72DF505FC1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будівлею при постачанні гарячої води, кВт×год,
розраховується за формулою (28);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3" authorId="0" shapeId="0" xr:uid="{8CD7BE92-FD10-47FE-95C1-772C4AA0CA3A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річна енергопотреба будівлі на опалення,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 що визначається згідно з
</t>
        </r>
        <r>
          <rPr>
            <sz val="9"/>
            <color rgb="FF000000"/>
            <rFont val="Tahoma"/>
            <family val="2"/>
            <charset val="204"/>
          </rPr>
          <t>розділами 7, 8, 9, 10, 11, 12, 13 та 14 ДСТУ Б А.2.2-12;</t>
        </r>
      </text>
    </comment>
    <comment ref="C4" authorId="0" shapeId="0" xr:uid="{A70B706C-6C50-454E-9366-B0AE6934DF3C}">
      <text>
        <r>
          <rPr>
            <sz val="9"/>
            <color indexed="81"/>
            <rFont val="Tahoma"/>
            <family val="2"/>
            <charset val="204"/>
          </rPr>
          <t>річна енергопотреба будівлі на охолодження, кВт×год, що визначається згідно з
розділами 7, 8, 9, 10, 11, 12, 13 та 14 ДСТУ Б А.2.2-12;</t>
        </r>
      </text>
    </comment>
    <comment ref="C5" authorId="0" shapeId="0" xr:uid="{1C1D0194-A576-4F62-B8AF-562FD4D42D9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річна енергопотреба будівлі для постачання гарячої води, кВт×год,
розраховується за формулою (29).</t>
        </r>
      </text>
    </comment>
    <comment ref="C6" authorId="0" shapeId="0" xr:uid="{81CA1412-2AA8-46E7-8A5E-462FB55997BF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кондиціонована (опалювана) площа для житлової будівлі, м2</t>
        </r>
      </text>
    </comment>
    <comment ref="C8" authorId="0" shapeId="0" xr:uid="{1FABB4E6-AF83-4C5D-A2B5-656092890A2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річна енергопотреба будівлі на опалення, кВт×год, що визначається згідно з
розділами 7, 8, 9, 10, 11, 12, 13 та 14 ДСТУ Б А.2.2-12;</t>
        </r>
      </text>
    </comment>
    <comment ref="C9" authorId="0" shapeId="0" xr:uid="{A9821D71-A825-4903-8231-57190A0793B3}">
      <text>
        <r>
          <rPr>
            <sz val="9"/>
            <color indexed="81"/>
            <rFont val="Tahoma"/>
            <family val="2"/>
            <charset val="204"/>
          </rPr>
          <t>річна енергопотреба будівлі на охолодження, кВт×год, що визначається згідно з
розділами 7, 8, 9, 10, 11, 12, 13 та 14 ДСТУ Б А.2.2-12;</t>
        </r>
      </text>
    </comment>
    <comment ref="C10" authorId="0" shapeId="0" xr:uid="{C85144A8-52BD-4716-97AD-6A5F9D74DEF7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річна енергопотреба будівлі для постачання гарячої води,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
</t>
        </r>
        <r>
          <rPr>
            <sz val="9"/>
            <color rgb="FF000000"/>
            <rFont val="Tahoma"/>
            <family val="2"/>
            <charset val="204"/>
          </rPr>
          <t>розраховується за формулою (29).</t>
        </r>
      </text>
    </comment>
    <comment ref="C11" authorId="0" shapeId="0" xr:uid="{902C2892-E430-4AAF-B7EF-85D60BDDCDD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кондиціонований (опалювальний) об’єм для громадської будівлі (або її частини),
м3</t>
        </r>
      </text>
    </comment>
    <comment ref="C14" authorId="0" shapeId="0" xr:uid="{E5BC7376-2BB0-4BE7-81BE-4477E5E2870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будівлі на опалення, кВт×год, що розраховується за
формулою (5);</t>
        </r>
      </text>
    </comment>
    <comment ref="C15" authorId="0" shapeId="0" xr:uid="{AFF05C0D-2876-4C5F-BF07-9E9E32EE69A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кондиціонована (опалювана) площа для житлової будівлі, м2</t>
        </r>
      </text>
    </comment>
    <comment ref="C17" authorId="0" shapeId="0" xr:uid="{F41CC0BF-C69F-45F6-ABCA-086F1AE4C83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будівлі на опалення, кВт×год, що розраховується за
формулою (5);</t>
        </r>
      </text>
    </comment>
    <comment ref="C18" authorId="0" shapeId="0" xr:uid="{792F9558-870A-4586-9508-9DC4B299032D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кондиціонований (опалювальний) об’єм для громадської будівлі (або її частини),
</t>
        </r>
        <r>
          <rPr>
            <sz val="9"/>
            <color rgb="FF000000"/>
            <rFont val="Tahoma"/>
            <family val="2"/>
            <charset val="204"/>
          </rPr>
          <t>м3</t>
        </r>
      </text>
    </comment>
    <comment ref="C21" authorId="0" shapeId="0" xr:uid="{FDF60F32-2BD4-47ED-A257-D878B3A858D8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річне енергоспоживання при охолодженні,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 розраховується за
</t>
        </r>
        <r>
          <rPr>
            <sz val="9"/>
            <color rgb="FF000000"/>
            <rFont val="Tahoma"/>
            <family val="2"/>
            <charset val="204"/>
          </rPr>
          <t>формулою (19).</t>
        </r>
      </text>
    </comment>
    <comment ref="C22" authorId="0" shapeId="0" xr:uid="{B12CCE7E-E33E-4280-8116-99400C68777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кондиціонована (опалювана) площа для житлової будівлі, м2</t>
        </r>
      </text>
    </comment>
    <comment ref="C24" authorId="0" shapeId="0" xr:uid="{F8D8CD04-3F37-423F-89E8-2D662ACAF8F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при охолодженні, кВт×год, розраховується за
формулою (19).</t>
        </r>
      </text>
    </comment>
    <comment ref="C25" authorId="0" shapeId="0" xr:uid="{B3FF32AD-4E40-4942-A7CA-8BD52C46913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кондиціонований (опалювальний) об’єм для громадської будівлі (або її частини),
м3</t>
        </r>
      </text>
    </comment>
    <comment ref="C28" authorId="0" shapeId="0" xr:uid="{7DF14A92-A0EE-435F-9496-1F6FE5F6DBE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будівлею при постачанні гарячої води, кВт×год,
розраховується за формулою (28);</t>
        </r>
      </text>
    </comment>
    <comment ref="C29" authorId="0" shapeId="0" xr:uid="{FB7EF1DF-AD1C-4CD3-830A-CA0C7C4078D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кондиціонована (опалювана) площа для житлової будівлі, м2</t>
        </r>
      </text>
    </comment>
    <comment ref="C31" authorId="0" shapeId="0" xr:uid="{76B9D4EF-3493-4083-BFCA-04AD09E7CA8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будівлею при постачанні гарячої води, кВт×год,
розраховується за формулою (28);</t>
        </r>
      </text>
    </comment>
    <comment ref="C32" authorId="0" shapeId="0" xr:uid="{C2BE7657-066E-4162-81EF-140816978B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кондиціонований (опалювальний) об’єм для громадської будівлі (або її частини),
м3</t>
        </r>
      </text>
    </comment>
    <comment ref="C35" authorId="0" shapeId="0" xr:uid="{AC10548C-13BC-4A4C-BDF6-EFFEDA270A9E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річне енергоспоживання при вентиляції,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 xml:space="preserve">год, розраховується за формулою
</t>
        </r>
        <r>
          <rPr>
            <sz val="9"/>
            <color rgb="FF000000"/>
            <rFont val="Tahoma"/>
            <family val="2"/>
            <charset val="204"/>
          </rPr>
          <t>(39);</t>
        </r>
      </text>
    </comment>
    <comment ref="C36" authorId="0" shapeId="0" xr:uid="{190A21BF-7342-4590-8C27-1C598932690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кондиціонована (опалювана) площа для житлової будівлі, м2</t>
        </r>
      </text>
    </comment>
    <comment ref="C38" authorId="0" shapeId="0" xr:uid="{5BD4AFFD-A5DD-4123-AA30-97FB01F841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річне енергоспоживання при вентиляції, кВт×год, розраховується за формулою
(39);</t>
        </r>
      </text>
    </comment>
    <comment ref="C39" authorId="0" shapeId="0" xr:uid="{0849B40F-1EF9-4EA1-B567-D0C57E4A2E3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кондиціонований (опалювальний) об’єм для громадської будівлі (або її частини),
м3</t>
        </r>
      </text>
    </comment>
    <comment ref="C41" authorId="0" shapeId="0" xr:uid="{1DFC7218-B350-47D4-AFEC-8C52615E5FC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річний обсяг енергоспоживання при освітленні кВт×год, розраховується за
формулою (43);</t>
        </r>
      </text>
    </comment>
    <comment ref="C42" authorId="0" shapeId="0" xr:uid="{89430D68-8744-460C-AA19-297C621E494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кондиціонована (опалювана) площа для житлової будівлі, м2</t>
        </r>
      </text>
    </comment>
    <comment ref="C44" authorId="0" shapeId="0" xr:uid="{3A3A9FF4-DF53-4DAF-8DC6-D5ED790B841E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Первинна енергія, кВт</t>
        </r>
        <r>
          <rPr>
            <sz val="9"/>
            <color rgb="FF000000"/>
            <rFont val="Tahoma"/>
            <family val="2"/>
            <charset val="204"/>
          </rPr>
          <t>×</t>
        </r>
        <r>
          <rPr>
            <sz val="9"/>
            <color rgb="FF000000"/>
            <rFont val="Tahoma"/>
            <family val="2"/>
            <charset val="204"/>
          </rPr>
          <t>год</t>
        </r>
      </text>
    </comment>
    <comment ref="C45" authorId="0" shapeId="0" xr:uid="{5A841BFC-A7E9-46E1-B9D9-16D33139BF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кондиціонована (опалювана) площа для житлової будівлі, м2</t>
        </r>
      </text>
    </comment>
    <comment ref="C47" authorId="0" shapeId="0" xr:uid="{5E961D34-387F-4BD5-B02E-881AD310CB30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кондиціонована (опалювана) площа для житлової будівлі, м2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A49A81-D22F-454F-8D5F-1ABEF6B7CD59}" keepAlive="1" name="Запит – areasAndVolumes" description="Підключення до запита &quot;areasAndVolumes&quot; у книзі." type="5" refreshedVersion="8" background="1" saveData="1">
    <dbPr connection="Provider=Microsoft.Mashup.OleDb.1;Data Source=$Workbook$;Location=areasAndVolumes;Extended Properties=&quot;&quot;" command="SELECT * FROM [areasAndVolumes]"/>
  </connection>
  <connection id="2" xr16:uid="{6D70AC2E-34FA-4800-8472-D461430D7665}" keepAlive="1" name="Запит – building" description="Підключення до запита &quot;building&quot; у книзі." type="5" refreshedVersion="0" background="1" saveData="1">
    <dbPr connection="Provider=Microsoft.Mashup.OleDb.1;Data Source=$Workbook$;Location=building;Extended Properties=&quot;&quot;" command="SELECT * FROM [building]"/>
  </connection>
  <connection id="3" xr16:uid="{1F07CDF0-B1B2-4452-8BDF-B0BBAC91153F}" keepAlive="1" name="Запит – doorsToEnvironment" description="Підключення до запита &quot;doorsToEnvironment&quot; у книзі." type="5" refreshedVersion="8" background="1" saveData="1">
    <dbPr connection="Provider=Microsoft.Mashup.OleDb.1;Data Source=$Workbook$;Location=doorsToEnvironment;Extended Properties=&quot;&quot;" command="SELECT * FROM [doorsToEnvironment]"/>
  </connection>
  <connection id="4" xr16:uid="{7A3D4B49-C74F-43A1-BDA8-D931A537968A}" keepAlive="1" name="Запит – doorsToUnconditionedVolume" description="Підключення до запита &quot;doorsToUnconditionedVolume&quot; у книзі." type="5" refreshedVersion="8" background="1" saveData="1">
    <dbPr connection="Provider=Microsoft.Mashup.OleDb.1;Data Source=$Workbook$;Location=doorsToUnconditionedVolume;Extended Properties=&quot;&quot;" command="SELECT * FROM [doorsToUnconditionedVolume]"/>
  </connection>
  <connection id="5" xr16:uid="{3B3EA9DB-61F9-4709-A091-9E33E6BE0930}" keepAlive="1" name="Запит – facades" description="Підключення до запита &quot;facades&quot; у книзі." type="5" refreshedVersion="0" background="1" saveData="1">
    <dbPr connection="Provider=Microsoft.Mashup.OleDb.1;Data Source=$Workbook$;Location=facades;Extended Properties=&quot;&quot;" command="SELECT * FROM [facades]"/>
  </connection>
  <connection id="6" xr16:uid="{3202FD38-00B6-4536-9CD2-D49CFB25CEE4}" keepAlive="1" name="Запит – import" description="Підключення до запита &quot;import&quot; у книзі." type="5" refreshedVersion="8" background="1" saveData="1">
    <dbPr connection="Provider=Microsoft.Mashup.OleDb.1;Data Source=$Workbook$;Location=import;Extended Properties=&quot;&quot;" command="SELECT * FROM [import]"/>
  </connection>
  <connection id="7" xr16:uid="{52082752-E8A8-47AD-8CFF-66594C27A3A0}" keepAlive="1" name="Запит – listOfDoors" description="Підключення до запита &quot;listOfDoors&quot; у книзі." type="5" refreshedVersion="0" background="1" saveData="1">
    <dbPr connection="Provider=Microsoft.Mashup.OleDb.1;Data Source=$Workbook$;Location=listOfDoors;Extended Properties=&quot;&quot;" command="SELECT * FROM [listOfDoors]"/>
  </connection>
  <connection id="8" xr16:uid="{BDA8DE4D-3964-4150-938F-2805AFB616E1}" keepAlive="1" name="Запит – listOfWindows" description="Підключення до запита &quot;listOfWindows&quot; у книзі." type="5" refreshedVersion="0" background="1" saveData="1">
    <dbPr connection="Provider=Microsoft.Mashup.OleDb.1;Data Source=$Workbook$;Location=listOfWindows;Extended Properties=&quot;&quot;" command="SELECT * FROM [listOfWindows]"/>
  </connection>
  <connection id="9" xr16:uid="{48516006-5BC5-440E-9C34-F427054E5153}" keepAlive="1" name="Запит – walls" description="Підключення до запита &quot;walls&quot; у книзі." type="5" refreshedVersion="0" background="1" saveData="1">
    <dbPr connection="Provider=Microsoft.Mashup.OleDb.1;Data Source=$Workbook$;Location=walls;Extended Properties=&quot;&quot;" command="SELECT * FROM [walls]"/>
  </connection>
  <connection id="10" xr16:uid="{C2A3CF57-24D1-4BD6-B773-C7622D25B6AA}" keepAlive="1" name="Запит – wallsToEnvironment" description="Підключення до запита &quot;wallsToEnvironment&quot; у книзі." type="5" refreshedVersion="8" background="1" saveData="1">
    <dbPr connection="Provider=Microsoft.Mashup.OleDb.1;Data Source=$Workbook$;Location=wallsToEnvironment;Extended Properties=&quot;&quot;" command="SELECT * FROM [wallsToEnvironment]"/>
  </connection>
  <connection id="11" xr16:uid="{C80DA9C1-E860-4D0C-8BA9-6C3A6008BADA}" keepAlive="1" name="Запит – wallsToUnconditionedVolume" description="Підключення до запита &quot;wallsToUnconditionedVolume&quot; у книзі." type="5" refreshedVersion="8" background="1" saveData="1">
    <dbPr connection="Provider=Microsoft.Mashup.OleDb.1;Data Source=$Workbook$;Location=wallsToUnconditionedVolume;Extended Properties=&quot;&quot;" command="SELECT * FROM [wallsToUnconditionedVolume]"/>
  </connection>
  <connection id="12" xr16:uid="{045DA6DB-693C-4755-9E4C-C0F20D657E45}" keepAlive="1" name="Запит – windowsAndDoors" description="Підключення до запита &quot;windowsAndDoors&quot; у книзі." type="5" refreshedVersion="0" background="1">
    <dbPr connection="Provider=Microsoft.Mashup.OleDb.1;Data Source=$Workbook$;Location=windowsAndDoors;Extended Properties=&quot;&quot;" command="SELECT * FROM [windowsAndDoors]"/>
  </connection>
  <connection id="13" xr16:uid="{2329C84C-B7C5-47B3-9B72-8D6A05A2C9EF}" keepAlive="1" name="Запит – windowsToEnviroment" description="Підключення до запита &quot;windowsToEnviroment&quot; у книзі." type="5" refreshedVersion="8" background="1" saveData="1">
    <dbPr connection="Provider=Microsoft.Mashup.OleDb.1;Data Source=$Workbook$;Location=windowsToEnviroment;Extended Properties=&quot;&quot;" command="SELECT * FROM [windowsToEnviroment]"/>
  </connection>
  <connection id="14" xr16:uid="{B1001979-B9D9-4C18-86A4-1277AC6A3F85}" keepAlive="1" name="Запит – windowsToUnconditionedVolume" description="Підключення до запита &quot;windowsToUnconditionedVolume&quot; у книзі." type="5" refreshedVersion="8" background="1" saveData="1">
    <dbPr connection="Provider=Microsoft.Mashup.OleDb.1;Data Source=$Workbook$;Location=windowsToUnconditionedVolume;Extended Properties=&quot;&quot;" command="SELECT * FROM [windowsToUnconditionedVolum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<sst xmlns="http://schemas.openxmlformats.org/spreadsheetml/2006/main" count="1172" uniqueCount="671">
  <si>
    <t>Поверх</t>
  </si>
  <si>
    <t>Площа</t>
  </si>
  <si>
    <t>Загальна площа</t>
  </si>
  <si>
    <t>Загальний об'єм</t>
  </si>
  <si>
    <t>Кількість</t>
  </si>
  <si>
    <t>Висота</t>
  </si>
  <si>
    <t>Тип</t>
  </si>
  <si>
    <t>Ширина</t>
  </si>
  <si>
    <t>ББО-1а</t>
  </si>
  <si>
    <t>ББО-1а*</t>
  </si>
  <si>
    <t>ДБ-1</t>
  </si>
  <si>
    <t>ДБ-2</t>
  </si>
  <si>
    <t>ОК-1</t>
  </si>
  <si>
    <t>ОК-2</t>
  </si>
  <si>
    <t>ОК-3</t>
  </si>
  <si>
    <t>ОК-4</t>
  </si>
  <si>
    <t>ОК-5</t>
  </si>
  <si>
    <t>ОК-5*</t>
  </si>
  <si>
    <t>ОК-6</t>
  </si>
  <si>
    <t>ОК-8</t>
  </si>
  <si>
    <t>ДП-3</t>
  </si>
  <si>
    <t>Відомість віконних блоків</t>
  </si>
  <si>
    <t>Відомість дверних блоків</t>
  </si>
  <si>
    <t>Кондиціонована площа і об'єм</t>
  </si>
  <si>
    <t>пн</t>
  </si>
  <si>
    <t>сх</t>
  </si>
  <si>
    <t>пд</t>
  </si>
  <si>
    <t>зх</t>
  </si>
  <si>
    <t>Стіни до середовища</t>
  </si>
  <si>
    <t>Підсумок</t>
  </si>
  <si>
    <t>Стіни до некондиціонованого об'єму</t>
  </si>
  <si>
    <t>ббо-1а</t>
  </si>
  <si>
    <t>ббо-1а*</t>
  </si>
  <si>
    <t>дб-1</t>
  </si>
  <si>
    <t>ок-3</t>
  </si>
  <si>
    <t>ок-4</t>
  </si>
  <si>
    <t>ок-5</t>
  </si>
  <si>
    <t>ок-5*</t>
  </si>
  <si>
    <t>ок-6</t>
  </si>
  <si>
    <t>Вікна до середовища</t>
  </si>
  <si>
    <t>1-510-0 балкон</t>
  </si>
  <si>
    <t>дб-1 балкон</t>
  </si>
  <si>
    <t>ок-1 балкон</t>
  </si>
  <si>
    <t>Вікна до некондиціонованого об'єму</t>
  </si>
  <si>
    <t>Двері до середовища</t>
  </si>
  <si>
    <t>Двері до некондиціонованого об'єму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</si>
  <si>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H,ht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</si>
  <si>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</si>
  <si>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</si>
  <si>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H,gn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</si>
  <si>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</si>
  <si>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</si>
  <si>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H,nd,1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</si>
  <si>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H,nd,2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</si>
  <si>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H,nd,3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</si>
  <si>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H,nd,4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</si>
  <si>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H,nd,5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</si>
  <si>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H,nd,6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</si>
  <si>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H,nd,7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</si>
  <si>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H,nd,8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</si>
  <si>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H,nd,9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</si>
  <si>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H,nd,10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</si>
  <si>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H,nd,11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</si>
  <si>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H,nd,12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</si>
  <si>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</t>
    </r>
  </si>
  <si>
    <r>
      <t>ϴ</t>
    </r>
    <r>
      <rPr>
        <vertAlign val="subscript"/>
        <sz val="11"/>
        <color theme="1"/>
        <rFont val="Calibri"/>
        <family val="2"/>
        <charset val="204"/>
      </rPr>
      <t>int,set,H</t>
    </r>
  </si>
  <si>
    <r>
      <t>ϴ</t>
    </r>
    <r>
      <rPr>
        <vertAlign val="subscript"/>
        <sz val="11"/>
        <color theme="1"/>
        <rFont val="Calibri"/>
        <family val="2"/>
        <charset val="204"/>
        <scheme val="minor"/>
      </rPr>
      <t>C</t>
    </r>
  </si>
  <si>
    <t>t</t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</si>
  <si>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tr,adj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</si>
  <si>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D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</si>
  <si>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</si>
  <si>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u</t>
    </r>
  </si>
  <si>
    <t>Теплопередача безпосередньо до середовища</t>
  </si>
  <si>
    <t>Теплопередача до грунту</t>
  </si>
  <si>
    <t>Тип некондиціонованого об'єму</t>
  </si>
  <si>
    <t>bu, H</t>
  </si>
  <si>
    <t>bu, C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</si>
  <si>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tr,1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</si>
  <si>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*U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</si>
  <si>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rPr>
        <b/>
        <sz val="11"/>
        <color theme="1"/>
        <rFont val="Calibri"/>
        <family val="2"/>
        <charset val="204"/>
        <scheme val="minor"/>
      </rPr>
      <t>Элемент</t>
    </r>
    <r>
      <rPr>
        <sz val="11"/>
        <color theme="1"/>
        <rFont val="Calibri"/>
        <family val="2"/>
        <scheme val="minor"/>
      </rPr>
      <t>/Шар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</si>
  <si>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</si>
  <si>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U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</si>
  <si>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  <scheme val="minor"/>
      </rPr>
      <t>пpi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</si>
  <si>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U</t>
    </r>
  </si>
  <si>
    <t>Технічне підпілля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</si>
  <si>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tr,2</t>
    </r>
    <r>
      <rPr>
        <sz val="11"/>
        <color theme="1"/>
        <rFont val="Calibri"/>
        <family val="2"/>
        <charset val="204"/>
        <scheme val="minor"/>
      </rPr>
      <t/>
    </r>
  </si>
  <si>
    <t>Технічне (тепле) горище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</si>
  <si>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tr,3</t>
    </r>
    <r>
      <rPr>
        <sz val="11"/>
        <color theme="1"/>
        <rFont val="Calibri"/>
        <family val="2"/>
        <charset val="204"/>
        <scheme val="minor"/>
      </rPr>
      <t/>
    </r>
  </si>
  <si>
    <t>Холодне горище багатоповерхових будівель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</si>
  <si>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tr,4</t>
    </r>
    <r>
      <rPr>
        <sz val="11"/>
        <color theme="1"/>
        <rFont val="Calibri"/>
        <family val="2"/>
        <charset val="204"/>
        <scheme val="minor"/>
      </rPr>
      <t/>
    </r>
  </si>
  <si>
    <t>Холодне горище односімейних будівель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</si>
  <si>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tr,5</t>
    </r>
    <r>
      <rPr>
        <sz val="11"/>
        <color theme="1"/>
        <rFont val="Calibri"/>
        <family val="2"/>
        <charset val="204"/>
        <scheme val="minor"/>
      </rPr>
      <t/>
    </r>
  </si>
  <si>
    <t>Неопалювана сходова клітка всередині будівлі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</si>
  <si>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tr,6</t>
    </r>
    <r>
      <rPr>
        <sz val="11"/>
        <color theme="1"/>
        <rFont val="Calibri"/>
        <family val="2"/>
        <charset val="204"/>
        <scheme val="minor"/>
      </rPr>
      <t/>
    </r>
  </si>
  <si>
    <t>Неопалюване приміщення з трьома зовнішніми стінами (наприклад, зовнішні сходи)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</si>
  <si>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tr,7</t>
    </r>
    <r>
      <rPr>
        <sz val="11"/>
        <color theme="1"/>
        <rFont val="Calibri"/>
        <family val="2"/>
        <charset val="204"/>
        <scheme val="minor"/>
      </rPr>
      <t/>
    </r>
  </si>
  <si>
    <t>Неопалюване приміщення з двома зовнішніми стінами та дверима (наприклад, тамбур, хол, гараж)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</si>
  <si>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tr,8</t>
    </r>
    <r>
      <rPr>
        <sz val="11"/>
        <color theme="1"/>
        <rFont val="Calibri"/>
        <family val="2"/>
        <charset val="204"/>
        <scheme val="minor"/>
      </rPr>
      <t/>
    </r>
  </si>
  <si>
    <t>Неопалюване приміщення з двома зовнішніми стінами без дверей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</si>
  <si>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tr,9</t>
    </r>
    <r>
      <rPr>
        <sz val="11"/>
        <color theme="1"/>
        <rFont val="Calibri"/>
        <family val="2"/>
        <charset val="204"/>
        <scheme val="minor"/>
      </rPr>
      <t/>
    </r>
  </si>
  <si>
    <t>Неопалюване приміщення з однією зовнішньою стіною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</si>
  <si>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tr,10</t>
    </r>
    <r>
      <rPr>
        <sz val="11"/>
        <color theme="1"/>
        <rFont val="Calibri"/>
        <family val="2"/>
        <charset val="204"/>
        <scheme val="minor"/>
      </rPr>
      <t/>
    </r>
  </si>
  <si>
    <t>Засклений балкон/лоджія існуючих будівель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</si>
  <si>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tr,11</t>
    </r>
    <r>
      <rPr>
        <sz val="11"/>
        <color theme="1"/>
        <rFont val="Calibri"/>
        <family val="2"/>
        <charset val="204"/>
        <scheme val="minor"/>
      </rPr>
      <t/>
    </r>
  </si>
  <si>
    <t>Засклений балкон/лоджія для нового проектування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</si>
  <si>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tr,12</t>
    </r>
    <r>
      <rPr>
        <sz val="11"/>
        <color theme="1"/>
        <rFont val="Calibri"/>
        <family val="2"/>
        <charset val="204"/>
        <scheme val="minor"/>
      </rPr>
      <t/>
    </r>
  </si>
  <si>
    <t>Так</t>
  </si>
  <si>
    <t>Ні</t>
  </si>
  <si>
    <r>
      <rPr>
        <sz val="11"/>
        <color theme="1"/>
        <rFont val="Calibri"/>
        <family val="2"/>
        <charset val="204"/>
      </rPr>
      <t>δ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, м</t>
    </r>
  </si>
  <si>
    <r>
      <t>λ</t>
    </r>
    <r>
      <rPr>
        <vertAlign val="subscript"/>
        <sz val="11"/>
        <color theme="1"/>
        <rFont val="Calibri"/>
        <family val="2"/>
        <charset val="204"/>
      </rPr>
      <t>i</t>
    </r>
    <r>
      <rPr>
        <sz val="11"/>
        <color theme="1"/>
        <rFont val="Calibri"/>
        <family val="2"/>
        <charset val="204"/>
      </rPr>
      <t>, Вт/м∙K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</si>
  <si>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в</t>
    </r>
  </si>
  <si>
    <t>Шар 1</t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</si>
  <si>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н</t>
    </r>
  </si>
  <si>
    <t>Шар 2</t>
  </si>
  <si>
    <r>
      <t>U</t>
    </r>
    <r>
      <rPr>
        <vertAlign val="subscript"/>
        <sz val="11"/>
        <color theme="1"/>
        <rFont val="Calibri"/>
        <family val="2"/>
        <charset val="204"/>
        <scheme val="minor"/>
      </rPr>
      <t>op,mn</t>
    </r>
  </si>
  <si>
    <t>Шар 3</t>
  </si>
  <si>
    <r>
      <t>ΔU</t>
    </r>
    <r>
      <rPr>
        <vertAlign val="subscript"/>
        <sz val="11"/>
        <color theme="1"/>
        <rFont val="Calibri"/>
        <family val="2"/>
        <charset val="204"/>
        <scheme val="minor"/>
      </rPr>
      <t>tb</t>
    </r>
  </si>
  <si>
    <t>Шар 4</t>
  </si>
  <si>
    <t>Врахувати</t>
  </si>
  <si>
    <t>Шар 5</t>
  </si>
  <si>
    <r>
      <t>R</t>
    </r>
    <r>
      <rPr>
        <vertAlign val="subscript"/>
        <sz val="11"/>
        <color theme="1"/>
        <rFont val="Calibri"/>
        <family val="2"/>
        <charset val="204"/>
      </rPr>
      <t>Σпр</t>
    </r>
  </si>
  <si>
    <t>Шар 6</t>
  </si>
  <si>
    <t>V</t>
  </si>
  <si>
    <t>Деталізація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</si>
  <si>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ve,1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</si>
  <si>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ve,2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</si>
  <si>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ve,3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</si>
  <si>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ve,4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</si>
  <si>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ve,5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</si>
  <si>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ve,6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</si>
  <si>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ve,7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</si>
  <si>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ve,8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</si>
  <si>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ve,9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</si>
  <si>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ve,10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</si>
  <si>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ve,11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</si>
  <si>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ve,12</t>
    </r>
    <r>
      <rPr>
        <sz val="11"/>
        <color theme="1"/>
        <rFont val="Calibri"/>
        <family val="2"/>
        <charset val="204"/>
        <scheme val="minor"/>
      </rPr>
      <t/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</si>
  <si>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f</t>
    </r>
  </si>
  <si>
    <t>Призначення будівлі</t>
  </si>
  <si>
    <t>Графік використання, год/тиждень</t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</si>
  <si>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,int,Oc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</si>
  <si>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,int,L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</si>
  <si>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,int,A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</si>
  <si>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int,1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</si>
  <si>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int,2</t>
    </r>
    <r>
      <rPr>
        <sz val="11"/>
        <color theme="1"/>
        <rFont val="Calibri"/>
        <family val="2"/>
        <charset val="204"/>
        <scheme val="minor"/>
      </rPr>
      <t/>
    </r>
  </si>
  <si>
    <t>Одноквартирні будинки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</si>
  <si>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int,3</t>
    </r>
    <r>
      <rPr>
        <sz val="11"/>
        <color theme="1"/>
        <rFont val="Calibri"/>
        <family val="2"/>
        <charset val="204"/>
        <scheme val="minor"/>
      </rPr>
      <t/>
    </r>
  </si>
  <si>
    <t>Багатоквартирні будинки, гуртожитки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</si>
  <si>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int,4</t>
    </r>
    <r>
      <rPr>
        <sz val="11"/>
        <color theme="1"/>
        <rFont val="Calibri"/>
        <family val="2"/>
        <charset val="204"/>
        <scheme val="minor"/>
      </rPr>
      <t/>
    </r>
  </si>
  <si>
    <t xml:space="preserve">Громадські будівлі адміністративного
призначення, офіси 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</si>
  <si>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int,5</t>
    </r>
    <r>
      <rPr>
        <sz val="11"/>
        <color theme="1"/>
        <rFont val="Calibri"/>
        <family val="2"/>
        <charset val="204"/>
        <scheme val="minor"/>
      </rPr>
      <t/>
    </r>
  </si>
  <si>
    <t>Будівлі навчальних закладів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</si>
  <si>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int,6</t>
    </r>
    <r>
      <rPr>
        <sz val="11"/>
        <color theme="1"/>
        <rFont val="Calibri"/>
        <family val="2"/>
        <charset val="204"/>
        <scheme val="minor"/>
      </rPr>
      <t/>
    </r>
  </si>
  <si>
    <t>Будівлі дитячих дошкільних закладів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</si>
  <si>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int,7</t>
    </r>
    <r>
      <rPr>
        <sz val="11"/>
        <color theme="1"/>
        <rFont val="Calibri"/>
        <family val="2"/>
        <charset val="204"/>
        <scheme val="minor"/>
      </rPr>
      <t/>
    </r>
  </si>
  <si>
    <t>Будівлі закладів охорони здоров'я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</si>
  <si>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int,8</t>
    </r>
    <r>
      <rPr>
        <sz val="11"/>
        <color theme="1"/>
        <rFont val="Calibri"/>
        <family val="2"/>
        <charset val="204"/>
        <scheme val="minor"/>
      </rPr>
      <t/>
    </r>
  </si>
  <si>
    <t>Готелі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</si>
  <si>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int,9</t>
    </r>
    <r>
      <rPr>
        <sz val="11"/>
        <color theme="1"/>
        <rFont val="Calibri"/>
        <family val="2"/>
        <charset val="204"/>
        <scheme val="minor"/>
      </rPr>
      <t/>
    </r>
  </si>
  <si>
    <t>Ресторани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</si>
  <si>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int,10</t>
    </r>
    <r>
      <rPr>
        <sz val="11"/>
        <color theme="1"/>
        <rFont val="Calibri"/>
        <family val="2"/>
        <charset val="204"/>
        <scheme val="minor"/>
      </rPr>
      <t/>
    </r>
  </si>
  <si>
    <t>Спортивні заклади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</si>
  <si>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int,11</t>
    </r>
    <r>
      <rPr>
        <sz val="11"/>
        <color theme="1"/>
        <rFont val="Calibri"/>
        <family val="2"/>
        <charset val="204"/>
        <scheme val="minor"/>
      </rPr>
      <t/>
    </r>
  </si>
  <si>
    <t xml:space="preserve">Будівлі закладів оптової та роздрібної 
торгівлі 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</si>
  <si>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int,12</t>
    </r>
    <r>
      <rPr>
        <sz val="11"/>
        <color theme="1"/>
        <rFont val="Calibri"/>
        <family val="2"/>
        <charset val="204"/>
        <scheme val="minor"/>
      </rPr>
      <t/>
    </r>
  </si>
  <si>
    <t xml:space="preserve">Будівлі культурно-розважальних
закладів та дозвільних установ </t>
  </si>
  <si>
    <t xml:space="preserve">Інші види будівель </t>
  </si>
  <si>
    <t>Скління</t>
  </si>
  <si>
    <t>Стіни та Дах</t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</si>
  <si>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sol,Пн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</si>
  <si>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sol,ПнСх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</si>
  <si>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sol,Сх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</si>
  <si>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sol,ПдСх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</si>
  <si>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sol,Пд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</si>
  <si>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sol,ПдЗ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</si>
  <si>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sol,З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</si>
  <si>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sol,ПнЗ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</si>
  <si>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sol,Верт</t>
    </r>
  </si>
  <si>
    <r>
      <t>ΣФ</t>
    </r>
    <r>
      <rPr>
        <vertAlign val="subscript"/>
        <sz val="11"/>
        <color theme="1"/>
        <rFont val="Calibri"/>
        <family val="2"/>
        <charset val="204"/>
      </rPr>
      <t>sol,mn,к</t>
    </r>
  </si>
  <si>
    <r>
      <t>Ф</t>
    </r>
    <r>
      <rPr>
        <vertAlign val="subscript"/>
        <sz val="11"/>
        <rFont val="Calibri"/>
        <family val="2"/>
        <scheme val="minor"/>
      </rPr>
      <t>Пн</t>
    </r>
  </si>
  <si>
    <r>
      <t>Ф</t>
    </r>
    <r>
      <rPr>
        <vertAlign val="subscript"/>
        <sz val="11"/>
        <rFont val="Calibri"/>
        <family val="2"/>
        <scheme val="minor"/>
      </rPr>
      <t>ПнСх</t>
    </r>
  </si>
  <si>
    <r>
      <t>Ф</t>
    </r>
    <r>
      <rPr>
        <vertAlign val="subscript"/>
        <sz val="11"/>
        <rFont val="Calibri"/>
        <family val="2"/>
        <scheme val="minor"/>
      </rPr>
      <t>Сх</t>
    </r>
  </si>
  <si>
    <r>
      <t>Ф</t>
    </r>
    <r>
      <rPr>
        <vertAlign val="subscript"/>
        <sz val="11"/>
        <rFont val="Calibri"/>
        <family val="2"/>
        <scheme val="minor"/>
      </rPr>
      <t>ПдСх</t>
    </r>
  </si>
  <si>
    <r>
      <t>Ф</t>
    </r>
    <r>
      <rPr>
        <vertAlign val="subscript"/>
        <sz val="11"/>
        <rFont val="Calibri"/>
        <family val="2"/>
        <scheme val="minor"/>
      </rPr>
      <t>Пд</t>
    </r>
  </si>
  <si>
    <r>
      <t>Ф</t>
    </r>
    <r>
      <rPr>
        <vertAlign val="subscript"/>
        <sz val="11"/>
        <rFont val="Calibri"/>
        <family val="2"/>
        <scheme val="minor"/>
      </rPr>
      <t>ПдЗ</t>
    </r>
  </si>
  <si>
    <r>
      <t>Ф</t>
    </r>
    <r>
      <rPr>
        <vertAlign val="subscript"/>
        <sz val="11"/>
        <rFont val="Calibri"/>
        <family val="2"/>
        <scheme val="minor"/>
      </rPr>
      <t>З</t>
    </r>
  </si>
  <si>
    <r>
      <t>Ф</t>
    </r>
    <r>
      <rPr>
        <vertAlign val="subscript"/>
        <sz val="11"/>
        <rFont val="Calibri"/>
        <family val="2"/>
        <scheme val="minor"/>
      </rPr>
      <t>ПнЗ</t>
    </r>
  </si>
  <si>
    <r>
      <t>А</t>
    </r>
    <r>
      <rPr>
        <vertAlign val="subscript"/>
        <sz val="11"/>
        <rFont val="Calibri"/>
        <family val="2"/>
        <scheme val="minor"/>
      </rPr>
      <t>sol,Пн</t>
    </r>
  </si>
  <si>
    <r>
      <t>A</t>
    </r>
    <r>
      <rPr>
        <vertAlign val="subscript"/>
        <sz val="11"/>
        <rFont val="Calibri"/>
        <family val="2"/>
        <scheme val="minor"/>
      </rPr>
      <t>w,p,Пн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</si>
  <si>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Пн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</si>
  <si>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ПнСх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</si>
  <si>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Сх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</si>
  <si>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ПдСх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</si>
  <si>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Пд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</si>
  <si>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ПдЗ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</si>
  <si>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З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</si>
  <si>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ПнЗ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</si>
  <si>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горизонт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</si>
  <si>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sol,Пн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</si>
  <si>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w,p,Пн</t>
    </r>
  </si>
  <si>
    <r>
      <t>U</t>
    </r>
    <r>
      <rPr>
        <vertAlign val="subscript"/>
        <sz val="11"/>
        <color theme="1"/>
        <rFont val="Calibri"/>
        <family val="2"/>
        <charset val="204"/>
        <scheme val="minor"/>
      </rPr>
      <t>c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</si>
  <si>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r,Пн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</si>
  <si>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sol,1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</si>
  <si>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sol,2</t>
    </r>
    <r>
      <rPr>
        <sz val="11"/>
        <color theme="1"/>
        <rFont val="Calibri"/>
        <family val="2"/>
        <charset val="204"/>
        <scheme val="minor"/>
      </rPr>
      <t/>
    </r>
  </si>
  <si>
    <r>
      <t>А</t>
    </r>
    <r>
      <rPr>
        <vertAlign val="subscript"/>
        <sz val="11"/>
        <rFont val="Calibri"/>
        <family val="2"/>
        <scheme val="minor"/>
      </rPr>
      <t>sol,ПнСх</t>
    </r>
  </si>
  <si>
    <r>
      <t>A</t>
    </r>
    <r>
      <rPr>
        <vertAlign val="subscript"/>
        <sz val="11"/>
        <rFont val="Calibri"/>
        <family val="2"/>
        <scheme val="minor"/>
      </rPr>
      <t>w,p,ПнСх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</si>
  <si>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sol,ПнСх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</si>
  <si>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w,p,ПнСх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</si>
  <si>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r,ПнСх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</si>
  <si>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sol,3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</si>
  <si>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sol,4</t>
    </r>
    <r>
      <rPr>
        <sz val="11"/>
        <color theme="1"/>
        <rFont val="Calibri"/>
        <family val="2"/>
        <charset val="204"/>
        <scheme val="minor"/>
      </rPr>
      <t/>
    </r>
  </si>
  <si>
    <r>
      <t>А</t>
    </r>
    <r>
      <rPr>
        <vertAlign val="subscript"/>
        <sz val="11"/>
        <rFont val="Calibri"/>
        <family val="2"/>
        <scheme val="minor"/>
      </rPr>
      <t>sol,Сх</t>
    </r>
  </si>
  <si>
    <r>
      <t>A</t>
    </r>
    <r>
      <rPr>
        <vertAlign val="subscript"/>
        <sz val="11"/>
        <rFont val="Calibri"/>
        <family val="2"/>
        <scheme val="minor"/>
      </rPr>
      <t>w,p,Сх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</si>
  <si>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sol,Сх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</si>
  <si>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w,p,Сх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</si>
  <si>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r,Сх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</si>
  <si>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sol,5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</si>
  <si>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sol,6</t>
    </r>
    <r>
      <rPr>
        <sz val="11"/>
        <color theme="1"/>
        <rFont val="Calibri"/>
        <family val="2"/>
        <charset val="204"/>
        <scheme val="minor"/>
      </rPr>
      <t/>
    </r>
  </si>
  <si>
    <r>
      <t>А</t>
    </r>
    <r>
      <rPr>
        <vertAlign val="subscript"/>
        <sz val="11"/>
        <rFont val="Calibri"/>
        <family val="2"/>
        <scheme val="minor"/>
      </rPr>
      <t>sol,ПдСх</t>
    </r>
  </si>
  <si>
    <r>
      <t>A</t>
    </r>
    <r>
      <rPr>
        <vertAlign val="subscript"/>
        <sz val="11"/>
        <rFont val="Calibri"/>
        <family val="2"/>
        <scheme val="minor"/>
      </rPr>
      <t>w,р,ПдСх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</si>
  <si>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sol,ПдСх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</si>
  <si>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w,р,ПдСх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</si>
  <si>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r,ПдСх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</si>
  <si>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sol,7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</si>
  <si>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sol,8</t>
    </r>
    <r>
      <rPr>
        <sz val="11"/>
        <color theme="1"/>
        <rFont val="Calibri"/>
        <family val="2"/>
        <charset val="204"/>
        <scheme val="minor"/>
      </rPr>
      <t/>
    </r>
  </si>
  <si>
    <r>
      <t>А</t>
    </r>
    <r>
      <rPr>
        <vertAlign val="subscript"/>
        <sz val="11"/>
        <rFont val="Calibri"/>
        <family val="2"/>
        <scheme val="minor"/>
      </rPr>
      <t>sol,Пд</t>
    </r>
  </si>
  <si>
    <r>
      <t>A</t>
    </r>
    <r>
      <rPr>
        <vertAlign val="subscript"/>
        <sz val="11"/>
        <rFont val="Calibri"/>
        <family val="2"/>
        <scheme val="minor"/>
      </rPr>
      <t>w,p,Пд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</si>
  <si>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sol,Пд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</si>
  <si>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w,p,Пд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</si>
  <si>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r,Пд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</si>
  <si>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sol,9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</si>
  <si>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sol,10</t>
    </r>
    <r>
      <rPr>
        <sz val="11"/>
        <color theme="1"/>
        <rFont val="Calibri"/>
        <family val="2"/>
        <charset val="204"/>
        <scheme val="minor"/>
      </rPr>
      <t/>
    </r>
  </si>
  <si>
    <r>
      <t>А</t>
    </r>
    <r>
      <rPr>
        <vertAlign val="subscript"/>
        <sz val="11"/>
        <rFont val="Calibri"/>
        <family val="2"/>
        <scheme val="minor"/>
      </rPr>
      <t>sol,ПдЗ</t>
    </r>
  </si>
  <si>
    <r>
      <t>A</t>
    </r>
    <r>
      <rPr>
        <vertAlign val="subscript"/>
        <sz val="11"/>
        <rFont val="Calibri"/>
        <family val="2"/>
        <scheme val="minor"/>
      </rPr>
      <t>w,p,ПдЗ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</si>
  <si>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sol,ПдЗ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</si>
  <si>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w,p,ПдЗ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</si>
  <si>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r,ПдЗ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</si>
  <si>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sol,11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</si>
  <si>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sol,12</t>
    </r>
    <r>
      <rPr>
        <sz val="11"/>
        <color theme="1"/>
        <rFont val="Calibri"/>
        <family val="2"/>
        <charset val="204"/>
        <scheme val="minor"/>
      </rPr>
      <t/>
    </r>
  </si>
  <si>
    <r>
      <t>А</t>
    </r>
    <r>
      <rPr>
        <vertAlign val="subscript"/>
        <sz val="11"/>
        <rFont val="Calibri"/>
        <family val="2"/>
        <scheme val="minor"/>
      </rPr>
      <t>sol,З</t>
    </r>
  </si>
  <si>
    <r>
      <t>A</t>
    </r>
    <r>
      <rPr>
        <vertAlign val="subscript"/>
        <sz val="11"/>
        <rFont val="Calibri"/>
        <family val="2"/>
        <scheme val="minor"/>
      </rPr>
      <t>w,p,З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</si>
  <si>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sol,З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</si>
  <si>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w,p,З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</si>
  <si>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r,З</t>
    </r>
  </si>
  <si>
    <t>Типові значення коефіцієнта загального пропускання сонячної енергії при нормальному куті падіння для поширених типів скління</t>
  </si>
  <si>
    <r>
      <t>g</t>
    </r>
    <r>
      <rPr>
        <vertAlign val="subscript"/>
        <sz val="11"/>
        <color theme="1"/>
        <rFont val="Calibri"/>
        <family val="2"/>
        <charset val="204"/>
        <scheme val="minor"/>
      </rPr>
      <t>n</t>
    </r>
  </si>
  <si>
    <r>
      <t>А</t>
    </r>
    <r>
      <rPr>
        <vertAlign val="subscript"/>
        <sz val="11"/>
        <rFont val="Calibri"/>
        <family val="2"/>
        <scheme val="minor"/>
      </rPr>
      <t>sol,ПнЗ</t>
    </r>
  </si>
  <si>
    <r>
      <t>A</t>
    </r>
    <r>
      <rPr>
        <vertAlign val="subscript"/>
        <sz val="11"/>
        <rFont val="Calibri"/>
        <family val="2"/>
        <scheme val="minor"/>
      </rPr>
      <t>w,p,ПнЗ</t>
    </r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</si>
  <si>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sol,ПнЗ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</si>
  <si>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w,p,ПнЗ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</si>
  <si>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r,ПнЗ</t>
    </r>
  </si>
  <si>
    <t>Одинарне скління</t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</si>
  <si>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>sol,горизонт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</si>
  <si>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w,p,горизонт</t>
    </r>
  </si>
  <si>
    <r>
      <t>Ф</t>
    </r>
    <r>
      <rPr>
        <vertAlign val="subscript"/>
        <sz val="11"/>
        <color theme="1"/>
        <rFont val="Calibri"/>
        <family val="2"/>
        <charset val="204"/>
        <scheme val="minor"/>
      </rPr>
      <t>r,горизонт</t>
    </r>
  </si>
  <si>
    <t>Подвійне скління</t>
  </si>
  <si>
    <t xml:space="preserve">Подвійне скління із селективним низькоемісійним покриттям </t>
  </si>
  <si>
    <t>Потрійне скління</t>
  </si>
  <si>
    <t>Потрійне скління з одним селективним низькоемісійним покриттям</t>
  </si>
  <si>
    <t xml:space="preserve">Потрійне скління з двома селективними низькоемісійними покриттями </t>
  </si>
  <si>
    <t>Подвійне скління з органічного скла для зенітних ліхтарів</t>
  </si>
  <si>
    <t xml:space="preserve">Потрійне скління з органічного скла для зенітних ліхтарів </t>
  </si>
  <si>
    <t>Коефіцієнт поглинання сонячної радіації та теплового випромінювання матеріалом
зовнішньої поверхні огороджувальної конструкції</t>
  </si>
  <si>
    <r>
      <t>α</t>
    </r>
    <r>
      <rPr>
        <vertAlign val="subscript"/>
        <sz val="11"/>
        <color theme="1"/>
        <rFont val="Calibri"/>
        <family val="2"/>
        <charset val="204"/>
        <scheme val="minor"/>
      </rPr>
      <t>S,c</t>
    </r>
  </si>
  <si>
    <t>ε</t>
  </si>
  <si>
    <t>Алюміній</t>
  </si>
  <si>
    <t xml:space="preserve">Азбестоцементний лист </t>
  </si>
  <si>
    <t xml:space="preserve">Асфальтобетон </t>
  </si>
  <si>
    <t>Бетон</t>
  </si>
  <si>
    <t xml:space="preserve">Дерево нефарбоване </t>
  </si>
  <si>
    <t xml:space="preserve">Захисний шар рулонної покрівлі зі світлого гравію </t>
  </si>
  <si>
    <t xml:space="preserve">Цегла керамічна </t>
  </si>
  <si>
    <t>Цегла силікатна</t>
  </si>
  <si>
    <t xml:space="preserve">Облицювання природним каменем білим </t>
  </si>
  <si>
    <t xml:space="preserve">Пофарбування силікатне темно-сіре </t>
  </si>
  <si>
    <t xml:space="preserve">Пофарбування вапняне біле </t>
  </si>
  <si>
    <t xml:space="preserve">Плитка облицювальна керамічна </t>
  </si>
  <si>
    <t>Плитка облицювальна скляна</t>
  </si>
  <si>
    <t>Плитка облицювальна біла або палева</t>
  </si>
  <si>
    <t xml:space="preserve">Руберойд з піщаною засипкою </t>
  </si>
  <si>
    <t xml:space="preserve">Сніговий покрив </t>
  </si>
  <si>
    <t xml:space="preserve">Сталь листова, пофарбована білою фарбою </t>
  </si>
  <si>
    <t xml:space="preserve">Сталь листова, пофарбована темно-червоною фарбою </t>
  </si>
  <si>
    <t>Сталь листова, пофарбована зеленою фарбою</t>
  </si>
  <si>
    <t>Сталь покрівельна оцинкована</t>
  </si>
  <si>
    <t>Скло облицювальне</t>
  </si>
  <si>
    <t xml:space="preserve">Штукатурка вапняна темно-сіра або теракотова </t>
  </si>
  <si>
    <t xml:space="preserve">Штукатурка цементна світло-блакитна </t>
  </si>
  <si>
    <t xml:space="preserve">Штукатурка цементна темно-зелена </t>
  </si>
  <si>
    <t>Штукатурка цементна кремова</t>
  </si>
  <si>
    <t>Для стін:</t>
  </si>
  <si>
    <t>Для даху:</t>
  </si>
  <si>
    <r>
      <t>γ</t>
    </r>
    <r>
      <rPr>
        <vertAlign val="subscript"/>
        <sz val="11"/>
        <color theme="1"/>
        <rFont val="Calibri"/>
        <family val="2"/>
        <charset val="204"/>
      </rPr>
      <t>н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</si>
  <si>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H</t>
    </r>
  </si>
  <si>
    <t>т</t>
  </si>
  <si>
    <t>Аf</t>
  </si>
  <si>
    <t>Клас</t>
  </si>
  <si>
    <t>С</t>
  </si>
  <si>
    <r>
      <t>η</t>
    </r>
    <r>
      <rPr>
        <vertAlign val="subscript"/>
        <sz val="11"/>
        <color theme="1"/>
        <rFont val="Calibri"/>
        <family val="2"/>
        <charset val="204"/>
      </rPr>
      <t>H,gn,1</t>
    </r>
  </si>
  <si>
    <t>Дуже легкий</t>
  </si>
  <si>
    <t>Каркасні будівлі зі стінами полегшеної конструкції - збірно-щитові, каркасно-засипні, каркасно-камишитові, дерев'яні тощо</t>
  </si>
  <si>
    <r>
      <t>η</t>
    </r>
    <r>
      <rPr>
        <vertAlign val="subscript"/>
        <sz val="11"/>
        <color theme="1"/>
        <rFont val="Calibri"/>
        <family val="2"/>
        <charset val="204"/>
      </rPr>
      <t>H,gn,2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</si>
  <si>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H,gn,3</t>
    </r>
    <r>
      <rPr>
        <sz val="11"/>
        <color theme="1"/>
        <rFont val="Calibri"/>
        <family val="2"/>
        <charset val="204"/>
        <scheme val="minor"/>
      </rPr>
      <t/>
    </r>
  </si>
  <si>
    <t>Легкий</t>
  </si>
  <si>
    <t>Будівлі зі стінами із монолітного шлакобетону, шлакоблоків, блоків з ніздрюватого бетону, черепашнику та інших дрібноштучних виробів із залізобетонними чи дерев'яними перекриттями</t>
  </si>
  <si>
    <r>
      <t>η</t>
    </r>
    <r>
      <rPr>
        <vertAlign val="subscript"/>
        <sz val="11"/>
        <color theme="1"/>
        <rFont val="Calibri"/>
        <family val="2"/>
        <charset val="204"/>
      </rPr>
      <t>H,gn,4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</si>
  <si>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H,gn,5</t>
    </r>
    <r>
      <rPr>
        <sz val="11"/>
        <color theme="1"/>
        <rFont val="Calibri"/>
        <family val="2"/>
        <charset val="204"/>
        <scheme val="minor"/>
      </rPr>
      <t/>
    </r>
  </si>
  <si>
    <t>Середній</t>
  </si>
  <si>
    <t>Будівлі великопанельні, великоблочні, з цегляними стінами товщиною в одну цеглину, із залізобетонними чи деревними перекриттями</t>
  </si>
  <si>
    <r>
      <t>η</t>
    </r>
    <r>
      <rPr>
        <vertAlign val="subscript"/>
        <sz val="11"/>
        <color theme="1"/>
        <rFont val="Calibri"/>
        <family val="2"/>
        <charset val="204"/>
      </rPr>
      <t>H,gn,6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</si>
  <si>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H,gn,7</t>
    </r>
    <r>
      <rPr>
        <sz val="11"/>
        <color theme="1"/>
        <rFont val="Calibri"/>
        <family val="2"/>
        <charset val="204"/>
        <scheme val="minor"/>
      </rPr>
      <t/>
    </r>
  </si>
  <si>
    <t>Важкий</t>
  </si>
  <si>
    <t>Капітальні будівлі з цегляними стінами товщиною (1,5-2 цеглини), із залізобетонними перекриттями</t>
  </si>
  <si>
    <r>
      <t>η</t>
    </r>
    <r>
      <rPr>
        <vertAlign val="subscript"/>
        <sz val="11"/>
        <color theme="1"/>
        <rFont val="Calibri"/>
        <family val="2"/>
        <charset val="204"/>
      </rPr>
      <t>H,gn,8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</si>
  <si>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H,gn,9</t>
    </r>
    <r>
      <rPr>
        <sz val="11"/>
        <color theme="1"/>
        <rFont val="Calibri"/>
        <family val="2"/>
        <charset val="204"/>
        <scheme val="minor"/>
      </rPr>
      <t/>
    </r>
  </si>
  <si>
    <t>Дуже важкий</t>
  </si>
  <si>
    <t>Особливо капітальні будівлі з кам'яними або цегляними стінами (товщиною в 2,5 - 3,5 цеглини), із залізобетонним чи металевим каркасом, із залізобетонним перекриттям</t>
  </si>
  <si>
    <r>
      <t>η</t>
    </r>
    <r>
      <rPr>
        <vertAlign val="subscript"/>
        <sz val="11"/>
        <color theme="1"/>
        <rFont val="Calibri"/>
        <family val="2"/>
        <charset val="204"/>
      </rPr>
      <t>H,gn,10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</si>
  <si>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H,gn,11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</si>
  <si>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H,gn,12</t>
    </r>
    <r>
      <rPr>
        <sz val="11"/>
        <color theme="1"/>
        <rFont val="Calibri"/>
        <family val="2"/>
        <charset val="204"/>
        <scheme val="minor"/>
      </rPr>
      <t/>
    </r>
  </si>
  <si>
    <t>Перекриття даху</t>
  </si>
  <si>
    <t>Перекриття підвалу</t>
  </si>
  <si>
    <t>IV. Визначення питомої енергопотреби на опалення, охолодження, постачання гарячої води</t>
  </si>
  <si>
    <t>для житлових будівель</t>
  </si>
  <si>
    <t>EN =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</si>
  <si>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C,nd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</si>
  <si>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DHW,nd</t>
    </r>
  </si>
  <si>
    <t>Af</t>
  </si>
  <si>
    <t>для громадських будівель</t>
  </si>
  <si>
    <t>V. Визначення питомого енергоспоживання при опаленні</t>
  </si>
  <si>
    <r>
      <t>E</t>
    </r>
    <r>
      <rPr>
        <vertAlign val="subscript"/>
        <sz val="11"/>
        <color theme="1"/>
        <rFont val="Calibri"/>
        <family val="2"/>
        <charset val="204"/>
        <scheme val="minor"/>
      </rPr>
      <t>PH,use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</si>
  <si>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H,use</t>
    </r>
  </si>
  <si>
    <t>VI. Визначення питомого енергоспоживання при охолодженні</t>
  </si>
  <si>
    <r>
      <t>EP</t>
    </r>
    <r>
      <rPr>
        <vertAlign val="subscript"/>
        <sz val="11"/>
        <color theme="1"/>
        <rFont val="Calibri"/>
        <family val="2"/>
        <charset val="204"/>
        <scheme val="minor"/>
      </rPr>
      <t>C,use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</si>
  <si>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C,use</t>
    </r>
  </si>
  <si>
    <t>VII. Визначення питомого енергоспоживання при постачанні гарячої води</t>
  </si>
  <si>
    <r>
      <t>EP</t>
    </r>
    <r>
      <rPr>
        <vertAlign val="subscript"/>
        <sz val="11"/>
        <color theme="1"/>
        <rFont val="Calibri"/>
        <family val="2"/>
        <charset val="204"/>
        <scheme val="minor"/>
      </rPr>
      <t>DHW,use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</si>
  <si>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DHW,use</t>
    </r>
  </si>
  <si>
    <t>VIII. Визначення питомого енергоспоживання систем вентиляції</t>
  </si>
  <si>
    <r>
      <t>EPv</t>
    </r>
    <r>
      <rPr>
        <vertAlign val="subscript"/>
        <sz val="11"/>
        <color theme="1"/>
        <rFont val="Calibri"/>
        <family val="2"/>
        <charset val="204"/>
        <scheme val="minor"/>
      </rPr>
      <t>,use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</si>
  <si>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V,use</t>
    </r>
  </si>
  <si>
    <t>IX. Розрахунок питомого енергоспоживання при освітленні</t>
  </si>
  <si>
    <r>
      <t>EP</t>
    </r>
    <r>
      <rPr>
        <vertAlign val="subscript"/>
        <sz val="11"/>
        <color theme="1"/>
        <rFont val="Calibri"/>
        <family val="2"/>
        <charset val="204"/>
        <scheme val="minor"/>
      </rPr>
      <t>W,use</t>
    </r>
  </si>
  <si>
    <r>
      <rPr>
        <sz val="11"/>
        <color theme="1"/>
        <rFont val="Calibri"/>
        <family val="2"/>
        <charset val="204"/>
        <scheme val="minor"/>
      </rPr>
      <t>W</t>
    </r>
    <r>
      <rPr>
        <vertAlign val="subscript"/>
        <sz val="11"/>
        <color theme="1"/>
        <rFont val="Calibri"/>
        <family val="2"/>
        <charset val="204"/>
        <scheme val="minor"/>
      </rPr>
      <t>,use</t>
    </r>
  </si>
  <si>
    <t>ХІ. Проведення розрахунків первинної енергії та викидів парникових
газів</t>
  </si>
  <si>
    <r>
      <t>e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</si>
  <si>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t>Ep</t>
  </si>
  <si>
    <r>
      <t>mco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</si>
  <si>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t>ХІІ. Визначення класу енергетичної ефективності будівлі</t>
  </si>
  <si>
    <t>=&gt;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</si>
  <si>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H,gen,out,i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</si>
  <si>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H,gen,ls,i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</si>
  <si>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H,dis,in,i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</si>
  <si>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H,dis,out,i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</si>
  <si>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H,dis,ls,nrbl,i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</si>
  <si>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H,dis,ls,rbl,i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</si>
  <si>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H,gn,i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</si>
  <si>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H,dis,ls,rvd,i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</si>
  <si>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H,em,in,i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</si>
  <si>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H,em,out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</si>
  <si>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H,em,ls,i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</si>
  <si>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H,nd,i</t>
    </r>
  </si>
  <si>
    <t>Довжина</t>
  </si>
  <si>
    <t>Ll</t>
  </si>
  <si>
    <t>Lw</t>
  </si>
  <si>
    <t>Висота поверху</t>
  </si>
  <si>
    <t>hiev</t>
  </si>
  <si>
    <t>Кількість поверхів</t>
  </si>
  <si>
    <t>niew</t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</si>
  <si>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H,gen</t>
    </r>
  </si>
  <si>
    <t>j1</t>
  </si>
  <si>
    <t>j2</t>
  </si>
  <si>
    <t>j3</t>
  </si>
  <si>
    <t>j4</t>
  </si>
  <si>
    <r>
      <t>Ψ</t>
    </r>
    <r>
      <rPr>
        <vertAlign val="subscript"/>
        <sz val="11"/>
        <color theme="1"/>
        <rFont val="Calibri"/>
        <family val="2"/>
        <charset val="204"/>
        <scheme val="minor"/>
      </rPr>
      <t>L,j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</si>
  <si>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hydr</t>
    </r>
  </si>
  <si>
    <t>Lj</t>
  </si>
  <si>
    <r>
      <t>θ</t>
    </r>
    <r>
      <rPr>
        <vertAlign val="subscript"/>
        <sz val="11"/>
        <color theme="1"/>
        <rFont val="Calibri"/>
        <family val="2"/>
        <charset val="204"/>
        <scheme val="minor"/>
      </rPr>
      <t>i,j</t>
    </r>
  </si>
  <si>
    <r>
      <t>θ</t>
    </r>
    <r>
      <rPr>
        <vertAlign val="subscript"/>
        <sz val="11"/>
        <color theme="1"/>
        <rFont val="Calibri"/>
        <family val="2"/>
        <charset val="204"/>
        <scheme val="minor"/>
      </rPr>
      <t>m,i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</si>
  <si>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op,an,i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</si>
  <si>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im</t>
    </r>
  </si>
  <si>
    <t>i1</t>
  </si>
  <si>
    <t>i2</t>
  </si>
  <si>
    <t>i3</t>
  </si>
  <si>
    <t>i4</t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</si>
  <si>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rad</t>
    </r>
  </si>
  <si>
    <t>i5</t>
  </si>
  <si>
    <t>i6</t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</si>
  <si>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em</t>
    </r>
  </si>
  <si>
    <t>i7</t>
  </si>
  <si>
    <t>i8</t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</si>
  <si>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str</t>
    </r>
  </si>
  <si>
    <t>i9</t>
  </si>
  <si>
    <t>i10</t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</si>
  <si>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ctr</t>
    </r>
  </si>
  <si>
    <t>i11</t>
  </si>
  <si>
    <t>i12</t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</si>
  <si>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emb</t>
    </r>
  </si>
  <si>
    <t>для постійного теплового режиму</t>
  </si>
  <si>
    <t>для періодичного теплового режиму з регулюванням без інтегрованого зворотного зв’язку</t>
  </si>
  <si>
    <t>для періодичного теплового режиму з регулюванням, що має інтегрований зворотний зв’язок (з оптимізованим пуском)</t>
  </si>
  <si>
    <t>Річне енергоспоживання при опаленні</t>
  </si>
  <si>
    <t>Річне енергоспоживання при охолодженні</t>
  </si>
  <si>
    <t>Річне енергоспоживання при вентиляції</t>
  </si>
  <si>
    <t>Річний обсяг енергоспоживання при освітленні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</si>
  <si>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С,nd,1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</si>
  <si>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</si>
  <si>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С,nd,2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</si>
  <si>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С,nd,3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</si>
  <si>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С,nd,4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</si>
  <si>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С,nd,5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</si>
  <si>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С,nd,6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</si>
  <si>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С,nd,7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</si>
  <si>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С,nd,8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</si>
  <si>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С,nd,9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</si>
  <si>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С,nd,10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</si>
  <si>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С,nd,11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</si>
  <si>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С,nd,12</t>
    </r>
    <r>
      <rPr>
        <sz val="11"/>
        <color theme="1"/>
        <rFont val="Calibri"/>
        <family val="2"/>
        <charset val="204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</si>
  <si>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С,ht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</si>
  <si>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С,gn</t>
    </r>
  </si>
  <si>
    <r>
      <t>η</t>
    </r>
    <r>
      <rPr>
        <vertAlign val="subscript"/>
        <sz val="11"/>
        <color theme="1"/>
        <rFont val="Calibri"/>
        <family val="2"/>
        <charset val="204"/>
      </rPr>
      <t>C,gn,1</t>
    </r>
  </si>
  <si>
    <r>
      <t>η</t>
    </r>
    <r>
      <rPr>
        <vertAlign val="subscript"/>
        <sz val="11"/>
        <color theme="1"/>
        <rFont val="Calibri"/>
        <family val="2"/>
        <charset val="204"/>
      </rPr>
      <t>C,gn,2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</si>
  <si>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C,gn,3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</si>
  <si>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C,gn,4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</si>
  <si>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C,gn,5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</si>
  <si>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C,gn,6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</si>
  <si>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C,gn,7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</si>
  <si>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C,gn,8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</si>
  <si>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C,gn,9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</si>
  <si>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C,gn,10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</si>
  <si>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C,gn,11</t>
    </r>
    <r>
      <rPr>
        <sz val="11"/>
        <color theme="1"/>
        <rFont val="Calibri"/>
        <family val="2"/>
        <charset val="204"/>
        <scheme val="minor"/>
      </rPr>
      <t/>
    </r>
  </si>
  <si>
    <r>
      <t>η</t>
    </r>
    <r>
      <rPr>
        <vertAlign val="subscript"/>
        <sz val="11"/>
        <color theme="1"/>
        <rFont val="Calibri"/>
        <family val="2"/>
        <charset val="204"/>
      </rPr>
      <t>C,gn,12</t>
    </r>
    <r>
      <rPr>
        <sz val="11"/>
        <color theme="1"/>
        <rFont val="Calibri"/>
        <family val="2"/>
        <charset val="204"/>
        <scheme val="minor"/>
      </rPr>
      <t/>
    </r>
  </si>
  <si>
    <r>
      <t>γ</t>
    </r>
    <r>
      <rPr>
        <vertAlign val="subscript"/>
        <sz val="11"/>
        <color theme="1"/>
        <rFont val="Calibri"/>
        <family val="2"/>
        <charset val="204"/>
      </rPr>
      <t>C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</si>
  <si>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С</t>
    </r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</si>
  <si>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</si>
  <si>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</si>
  <si>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</si>
  <si>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</si>
  <si>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</si>
  <si>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</si>
  <si>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</si>
  <si>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</si>
  <si>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</si>
  <si>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</si>
  <si>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</si>
  <si>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</si>
  <si>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m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</si>
  <si>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w,dis,rbl,m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</si>
  <si>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ve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</si>
  <si>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</si>
  <si>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inf</t>
    </r>
  </si>
  <si>
    <t>Річне енергоспоживання при постачанні гарячої води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</si>
  <si>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ve,mn</t>
    </r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</si>
  <si>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inf,H</t>
    </r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</si>
  <si>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inf,C</t>
    </r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</si>
  <si>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ve</t>
    </r>
  </si>
  <si>
    <r>
      <rPr>
        <sz val="11"/>
        <color theme="1"/>
        <rFont val="Calibri"/>
        <family val="2"/>
        <charset val="204"/>
      </rPr>
      <t>ν</t>
    </r>
    <r>
      <rPr>
        <vertAlign val="subscript"/>
        <sz val="11"/>
        <color theme="1"/>
        <rFont val="Calibri"/>
        <family val="2"/>
        <charset val="204"/>
        <scheme val="minor"/>
      </rPr>
      <t>v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</si>
  <si>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inf,H</t>
    </r>
  </si>
  <si>
    <t>природна вентиляція</t>
  </si>
  <si>
    <t>механічна витяжна вентиляція та механічна припливно-витяжна збалансована вентиляція</t>
  </si>
  <si>
    <t>механічна вентиляція з підпором повітря</t>
  </si>
  <si>
    <t xml:space="preserve"> </t>
  </si>
  <si>
    <t>n</t>
  </si>
  <si>
    <t>S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</si>
  <si>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B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</si>
  <si>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</si>
  <si>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tot</t>
    </r>
  </si>
  <si>
    <t>Пн</t>
  </si>
  <si>
    <t>ПнС</t>
  </si>
  <si>
    <t>ПдС</t>
  </si>
  <si>
    <t>Пд</t>
  </si>
  <si>
    <t>ПдЗ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</si>
  <si>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inf,m,H</t>
    </r>
  </si>
  <si>
    <t>продувна</t>
  </si>
  <si>
    <t>не герметична</t>
  </si>
  <si>
    <t>слабо герметична</t>
  </si>
  <si>
    <t>герметична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</si>
  <si>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100,s,m</t>
    </r>
  </si>
  <si>
    <t>З</t>
  </si>
  <si>
    <t>неутеплені, залізобетонні панелі або кладка з крупноблокових елементів з міжпанельними стиками в незадовільному стані</t>
  </si>
  <si>
    <t>неутеплені, кладка з дрібноштучних виробів у незадовільному стані</t>
  </si>
  <si>
    <t>утеплені мінераловатними матеріалами в задовільному стані</t>
  </si>
  <si>
    <t>утеплені органічними матеріалами в задовільному стані</t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</si>
  <si>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inf,se</t>
    </r>
  </si>
  <si>
    <r>
      <t>∆P</t>
    </r>
    <r>
      <rPr>
        <vertAlign val="subscript"/>
        <sz val="11"/>
        <color theme="1"/>
        <rFont val="Calibri"/>
        <family val="2"/>
        <charset val="204"/>
      </rPr>
      <t>gr,m,H</t>
    </r>
  </si>
  <si>
    <r>
      <t>Υ</t>
    </r>
    <r>
      <rPr>
        <vertAlign val="subscript"/>
        <sz val="11"/>
        <color theme="1"/>
        <rFont val="Calibri"/>
        <family val="2"/>
        <charset val="204"/>
      </rPr>
      <t>e,seas,H</t>
    </r>
  </si>
  <si>
    <r>
      <t>Υ</t>
    </r>
    <r>
      <rPr>
        <vertAlign val="subscript"/>
        <sz val="11"/>
        <color theme="1"/>
        <rFont val="Calibri"/>
        <family val="2"/>
        <charset val="204"/>
      </rPr>
      <t>e,set,H</t>
    </r>
  </si>
  <si>
    <r>
      <t>ϴ</t>
    </r>
    <r>
      <rPr>
        <vertAlign val="subscript"/>
        <sz val="11"/>
        <color theme="1"/>
        <rFont val="Calibri"/>
        <family val="2"/>
        <charset val="204"/>
      </rPr>
      <t>,seas,H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</si>
  <si>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inf,m,С</t>
    </r>
  </si>
  <si>
    <r>
      <t>Υ</t>
    </r>
    <r>
      <rPr>
        <vertAlign val="subscript"/>
        <sz val="11"/>
        <color theme="1"/>
        <rFont val="Calibri"/>
        <family val="2"/>
        <charset val="204"/>
      </rPr>
      <t>e,seas,С</t>
    </r>
  </si>
  <si>
    <r>
      <t>ϴ</t>
    </r>
    <r>
      <rPr>
        <vertAlign val="subscript"/>
        <sz val="11"/>
        <color theme="1"/>
        <rFont val="Calibri"/>
        <family val="2"/>
        <charset val="204"/>
      </rPr>
      <t>,seas,С</t>
    </r>
  </si>
  <si>
    <r>
      <t>Υ</t>
    </r>
    <r>
      <rPr>
        <vertAlign val="subscript"/>
        <sz val="11"/>
        <color theme="1"/>
        <rFont val="Calibri"/>
        <family val="2"/>
        <charset val="204"/>
      </rPr>
      <t>e,set,С</t>
    </r>
  </si>
  <si>
    <r>
      <t>ϴ</t>
    </r>
    <r>
      <rPr>
        <vertAlign val="subscript"/>
        <sz val="11"/>
        <color theme="1"/>
        <rFont val="Calibri"/>
        <family val="2"/>
        <charset val="204"/>
      </rPr>
      <t>int,set,С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</si>
  <si>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inf,С</t>
    </r>
  </si>
  <si>
    <r>
      <t>∆P</t>
    </r>
    <r>
      <rPr>
        <vertAlign val="subscript"/>
        <sz val="11"/>
        <color theme="1"/>
        <rFont val="Calibri"/>
        <family val="2"/>
        <charset val="204"/>
      </rPr>
      <t>wd,m,H</t>
    </r>
  </si>
  <si>
    <r>
      <t>V</t>
    </r>
    <r>
      <rPr>
        <vertAlign val="subscript"/>
        <sz val="11"/>
        <color theme="1"/>
        <rFont val="Calibri"/>
        <family val="2"/>
        <charset val="204"/>
      </rPr>
      <t>e,seas,m,H</t>
    </r>
  </si>
  <si>
    <r>
      <rPr>
        <sz val="11"/>
        <color theme="1"/>
        <rFont val="Calibri"/>
        <family val="2"/>
        <charset val="204"/>
      </rPr>
      <t>β</t>
    </r>
    <r>
      <rPr>
        <vertAlign val="subscript"/>
        <sz val="11"/>
        <color theme="1"/>
        <rFont val="Calibri"/>
        <family val="2"/>
        <charset val="204"/>
      </rPr>
      <t>v,m</t>
    </r>
  </si>
  <si>
    <t>Пнз</t>
  </si>
  <si>
    <t>Висота будівлі</t>
  </si>
  <si>
    <t>A</t>
  </si>
  <si>
    <t>B</t>
  </si>
  <si>
    <t>C</t>
  </si>
  <si>
    <t xml:space="preserve">&lt;5 </t>
  </si>
  <si>
    <r>
      <t>Z</t>
    </r>
    <r>
      <rPr>
        <vertAlign val="subscript"/>
        <sz val="11"/>
        <color theme="1"/>
        <rFont val="Calibri"/>
        <family val="2"/>
        <charset val="204"/>
        <scheme val="minor"/>
      </rPr>
      <t>se,m</t>
    </r>
  </si>
  <si>
    <t xml:space="preserve"> Відкрите узбережжя моря, озера, водосховища, поле</t>
  </si>
  <si>
    <t>Територія, лісовий масив тощо з рівномірно розташованими перешкодами заввишки понад 10 м</t>
  </si>
  <si>
    <t>Місцевість з розташованими будівлями заввишки понад 25 м</t>
  </si>
  <si>
    <t>Відкрита</t>
  </si>
  <si>
    <t>Середньозахищена</t>
  </si>
  <si>
    <t>Закрита</t>
  </si>
  <si>
    <r>
      <t>F</t>
    </r>
    <r>
      <rPr>
        <vertAlign val="subscript"/>
        <sz val="11"/>
        <color theme="1"/>
        <rFont val="Calibri"/>
        <family val="2"/>
        <charset val="204"/>
      </rPr>
      <t>e,seas,m,H</t>
    </r>
  </si>
  <si>
    <r>
      <t>F</t>
    </r>
    <r>
      <rPr>
        <vertAlign val="subscript"/>
        <sz val="11"/>
        <color theme="1"/>
        <rFont val="Calibri"/>
        <family val="2"/>
        <charset val="204"/>
      </rPr>
      <t>e,seas,m,C</t>
    </r>
  </si>
  <si>
    <r>
      <t>V</t>
    </r>
    <r>
      <rPr>
        <vertAlign val="subscript"/>
        <sz val="11"/>
        <color theme="1"/>
        <rFont val="Calibri"/>
        <family val="2"/>
        <charset val="204"/>
      </rPr>
      <t>e,seas,m,C</t>
    </r>
  </si>
  <si>
    <r>
      <t>∆P</t>
    </r>
    <r>
      <rPr>
        <vertAlign val="subscript"/>
        <sz val="11"/>
        <color theme="1"/>
        <rFont val="Calibri"/>
        <family val="2"/>
        <charset val="204"/>
      </rPr>
      <t>wd,m,C</t>
    </r>
  </si>
  <si>
    <t>Коефіцієнт βv залежно від характеристики місцевості</t>
  </si>
  <si>
    <r>
      <t>QС</t>
    </r>
    <r>
      <rPr>
        <vertAlign val="subscript"/>
        <sz val="11"/>
        <color theme="1"/>
        <rFont val="Calibri"/>
        <family val="2"/>
        <charset val="204"/>
        <scheme val="minor"/>
      </rPr>
      <t>,use</t>
    </r>
  </si>
  <si>
    <r>
      <t>QС</t>
    </r>
    <r>
      <rPr>
        <vertAlign val="subscript"/>
        <sz val="11"/>
        <color theme="1"/>
        <rFont val="Calibri"/>
        <family val="2"/>
        <charset val="204"/>
        <scheme val="minor"/>
      </rPr>
      <t>,gen,ls</t>
    </r>
  </si>
  <si>
    <r>
      <t>QС</t>
    </r>
    <r>
      <rPr>
        <vertAlign val="subscript"/>
        <sz val="11"/>
        <color theme="1"/>
        <rFont val="Calibri"/>
        <family val="2"/>
        <charset val="204"/>
        <scheme val="minor"/>
      </rPr>
      <t>,gen,out</t>
    </r>
  </si>
  <si>
    <r>
      <t>QС</t>
    </r>
    <r>
      <rPr>
        <vertAlign val="subscript"/>
        <sz val="11"/>
        <color theme="1"/>
        <rFont val="Calibri"/>
        <family val="2"/>
        <charset val="204"/>
        <scheme val="minor"/>
      </rPr>
      <t>,dis,in</t>
    </r>
  </si>
  <si>
    <r>
      <t>QС</t>
    </r>
    <r>
      <rPr>
        <vertAlign val="subscript"/>
        <sz val="11"/>
        <color theme="1"/>
        <rFont val="Calibri"/>
        <family val="2"/>
        <charset val="204"/>
        <scheme val="minor"/>
      </rPr>
      <t>,dis,out,i</t>
    </r>
  </si>
  <si>
    <r>
      <t>QС</t>
    </r>
    <r>
      <rPr>
        <vertAlign val="subscript"/>
        <sz val="11"/>
        <color theme="1"/>
        <rFont val="Calibri"/>
        <family val="2"/>
        <charset val="204"/>
        <scheme val="minor"/>
      </rPr>
      <t>,dis,ls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</si>
  <si>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V,pre-cool,gen,use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</si>
  <si>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V,pre-cool,gen,out</t>
    </r>
  </si>
  <si>
    <r>
      <t>ƒ</t>
    </r>
    <r>
      <rPr>
        <vertAlign val="subscript"/>
        <sz val="11"/>
        <color theme="1"/>
        <rFont val="Calibri"/>
        <family val="2"/>
        <charset val="204"/>
        <scheme val="minor"/>
      </rPr>
      <t>C,m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</si>
  <si>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V,nd,pre-cool,m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</si>
  <si>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C,gen</t>
    </r>
  </si>
  <si>
    <t>У разі відсутності системи охолодження = 2,4</t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</si>
  <si>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C,ac</t>
    </r>
  </si>
  <si>
    <t>У разі відсутності системи охолодження = 0,93</t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</si>
  <si>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C,ce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</si>
  <si>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C,ce,sens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</si>
  <si>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c,d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</si>
  <si>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V,pre-cool,gen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</si>
  <si>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V,sys,pre-cool</t>
    </r>
  </si>
  <si>
    <t>для систем класу А</t>
  </si>
  <si>
    <t>для систем класу B</t>
  </si>
  <si>
    <t>для систем класу C</t>
  </si>
  <si>
    <t>для систем класу D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</si>
  <si>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W,dis,ls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</si>
  <si>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W,dis,ls,col,m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</si>
  <si>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W,en,l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</si>
  <si>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W,dis,rbl</t>
    </r>
  </si>
  <si>
    <r>
      <t>c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</si>
  <si>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</si>
  <si>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</si>
  <si>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m</t>
    </r>
  </si>
  <si>
    <r>
      <rPr>
        <sz val="11"/>
        <color theme="1"/>
        <rFont val="Calibri"/>
        <family val="2"/>
        <charset val="204"/>
      </rPr>
      <t>ϴ</t>
    </r>
    <r>
      <rPr>
        <vertAlign val="subscript"/>
        <sz val="11"/>
        <color theme="1"/>
        <rFont val="Calibri"/>
        <family val="2"/>
        <charset val="204"/>
        <scheme val="minor"/>
      </rPr>
      <t>W,del</t>
    </r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</si>
  <si>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д</t>
    </r>
  </si>
  <si>
    <r>
      <rPr>
        <sz val="11"/>
        <color theme="1"/>
        <rFont val="Calibri"/>
        <family val="2"/>
        <charset val="204"/>
      </rPr>
      <t>ϴ</t>
    </r>
    <r>
      <rPr>
        <vertAlign val="subscript"/>
        <sz val="11"/>
        <color theme="1"/>
        <rFont val="Calibri"/>
        <family val="2"/>
        <charset val="204"/>
        <scheme val="minor"/>
      </rPr>
      <t>W,0</t>
    </r>
  </si>
  <si>
    <r>
      <rPr>
        <sz val="11"/>
        <color theme="1"/>
        <rFont val="Calibri"/>
        <family val="2"/>
        <charset val="204"/>
      </rPr>
      <t>ρ</t>
    </r>
    <r>
      <rPr>
        <vertAlign val="subscript"/>
        <sz val="11"/>
        <color theme="1"/>
        <rFont val="Calibri"/>
        <family val="2"/>
        <charset val="204"/>
      </rPr>
      <t>W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</si>
  <si>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X</t>
    </r>
  </si>
  <si>
    <r>
      <t>Ψ</t>
    </r>
    <r>
      <rPr>
        <vertAlign val="subscript"/>
        <sz val="11"/>
        <color theme="1"/>
        <rFont val="Calibri"/>
        <family val="2"/>
        <charset val="204"/>
        <scheme val="minor"/>
      </rPr>
      <t>W,j</t>
    </r>
  </si>
  <si>
    <r>
      <t>L</t>
    </r>
    <r>
      <rPr>
        <vertAlign val="subscript"/>
        <sz val="11"/>
        <color theme="1"/>
        <rFont val="Calibri"/>
        <family val="2"/>
        <charset val="204"/>
        <scheme val="minor"/>
      </rPr>
      <t>wj</t>
    </r>
  </si>
  <si>
    <r>
      <t>θ</t>
    </r>
    <r>
      <rPr>
        <vertAlign val="subscript"/>
        <sz val="11"/>
        <color theme="1"/>
        <rFont val="Calibri"/>
        <family val="2"/>
        <charset val="204"/>
        <scheme val="minor"/>
      </rPr>
      <t>W,dis,avg,j</t>
    </r>
  </si>
  <si>
    <r>
      <t>θ</t>
    </r>
    <r>
      <rPr>
        <vertAlign val="subscript"/>
        <sz val="11"/>
        <color theme="1"/>
        <rFont val="Calibri"/>
        <family val="2"/>
        <charset val="204"/>
        <scheme val="minor"/>
      </rPr>
      <t>amb,j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</si>
  <si>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</si>
  <si>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W,dis,ls,col,on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</si>
  <si>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w,on,j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</si>
  <si>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gen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</si>
  <si>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W,dis,ls,col,off</t>
    </r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</si>
  <si>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W,dis,j</t>
    </r>
  </si>
  <si>
    <r>
      <t>η</t>
    </r>
    <r>
      <rPr>
        <vertAlign val="subscript"/>
        <sz val="11"/>
        <color theme="1"/>
        <rFont val="Calibri"/>
        <family val="2"/>
        <charset val="204"/>
        <scheme val="minor"/>
      </rPr>
      <t>eq</t>
    </r>
  </si>
  <si>
    <r>
      <rPr>
        <sz val="11"/>
        <color theme="1"/>
        <rFont val="Calibri"/>
        <family val="2"/>
        <charset val="204"/>
      </rPr>
      <t>ρ</t>
    </r>
    <r>
      <rPr>
        <vertAlign val="subscript"/>
        <sz val="11"/>
        <color theme="1"/>
        <rFont val="Calibri"/>
        <family val="2"/>
        <charset val="204"/>
      </rPr>
      <t>W·Cw</t>
    </r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</si>
  <si>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norm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</si>
  <si>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W,dis,ls,rbl</t>
    </r>
  </si>
  <si>
    <t>для спрощення приймають 50%</t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</si>
  <si>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W,dis,au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</si>
  <si>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W,dis,aux,rbl</t>
    </r>
  </si>
  <si>
    <t>для спрощення приймають 80%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</si>
  <si>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V,sys,fan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</si>
  <si>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el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</si>
  <si>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v</t>
    </r>
  </si>
  <si>
    <t>SFP</t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</si>
  <si>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L</t>
    </r>
  </si>
  <si>
    <r>
      <rPr>
        <sz val="11"/>
        <color theme="1"/>
        <rFont val="Calibri"/>
        <family val="2"/>
        <charset val="204"/>
        <scheme val="minor"/>
      </rPr>
      <t>W</t>
    </r>
    <r>
      <rPr>
        <vertAlign val="subscript"/>
        <sz val="11"/>
        <color theme="1"/>
        <rFont val="Calibri"/>
        <family val="2"/>
        <charset val="204"/>
        <scheme val="minor"/>
      </rPr>
      <t>L</t>
    </r>
  </si>
  <si>
    <r>
      <rPr>
        <sz val="11"/>
        <color theme="1"/>
        <rFont val="Calibri"/>
        <family val="2"/>
        <charset val="204"/>
        <scheme val="minor"/>
      </rPr>
      <t>W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</si>
  <si>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N</t>
    </r>
  </si>
  <si>
    <t>Pem</t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</si>
  <si>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C</t>
    </r>
  </si>
  <si>
    <t>Ppc</t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</si>
  <si>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O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</si>
  <si>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D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</si>
  <si>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D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</si>
  <si>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N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</si>
  <si>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P,nren</t>
    </r>
  </si>
  <si>
    <r>
      <t>Kco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</si>
  <si>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t>Kco2</t>
  </si>
  <si>
    <r>
      <t>Kco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</si>
  <si>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t>Тепло</t>
  </si>
  <si>
    <t>Електроенергія</t>
  </si>
  <si>
    <r>
      <t>EP</t>
    </r>
    <r>
      <rPr>
        <vertAlign val="subscript"/>
        <sz val="11"/>
        <color theme="1"/>
        <rFont val="Calibri"/>
        <family val="2"/>
        <charset val="204"/>
        <scheme val="minor"/>
      </rPr>
      <t>use</t>
    </r>
  </si>
  <si>
    <r>
      <rPr>
        <sz val="11"/>
        <color theme="1"/>
        <rFont val="Calibri"/>
        <family val="2"/>
        <charset val="204"/>
      </rPr>
      <t>∆</t>
    </r>
    <r>
      <rPr>
        <vertAlign val="subscript"/>
        <sz val="11"/>
        <color theme="1"/>
        <rFont val="Calibri"/>
        <family val="2"/>
        <charset val="204"/>
      </rPr>
      <t>EP</t>
    </r>
  </si>
  <si>
    <t>D</t>
  </si>
  <si>
    <t>E</t>
  </si>
  <si>
    <t>F</t>
  </si>
  <si>
    <t>G</t>
  </si>
  <si>
    <r>
      <t>E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</si>
  <si>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t>Загальна площа, (м2):</t>
  </si>
  <si>
    <t>Загальний об’єм, (м3):</t>
  </si>
  <si>
    <t>Опалювана площа, (м2):</t>
  </si>
  <si>
    <t>Опалюваний об’єм, (м3):</t>
  </si>
  <si>
    <t>Кількість поверхів:</t>
  </si>
  <si>
    <t>Зовнішні стіни</t>
  </si>
  <si>
    <t>Суміщені покриття</t>
  </si>
  <si>
    <t>Покриття опалюваних горищ…</t>
  </si>
  <si>
    <t>Горищні перекриття неопалюваних горищ</t>
  </si>
  <si>
    <t>Перекриття над проїздами…</t>
  </si>
  <si>
    <t>Світлопрозорі огороджувальні конструкції</t>
  </si>
  <si>
    <t>Зовнішні двері</t>
  </si>
  <si>
    <t>-</t>
  </si>
  <si>
    <t>Питома енергопотреба</t>
  </si>
  <si>
    <t>Питоме енергоспоживання</t>
  </si>
  <si>
    <t>Питоме споживання первинної енергії</t>
  </si>
  <si>
    <t>Питомі викиди парникових газів</t>
  </si>
  <si>
    <t>Енергоспоживання при опаленні</t>
  </si>
  <si>
    <t>Енергоспоживання при охолодженні</t>
  </si>
  <si>
    <t>Енергоспоживання при освітленні</t>
  </si>
  <si>
    <t>Енергоспоживання систем вентиляції</t>
  </si>
  <si>
    <t>Усього</t>
  </si>
  <si>
    <t>Енергоспоживання при постачанні гарячої…</t>
  </si>
  <si>
    <t>дп-3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</si>
  <si>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H,dis,ls,nrvd,i</t>
    </r>
  </si>
  <si>
    <t>Подача</t>
  </si>
  <si>
    <t>Обратка</t>
  </si>
  <si>
    <t>Средняя</t>
  </si>
  <si>
    <t>1 поверх</t>
  </si>
  <si>
    <t>2 поверх</t>
  </si>
  <si>
    <t>3-5 поверхи</t>
  </si>
  <si>
    <t>6-9 поверхи</t>
  </si>
  <si>
    <t>1-380-0 балкон</t>
  </si>
  <si>
    <t>1-380-0 тамбур</t>
  </si>
  <si>
    <t>1-380-150 балкон</t>
  </si>
  <si>
    <t>1-510-0 тамбур</t>
  </si>
  <si>
    <t>1-510-100 балкон</t>
  </si>
  <si>
    <t>1-380-100</t>
  </si>
  <si>
    <t>1-380-150</t>
  </si>
  <si>
    <t>1-510-100</t>
  </si>
  <si>
    <t>1-510-150</t>
  </si>
  <si>
    <t>4-250-50</t>
  </si>
  <si>
    <t>4-380-50</t>
  </si>
  <si>
    <t>ДП-1*</t>
  </si>
  <si>
    <t>ДН-3</t>
  </si>
  <si>
    <t>дп-1*</t>
  </si>
  <si>
    <t>дб-2</t>
  </si>
  <si>
    <t>дн-3</t>
  </si>
  <si>
    <t>ок-2</t>
  </si>
  <si>
    <t>ок-8</t>
  </si>
  <si>
    <t>Ч.ч.</t>
  </si>
  <si>
    <t>Назва матеріалу</t>
  </si>
  <si>
    <t>Характеристика в сухому стані</t>
  </si>
  <si>
    <t>теплоємність C, кДж/(кг∙К)</t>
  </si>
  <si>
    <r>
      <t>декларативна теплопровідність λ</t>
    </r>
    <r>
      <rPr>
        <vertAlign val="subscript"/>
        <sz val="11"/>
        <color theme="1"/>
        <rFont val="Calibri (Основной текст)"/>
        <charset val="204"/>
      </rPr>
      <t>о</t>
    </r>
    <r>
      <rPr>
        <sz val="11"/>
        <color theme="1"/>
        <rFont val="Calibri"/>
        <family val="2"/>
        <scheme val="minor"/>
      </rPr>
      <t>, Вт/(м∙К)</t>
    </r>
  </si>
  <si>
    <t>Розрахунковий вміст вологи за масою за умов експлуатації w, %</t>
  </si>
  <si>
    <t>А</t>
  </si>
  <si>
    <t>Б</t>
  </si>
  <si>
    <t>А, Б</t>
  </si>
  <si>
    <t>Розрахункові характеристики за умов експлуатації</t>
  </si>
  <si>
    <t>теплопровідність λр, Вт/(м∙К)</t>
  </si>
  <si>
    <r>
      <t>коефіцієнт теплозасвоєння s, Вт/(м</t>
    </r>
    <r>
      <rPr>
        <vertAlign val="superscript"/>
        <sz val="11"/>
        <color theme="1"/>
        <rFont val="Calibri (Основной текст)"/>
        <charset val="204"/>
      </rPr>
      <t>2</t>
    </r>
    <r>
      <rPr>
        <sz val="11"/>
        <color theme="1"/>
        <rFont val="Calibri"/>
        <family val="2"/>
        <scheme val="minor"/>
      </rPr>
      <t>∙К)</t>
    </r>
  </si>
  <si>
    <t>паропроникність δ, мг/(м∙год∙Па)</t>
  </si>
  <si>
    <r>
      <t>густина ρ</t>
    </r>
    <r>
      <rPr>
        <vertAlign val="subscript"/>
        <sz val="11"/>
        <color theme="1"/>
        <rFont val="Calibri (Основной текст)"/>
        <charset val="204"/>
      </rPr>
      <t>0</t>
    </r>
    <r>
      <rPr>
        <sz val="11"/>
        <color theme="1"/>
        <rFont val="Calibri"/>
        <family val="2"/>
        <scheme val="minor"/>
      </rPr>
      <t>, кг/м</t>
    </r>
    <r>
      <rPr>
        <vertAlign val="superscript"/>
        <sz val="11"/>
        <color theme="1"/>
        <rFont val="Calibri (Основной текст)"/>
        <charset val="204"/>
      </rPr>
      <t>3</t>
    </r>
  </si>
  <si>
    <t>Кладка цегляна з повнотілої цегли силікатної на цементнопіща ному розчині</t>
  </si>
  <si>
    <t>Вироби із екструдованого пінополістиролу</t>
  </si>
  <si>
    <t>Теплопередача до суміжного некондиціонованого об'єму</t>
  </si>
  <si>
    <t>Залізобетон</t>
  </si>
  <si>
    <t xml:space="preserve">Керамзитобетон на керамзитовому піску </t>
  </si>
  <si>
    <t>Матеріали бітумні, бітумно-полімерні покрівельні та гідроізоляційні</t>
  </si>
  <si>
    <t xml:space="preserve">Лінолеум полівінілхлоридний на тканинній основі </t>
  </si>
  <si>
    <t xml:space="preserve">Розчини цементнопінополістирольні </t>
  </si>
  <si>
    <t>Двері</t>
  </si>
  <si>
    <t>Підлога</t>
  </si>
  <si>
    <t>Дах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</si>
</sst>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vertAlign val="subscript"/>
      <sz val="8"/>
      <color theme="0"/>
      <name val="Calibri"/>
      <family val="2"/>
      <scheme val="minor"/>
    </font>
    <font>
      <sz val="10"/>
      <color theme="1"/>
      <name val="Calibri"/>
      <family val="2"/>
      <charset val="204"/>
    </font>
    <font>
      <sz val="11"/>
      <color theme="0" tint="-0.34998626667073579"/>
      <name val="Calibri"/>
      <family val="2"/>
      <scheme val="minor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sz val="9"/>
      <color rgb="FF000000"/>
      <name val="Calibri"/>
      <family val="2"/>
      <charset val="20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vertAlign val="subscript"/>
      <sz val="11"/>
      <color theme="1"/>
      <name val="Calibri (Основной текст)"/>
      <charset val="204"/>
    </font>
    <font>
      <vertAlign val="superscript"/>
      <sz val="11"/>
      <color theme="1"/>
      <name val="Calibri (Основной текст)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1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Protection="1">
      <protection locked="0"/>
    </xf>
    <xf numFmtId="0" fontId="8" fillId="0" borderId="0" xfId="0" applyFont="1" applyProtection="1">
      <protection locked="0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0" xfId="0" applyFill="1" applyProtection="1"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2" borderId="20" xfId="0" applyFill="1" applyBorder="1"/>
    <xf numFmtId="0" fontId="0" fillId="2" borderId="21" xfId="0" applyFill="1" applyBorder="1"/>
    <xf numFmtId="0" fontId="0" fillId="0" borderId="20" xfId="0" applyBorder="1"/>
    <xf numFmtId="0" fontId="0" fillId="2" borderId="22" xfId="0" applyFill="1" applyBorder="1"/>
    <xf numFmtId="0" fontId="0" fillId="2" borderId="23" xfId="0" applyFill="1" applyBorder="1"/>
    <xf numFmtId="0" fontId="0" fillId="2" borderId="25" xfId="0" applyFill="1" applyBorder="1"/>
    <xf numFmtId="0" fontId="0" fillId="0" borderId="23" xfId="0" applyBorder="1"/>
    <xf numFmtId="0" fontId="0" fillId="2" borderId="26" xfId="0" applyFill="1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5" fillId="0" borderId="19" xfId="0" applyFont="1" applyBorder="1"/>
    <xf numFmtId="0" fontId="15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8" fillId="0" borderId="26" xfId="0" applyFont="1" applyBorder="1" applyProtection="1">
      <protection locked="0"/>
    </xf>
    <xf numFmtId="0" fontId="0" fillId="0" borderId="19" xfId="0" applyBorder="1" applyProtection="1">
      <protection locked="0"/>
    </xf>
    <xf numFmtId="0" fontId="0" fillId="2" borderId="17" xfId="0" applyFill="1" applyBorder="1" applyAlignment="1" applyProtection="1">
      <alignment horizontal="center" vertical="center"/>
      <protection locked="0"/>
    </xf>
    <xf numFmtId="0" fontId="0" fillId="0" borderId="20" xfId="0" applyBorder="1" applyAlignment="1">
      <alignment horizontal="center" vertical="center"/>
    </xf>
    <xf numFmtId="0" fontId="0" fillId="2" borderId="20" xfId="0" applyFill="1" applyBorder="1" applyAlignment="1" applyProtection="1">
      <alignment horizontal="center" vertical="center"/>
      <protection locked="0"/>
    </xf>
    <xf numFmtId="0" fontId="0" fillId="2" borderId="33" xfId="0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2" borderId="23" xfId="0" applyFill="1" applyBorder="1" applyAlignment="1" applyProtection="1">
      <alignment horizontal="center" vertical="center"/>
      <protection locked="0"/>
    </xf>
    <xf numFmtId="0" fontId="0" fillId="2" borderId="34" xfId="0" applyFill="1" applyBorder="1" applyAlignment="1" applyProtection="1">
      <alignment horizontal="center" vertical="center"/>
      <protection locked="0"/>
    </xf>
    <xf numFmtId="0" fontId="16" fillId="0" borderId="19" xfId="0" applyFont="1" applyBorder="1"/>
    <xf numFmtId="0" fontId="0" fillId="0" borderId="30" xfId="0" applyBorder="1" applyProtection="1">
      <protection locked="0"/>
    </xf>
    <xf numFmtId="0" fontId="0" fillId="0" borderId="31" xfId="0" applyBorder="1" applyAlignment="1">
      <alignment horizontal="center" vertical="center"/>
    </xf>
    <xf numFmtId="0" fontId="0" fillId="0" borderId="31" xfId="0" applyBorder="1" applyProtection="1">
      <protection locked="0"/>
    </xf>
    <xf numFmtId="0" fontId="0" fillId="0" borderId="35" xfId="0" applyBorder="1" applyAlignment="1">
      <alignment horizontal="center" vertical="center"/>
    </xf>
    <xf numFmtId="0" fontId="0" fillId="2" borderId="35" xfId="0" applyFill="1" applyBorder="1" applyAlignment="1" applyProtection="1">
      <alignment horizontal="center" vertical="center"/>
      <protection locked="0"/>
    </xf>
    <xf numFmtId="0" fontId="0" fillId="2" borderId="36" xfId="0" applyFill="1" applyBorder="1" applyAlignment="1" applyProtection="1">
      <alignment horizontal="center" vertical="center"/>
      <protection locked="0"/>
    </xf>
    <xf numFmtId="0" fontId="0" fillId="0" borderId="30" xfId="0" applyBorder="1"/>
    <xf numFmtId="0" fontId="0" fillId="2" borderId="35" xfId="0" applyFill="1" applyBorder="1"/>
    <xf numFmtId="0" fontId="0" fillId="2" borderId="37" xfId="0" applyFill="1" applyBorder="1"/>
    <xf numFmtId="0" fontId="0" fillId="0" borderId="35" xfId="0" applyBorder="1"/>
    <xf numFmtId="0" fontId="0" fillId="2" borderId="32" xfId="0" applyFill="1" applyBorder="1"/>
    <xf numFmtId="0" fontId="0" fillId="0" borderId="31" xfId="0" applyBorder="1"/>
    <xf numFmtId="2" fontId="0" fillId="0" borderId="0" xfId="0" applyNumberFormat="1"/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7" fillId="0" borderId="7" xfId="0" applyFont="1" applyBorder="1"/>
    <xf numFmtId="0" fontId="17" fillId="0" borderId="8" xfId="0" applyFont="1" applyBorder="1"/>
    <xf numFmtId="0" fontId="17" fillId="0" borderId="9" xfId="0" applyFont="1" applyBorder="1"/>
    <xf numFmtId="0" fontId="0" fillId="2" borderId="19" xfId="0" applyFill="1" applyBorder="1"/>
    <xf numFmtId="0" fontId="0" fillId="2" borderId="0" xfId="0" applyFill="1"/>
    <xf numFmtId="0" fontId="0" fillId="2" borderId="26" xfId="0" applyFill="1" applyBorder="1" applyProtection="1">
      <protection locked="0"/>
    </xf>
    <xf numFmtId="0" fontId="17" fillId="0" borderId="16" xfId="0" applyFont="1" applyBorder="1"/>
    <xf numFmtId="2" fontId="17" fillId="2" borderId="18" xfId="0" applyNumberFormat="1" applyFont="1" applyFill="1" applyBorder="1"/>
    <xf numFmtId="0" fontId="0" fillId="0" borderId="16" xfId="0" applyBorder="1"/>
    <xf numFmtId="2" fontId="0" fillId="2" borderId="17" xfId="0" applyNumberFormat="1" applyFill="1" applyBorder="1"/>
    <xf numFmtId="0" fontId="0" fillId="0" borderId="18" xfId="0" applyBorder="1"/>
    <xf numFmtId="0" fontId="17" fillId="0" borderId="19" xfId="0" applyFont="1" applyBorder="1"/>
    <xf numFmtId="0" fontId="17" fillId="0" borderId="0" xfId="0" applyFont="1"/>
    <xf numFmtId="0" fontId="17" fillId="0" borderId="26" xfId="0" applyFont="1" applyBorder="1"/>
    <xf numFmtId="0" fontId="0" fillId="0" borderId="26" xfId="0" applyBorder="1"/>
    <xf numFmtId="2" fontId="0" fillId="2" borderId="42" xfId="0" applyNumberFormat="1" applyFill="1" applyBorder="1"/>
    <xf numFmtId="0" fontId="0" fillId="2" borderId="30" xfId="0" applyFill="1" applyBorder="1"/>
    <xf numFmtId="0" fontId="0" fillId="2" borderId="31" xfId="0" applyFill="1" applyBorder="1"/>
    <xf numFmtId="0" fontId="0" fillId="2" borderId="31" xfId="0" applyFill="1" applyBorder="1" applyProtection="1">
      <protection locked="0"/>
    </xf>
    <xf numFmtId="0" fontId="0" fillId="2" borderId="32" xfId="0" applyFill="1" applyBorder="1" applyProtection="1">
      <protection locked="0"/>
    </xf>
    <xf numFmtId="0" fontId="17" fillId="0" borderId="30" xfId="0" applyFont="1" applyBorder="1"/>
    <xf numFmtId="0" fontId="17" fillId="0" borderId="31" xfId="0" applyFont="1" applyBorder="1"/>
    <xf numFmtId="0" fontId="17" fillId="0" borderId="32" xfId="0" applyFont="1" applyBorder="1"/>
    <xf numFmtId="1" fontId="0" fillId="0" borderId="31" xfId="0" applyNumberFormat="1" applyBorder="1"/>
    <xf numFmtId="0" fontId="0" fillId="0" borderId="45" xfId="0" applyBorder="1" applyAlignment="1">
      <alignment horizontal="center" vertical="center"/>
    </xf>
    <xf numFmtId="0" fontId="17" fillId="0" borderId="27" xfId="0" applyFont="1" applyBorder="1"/>
    <xf numFmtId="2" fontId="17" fillId="2" borderId="29" xfId="0" applyNumberFormat="1" applyFont="1" applyFill="1" applyBorder="1"/>
    <xf numFmtId="2" fontId="0" fillId="0" borderId="53" xfId="0" applyNumberFormat="1" applyBorder="1" applyAlignment="1" applyProtection="1">
      <alignment horizontal="center"/>
      <protection locked="0"/>
    </xf>
    <xf numFmtId="2" fontId="0" fillId="0" borderId="56" xfId="0" applyNumberFormat="1" applyBorder="1" applyAlignment="1" applyProtection="1">
      <alignment horizontal="center"/>
      <protection locked="0"/>
    </xf>
    <xf numFmtId="0" fontId="0" fillId="0" borderId="27" xfId="0" applyBorder="1"/>
    <xf numFmtId="2" fontId="0" fillId="2" borderId="28" xfId="0" applyNumberFormat="1" applyFill="1" applyBorder="1"/>
    <xf numFmtId="2" fontId="0" fillId="2" borderId="47" xfId="0" applyNumberFormat="1" applyFill="1" applyBorder="1"/>
    <xf numFmtId="0" fontId="0" fillId="0" borderId="29" xfId="0" applyBorder="1"/>
    <xf numFmtId="2" fontId="0" fillId="0" borderId="58" xfId="0" applyNumberFormat="1" applyBorder="1" applyAlignment="1" applyProtection="1">
      <alignment horizontal="center"/>
      <protection locked="0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8" fillId="0" borderId="0" xfId="0" applyFont="1"/>
    <xf numFmtId="0" fontId="15" fillId="0" borderId="0" xfId="0" applyFont="1"/>
    <xf numFmtId="0" fontId="19" fillId="0" borderId="0" xfId="0" applyFont="1"/>
    <xf numFmtId="10" fontId="0" fillId="0" borderId="0" xfId="0" applyNumberFormat="1"/>
    <xf numFmtId="0" fontId="9" fillId="0" borderId="0" xfId="0" applyFont="1"/>
    <xf numFmtId="0" fontId="0" fillId="0" borderId="0" xfId="0" quotePrefix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1" applyNumberFormat="1" applyFont="1"/>
    <xf numFmtId="0" fontId="0" fillId="0" borderId="0" xfId="0" applyAlignment="1">
      <alignment horizontal="left" vertical="top" wrapText="1"/>
    </xf>
    <xf numFmtId="0" fontId="0" fillId="0" borderId="32" xfId="0" applyBorder="1"/>
    <xf numFmtId="0" fontId="21" fillId="0" borderId="0" xfId="0" applyFont="1"/>
    <xf numFmtId="1" fontId="4" fillId="0" borderId="0" xfId="0" applyNumberFormat="1" applyFont="1"/>
    <xf numFmtId="10" fontId="0" fillId="2" borderId="0" xfId="0" applyNumberFormat="1" applyFill="1"/>
    <xf numFmtId="0" fontId="0" fillId="0" borderId="17" xfId="0" applyBorder="1"/>
    <xf numFmtId="0" fontId="0" fillId="0" borderId="40" xfId="0" applyBorder="1"/>
    <xf numFmtId="0" fontId="0" fillId="0" borderId="5" xfId="0" applyBorder="1"/>
    <xf numFmtId="0" fontId="0" fillId="0" borderId="6" xfId="0" applyBorder="1"/>
    <xf numFmtId="0" fontId="0" fillId="0" borderId="66" xfId="0" applyBorder="1"/>
    <xf numFmtId="0" fontId="0" fillId="0" borderId="72" xfId="0" applyBorder="1"/>
    <xf numFmtId="0" fontId="0" fillId="0" borderId="64" xfId="0" applyBorder="1"/>
    <xf numFmtId="0" fontId="0" fillId="0" borderId="73" xfId="0" applyBorder="1"/>
    <xf numFmtId="0" fontId="0" fillId="0" borderId="41" xfId="0" applyBorder="1"/>
    <xf numFmtId="0" fontId="0" fillId="0" borderId="33" xfId="0" applyBorder="1"/>
    <xf numFmtId="0" fontId="0" fillId="0" borderId="0" xfId="0" applyAlignment="1">
      <alignment vertical="center"/>
    </xf>
    <xf numFmtId="0" fontId="7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/>
    <xf numFmtId="2" fontId="0" fillId="2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8" fillId="0" borderId="59" xfId="0" applyFont="1" applyBorder="1"/>
    <xf numFmtId="0" fontId="0" fillId="3" borderId="0" xfId="0" applyFill="1"/>
    <xf numFmtId="0" fontId="2" fillId="0" borderId="0" xfId="0" applyFont="1"/>
    <xf numFmtId="10" fontId="0" fillId="3" borderId="0" xfId="0" applyNumberFormat="1" applyFill="1"/>
    <xf numFmtId="0" fontId="0" fillId="3" borderId="26" xfId="0" applyFill="1" applyBorder="1"/>
    <xf numFmtId="0" fontId="0" fillId="3" borderId="30" xfId="0" applyFill="1" applyBorder="1"/>
    <xf numFmtId="0" fontId="0" fillId="3" borderId="31" xfId="0" applyFill="1" applyBorder="1"/>
    <xf numFmtId="1" fontId="0" fillId="3" borderId="31" xfId="0" applyNumberFormat="1" applyFill="1" applyBorder="1"/>
    <xf numFmtId="0" fontId="0" fillId="3" borderId="19" xfId="0" applyFill="1" applyBorder="1"/>
    <xf numFmtId="9" fontId="0" fillId="0" borderId="0" xfId="1" applyFont="1"/>
    <xf numFmtId="1" fontId="0" fillId="0" borderId="0" xfId="1" applyNumberFormat="1" applyFont="1"/>
    <xf numFmtId="164" fontId="0" fillId="0" borderId="0" xfId="0" applyNumberFormat="1"/>
    <xf numFmtId="0" fontId="0" fillId="0" borderId="20" xfId="0" applyBorder="1" applyAlignment="1" applyProtection="1">
      <alignment horizontal="center" vertical="center"/>
      <protection locked="0"/>
    </xf>
    <xf numFmtId="0" fontId="0" fillId="0" borderId="0" xfId="0" applyAlignment="1">
      <alignment horizontal="left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0" xfId="0" applyBorder="1" applyAlignment="1">
      <alignment horizont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7" fillId="0" borderId="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2" borderId="0" xfId="0" applyFill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9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57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68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2" borderId="44" xfId="0" applyFill="1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16" xfId="0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43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4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 vertical="center"/>
      <protection locked="0"/>
    </xf>
    <xf numFmtId="0" fontId="0" fillId="0" borderId="49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50" xfId="0" applyBorder="1" applyAlignment="1" applyProtection="1">
      <alignment horizontal="center" vertical="center"/>
      <protection locked="0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39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0" fillId="0" borderId="41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11" xfId="0" applyBorder="1" applyAlignment="1" applyProtection="1">
      <alignment horizontal="center" vertical="center" wrapText="1"/>
      <protection locked="0"/>
    </xf>
    <xf numFmtId="0" fontId="0" fillId="0" borderId="12" xfId="0" applyBorder="1" applyAlignment="1" applyProtection="1">
      <alignment horizontal="center" vertical="center" wrapText="1"/>
      <protection locked="0"/>
    </xf>
    <xf numFmtId="0" fontId="0" fillId="0" borderId="27" xfId="0" applyBorder="1" applyAlignment="1" applyProtection="1">
      <alignment horizontal="center" vertical="center" wrapText="1"/>
      <protection locked="0"/>
    </xf>
    <xf numFmtId="0" fontId="0" fillId="0" borderId="28" xfId="0" applyBorder="1" applyAlignment="1" applyProtection="1">
      <alignment horizontal="center" vertical="center" wrapText="1"/>
      <protection locked="0"/>
    </xf>
    <xf numFmtId="0" fontId="0" fillId="0" borderId="29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48" xfId="0" applyBorder="1" applyAlignment="1" applyProtection="1">
      <alignment horizontal="center" vertical="center"/>
      <protection locked="0"/>
    </xf>
    <xf numFmtId="0" fontId="0" fillId="0" borderId="6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8" xfId="0" applyFill="1" applyBorder="1" applyAlignment="1">
      <alignment horizontal="left" vertical="center" wrapText="1"/>
    </xf>
    <xf numFmtId="0" fontId="0" fillId="2" borderId="3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1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8" xfId="0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42" xfId="0" applyBorder="1"/>
    <xf numFmtId="0" fontId="0" fillId="0" borderId="63" xfId="0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0" fillId="0" borderId="65" xfId="0" applyBorder="1" applyAlignment="1">
      <alignment horizontal="left" vertical="center"/>
    </xf>
    <xf numFmtId="0" fontId="0" fillId="0" borderId="6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2" borderId="63" xfId="0" applyFill="1" applyBorder="1" applyAlignment="1">
      <alignment horizontal="left" vertical="center"/>
    </xf>
    <xf numFmtId="0" fontId="0" fillId="2" borderId="64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0" fillId="2" borderId="67" xfId="0" applyFill="1" applyBorder="1" applyAlignment="1">
      <alignment horizontal="left" vertical="center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0" xfId="0" applyBorder="1"/>
    <xf numFmtId="0" fontId="0" fillId="2" borderId="0" xfId="0" applyFill="1" applyBorder="1"/>
    <xf numFmtId="0" fontId="0" fillId="2" borderId="24" xfId="0" applyFill="1" applyBorder="1"/>
    <xf numFmtId="0" fontId="0" fillId="0" borderId="0" xfId="0" applyBorder="1" applyAlignment="1">
      <alignment horizontal="left"/>
    </xf>
    <xf numFmtId="2" fontId="0" fillId="0" borderId="19" xfId="0" applyNumberFormat="1" applyBorder="1"/>
    <xf numFmtId="2" fontId="0" fillId="0" borderId="30" xfId="0" applyNumberFormat="1" applyBorder="1"/>
    <xf numFmtId="2" fontId="0" fillId="2" borderId="23" xfId="0" applyNumberFormat="1" applyFill="1" applyBorder="1"/>
    <xf numFmtId="2" fontId="0" fillId="2" borderId="35" xfId="0" applyNumberFormat="1" applyFill="1" applyBorder="1"/>
  </cellXfs>
  <cellStyles count="2">
    <cellStyle name="Обычный" xfId="0" builtinId="0"/>
    <cellStyle name="Процентный" xfId="1" builtinId="5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969267439622231E-2"/>
          <c:y val="6.6782407407407401E-2"/>
          <c:w val="0.3089881291728428"/>
          <c:h val="0.84685277777777779"/>
        </c:manualLayout>
      </c:layout>
      <c:pieChart>
        <c:varyColors val="1"/>
        <c:ser>
          <c:idx val="2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006B-EA4F-8712-708147C464D7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006B-EA4F-8712-708147C464D7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006B-EA4F-8712-708147C464D7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006B-EA4F-8712-708147C464D7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006B-EA4F-8712-708147C464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'Діаграма споживання'!$A$1:$A$5</c:f>
              <c:strCache>
                <c:ptCount val="5"/>
                <c:pt idx="0">
                  <c:v>Річне енергоспоживання при опаленні</c:v>
                </c:pt>
                <c:pt idx="1">
                  <c:v>Річне енергоспоживання при охолодженні</c:v>
                </c:pt>
                <c:pt idx="2">
                  <c:v>Річне енергоспоживання при постачанні гарячої води</c:v>
                </c:pt>
                <c:pt idx="3">
                  <c:v>Річне енергоспоживання при вентиляції</c:v>
                </c:pt>
                <c:pt idx="4">
                  <c:v>Річний обсяг енергоспоживання при освітленні</c:v>
                </c:pt>
              </c:strCache>
            </c:strRef>
          </c:cat>
          <c:val>
            <c:numRef>
              <c:f>'Діаграма споживання'!$B$1:$B$5</c:f>
              <c:numCache>
                <c:formatCode>General</c:formatCode>
                <c:ptCount val="5"/>
                <c:pt idx="0" formatCode="0">
                  <c:v>52066.031987479037</c:v>
                </c:pt>
                <c:pt idx="1">
                  <c:v>19970.413627394471</c:v>
                </c:pt>
                <c:pt idx="2" formatCode="0">
                  <c:v>61185.707812500004</c:v>
                </c:pt>
                <c:pt idx="3" formatCode="0">
                  <c:v>2699.797593775721</c:v>
                </c:pt>
                <c:pt idx="4">
                  <c:v>256632.08399999997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006B-EA4F-8712-708147C464D7}"/>
            </c:ext>
          </c:extLst>
        </c:ser>
        <c:ser>
          <c:idx val="3"/>
          <c:order val="1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006B-EA4F-8712-708147C464D7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006B-EA4F-8712-708147C464D7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006B-EA4F-8712-708147C464D7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6-006B-EA4F-8712-708147C464D7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006B-EA4F-8712-708147C464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'Діаграма споживання'!$A$1:$A$5</c:f>
              <c:strCache>
                <c:ptCount val="5"/>
                <c:pt idx="0">
                  <c:v>Річне енергоспоживання при опаленні</c:v>
                </c:pt>
                <c:pt idx="1">
                  <c:v>Річне енергоспоживання при охолодженні</c:v>
                </c:pt>
                <c:pt idx="2">
                  <c:v>Річне енергоспоживання при постачанні гарячої води</c:v>
                </c:pt>
                <c:pt idx="3">
                  <c:v>Річне енергоспоживання при вентиляції</c:v>
                </c:pt>
                <c:pt idx="4">
                  <c:v>Річний обсяг енергоспоживання при освітленні</c:v>
                </c:pt>
              </c:strCache>
            </c:strRef>
          </c:cat>
          <c:val>
            <c:numRef>
              <c:f>'Діаграма споживання'!$B$1:$B$5</c:f>
              <c:numCache>
                <c:formatCode>General</c:formatCode>
                <c:ptCount val="5"/>
                <c:pt idx="0" formatCode="0">
                  <c:v>52066.031987479037</c:v>
                </c:pt>
                <c:pt idx="1">
                  <c:v>19970.413627394471</c:v>
                </c:pt>
                <c:pt idx="2" formatCode="0">
                  <c:v>61185.707812500004</c:v>
                </c:pt>
                <c:pt idx="3" formatCode="0">
                  <c:v>2699.797593775721</c:v>
                </c:pt>
                <c:pt idx="4">
                  <c:v>256632.08399999997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006B-EA4F-8712-708147C464D7}"/>
            </c:ext>
          </c:extLst>
        </c:ser>
        <c:ser>
          <c:idx val="1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006B-EA4F-8712-708147C464D7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006B-EA4F-8712-708147C464D7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006B-EA4F-8712-708147C464D7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006B-EA4F-8712-708147C464D7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006B-EA4F-8712-708147C464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'Діаграма споживання'!$A$1:$A$5</c:f>
              <c:strCache>
                <c:ptCount val="5"/>
                <c:pt idx="0">
                  <c:v>Річне енергоспоживання при опаленні</c:v>
                </c:pt>
                <c:pt idx="1">
                  <c:v>Річне енергоспоживання при охолодженні</c:v>
                </c:pt>
                <c:pt idx="2">
                  <c:v>Річне енергоспоживання при постачанні гарячої води</c:v>
                </c:pt>
                <c:pt idx="3">
                  <c:v>Річне енергоспоживання при вентиляції</c:v>
                </c:pt>
                <c:pt idx="4">
                  <c:v>Річний обсяг енергоспоживання при освітленні</c:v>
                </c:pt>
              </c:strCache>
            </c:strRef>
          </c:cat>
          <c:val>
            <c:numRef>
              <c:f>'Діаграма споживання'!$B$1:$B$5</c:f>
              <c:numCache>
                <c:formatCode>General</c:formatCode>
                <c:ptCount val="5"/>
                <c:pt idx="0" formatCode="0">
                  <c:v>52066.031987479037</c:v>
                </c:pt>
                <c:pt idx="1">
                  <c:v>19970.413627394471</c:v>
                </c:pt>
                <c:pt idx="2" formatCode="0">
                  <c:v>61185.707812500004</c:v>
                </c:pt>
                <c:pt idx="3" formatCode="0">
                  <c:v>2699.797593775721</c:v>
                </c:pt>
                <c:pt idx="4">
                  <c:v>256632.08399999997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006B-EA4F-8712-708147C464D7}"/>
            </c:ext>
          </c:extLst>
        </c:ser>
        <c:ser>
          <c:idx val="0"/>
          <c:order val="3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006B-EA4F-8712-708147C464D7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006B-EA4F-8712-708147C464D7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006B-EA4F-8712-708147C464D7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006B-EA4F-8712-708147C464D7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006B-EA4F-8712-708147C464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'Діаграма споживання'!$A$1:$A$5</c:f>
              <c:strCache>
                <c:ptCount val="5"/>
                <c:pt idx="0">
                  <c:v>Річне енергоспоживання при опаленні</c:v>
                </c:pt>
                <c:pt idx="1">
                  <c:v>Річне енергоспоживання при охолодженні</c:v>
                </c:pt>
                <c:pt idx="2">
                  <c:v>Річне енергоспоживання при постачанні гарячої води</c:v>
                </c:pt>
                <c:pt idx="3">
                  <c:v>Річне енергоспоживання при вентиляції</c:v>
                </c:pt>
                <c:pt idx="4">
                  <c:v>Річний обсяг енергоспоживання при освітленні</c:v>
                </c:pt>
              </c:strCache>
            </c:strRef>
          </c:cat>
          <c:val>
            <c:numRef>
              <c:f>'Діаграма споживання'!$B$1:$B$5</c:f>
              <c:numCache>
                <c:formatCode>General</c:formatCode>
                <c:ptCount val="5"/>
                <c:pt idx="0" formatCode="0">
                  <c:v>52066.031987479037</c:v>
                </c:pt>
                <c:pt idx="1">
                  <c:v>19970.413627394471</c:v>
                </c:pt>
                <c:pt idx="2" formatCode="0">
                  <c:v>61185.707812500004</c:v>
                </c:pt>
                <c:pt idx="3" formatCode="0">
                  <c:v>2699.797593775721</c:v>
                </c:pt>
                <c:pt idx="4">
                  <c:v>256632.08399999997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006B-EA4F-8712-708147C464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0936662557524578"/>
          <c:y val="2.9398148148148149E-2"/>
          <c:w val="0.58869962034803491"/>
          <c:h val="0.76603009259259247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UA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604837</xdr:colOff>
      <xdr:row>0</xdr:row>
      <xdr:rowOff>2</xdr:rowOff>
    </xdr:from>
    <xdr:to>
      <xdr:col>13</xdr:col>
      <xdr:colOff>19237</xdr:colOff>
      <xdr:row>11</xdr:row>
      <xdr:rowOff>64502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DD464008-54E9-4F3A-89CD-9D6AC4F7D2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7ECCEC-ACE7-451B-B83D-FAECD9E50341}" autoFormatId="16" applyNumberFormats="0" applyBorderFormats="0" applyFontFormats="0" applyPatternFormats="0" applyAlignmentFormats="0" applyWidthHeightFormats="0">
  <queryTableRefresh nextId="9">
    <queryTableFields count="6">
      <queryTableField id="1" name="Поверх" tableColumnId="1"/>
      <queryTableField id="2" name="Площа" tableColumnId="2"/>
      <queryTableField id="5" name="Кількість" tableColumnId="5"/>
      <queryTableField id="6" name="Висота" tableColumnId="6"/>
      <queryTableField id="3" name="Загальна площа" tableColumnId="3"/>
      <queryTableField id="4" name="Загальний об'єм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6DEFA3BA-ABBE-467E-BEC6-6911B5B102E8}" autoFormatId="16" applyNumberFormats="0" applyBorderFormats="0" applyFontFormats="0" applyPatternFormats="0" applyAlignmentFormats="0" applyWidthHeightFormats="0">
  <queryTableRefresh nextId="7">
    <queryTableFields count="6">
      <queryTableField id="1" name="Тип" tableColumnId="1"/>
      <queryTableField id="2" name="пн" tableColumnId="2"/>
      <queryTableField id="3" name="сх" tableColumnId="3"/>
      <queryTableField id="4" name="пд" tableColumnId="4"/>
      <queryTableField id="5" name="зх" tableColumnId="5"/>
      <queryTableField id="6" name="Загальна площа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5BB4A658-61E5-461B-A294-4DCD298F5F21}" autoFormatId="16" applyNumberFormats="0" applyBorderFormats="0" applyFontFormats="0" applyPatternFormats="0" applyAlignmentFormats="0" applyWidthHeightFormats="0">
  <queryTableRefresh nextId="7">
    <queryTableFields count="6">
      <queryTableField id="1" name="Тип" tableColumnId="1"/>
      <queryTableField id="2" name="пн" tableColumnId="2"/>
      <queryTableField id="3" name="сх" tableColumnId="3"/>
      <queryTableField id="4" name="пд" tableColumnId="4"/>
      <queryTableField id="5" name="зх" tableColumnId="5"/>
      <queryTableField id="6" name="Загальна площа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3F6C0A4C-FB28-4BE3-9284-8D769B2BBD0F}" autoFormatId="16" applyNumberFormats="0" applyBorderFormats="0" applyFontFormats="0" applyPatternFormats="0" applyAlignmentFormats="0" applyWidthHeightFormats="0">
  <queryTableRefresh nextId="7">
    <queryTableFields count="6">
      <queryTableField id="1" name="Тип" tableColumnId="1"/>
      <queryTableField id="2" name="пн" tableColumnId="2"/>
      <queryTableField id="3" name="сх" tableColumnId="3"/>
      <queryTableField id="4" name="пд" tableColumnId="4"/>
      <queryTableField id="5" name="зх" tableColumnId="5"/>
      <queryTableField id="6" name="Загальна площа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4" xr16:uid="{AAB98DAC-6C64-4E42-B5DD-97AFA8802B97}" autoFormatId="16" applyNumberFormats="0" applyBorderFormats="0" applyFontFormats="0" applyPatternFormats="0" applyAlignmentFormats="0" applyWidthHeightFormats="0">
  <queryTableRefresh nextId="7">
    <queryTableFields count="6">
      <queryTableField id="1" name="Тип" tableColumnId="1"/>
      <queryTableField id="2" name="пн" tableColumnId="2"/>
      <queryTableField id="3" name="сх" tableColumnId="3"/>
      <queryTableField id="4" name="пд" tableColumnId="4"/>
      <queryTableField id="5" name="зх" tableColumnId="5"/>
      <queryTableField id="6" name="Загальна площа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C6CEE1E0-3448-45D5-B243-4AC10603A7C7}" autoFormatId="16" applyNumberFormats="0" applyBorderFormats="0" applyFontFormats="0" applyPatternFormats="0" applyAlignmentFormats="0" applyWidthHeightFormats="0">
  <queryTableRefresh nextId="7">
    <queryTableFields count="6">
      <queryTableField id="1" name="Тип" tableColumnId="1"/>
      <queryTableField id="2" name="пн" tableColumnId="2"/>
      <queryTableField id="3" name="сх" tableColumnId="3"/>
      <queryTableField id="4" name="пд" tableColumnId="4"/>
      <queryTableField id="5" name="зх" tableColumnId="5"/>
      <queryTableField id="6" name="Загальна площа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4C8DBE7B-410B-4F4F-8645-8996373A8EBE}" autoFormatId="16" applyNumberFormats="0" applyBorderFormats="0" applyFontFormats="0" applyPatternFormats="0" applyAlignmentFormats="0" applyWidthHeightFormats="0">
  <queryTableRefresh nextId="7">
    <queryTableFields count="6">
      <queryTableField id="1" name="Тип" tableColumnId="1"/>
      <queryTableField id="2" name="пн" tableColumnId="2"/>
      <queryTableField id="3" name="сх" tableColumnId="3"/>
      <queryTableField id="4" name="пд" tableColumnId="4"/>
      <queryTableField id="5" name="зх" tableColumnId="5"/>
      <queryTableField id="6" name="Загальна площа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77690C-4473-464C-AFA4-3E84E58CDB6D}" name="list_of_windows" displayName="list_of_windows" ref="B3:E16" totalsRowShown="0">
  <autoFilter ref="B3:E16" xr:uid="{BF77690C-4473-464C-AFA4-3E84E58CDB6D}">
    <filterColumn colId="0" hiddenButton="1"/>
    <filterColumn colId="1" hiddenButton="1"/>
    <filterColumn colId="2" hiddenButton="1"/>
    <filterColumn colId="3" hiddenButton="1"/>
  </autoFilter>
  <tableColumns count="4">
    <tableColumn id="1" xr3:uid="{756E629C-3321-40D5-904D-DE05170C5DB6}" name="Тип" dataDxfId="17"/>
    <tableColumn id="2" xr3:uid="{FFB1622B-2C6D-4FC7-B951-FDF0A551F240}" name="Висота" dataDxfId="16"/>
    <tableColumn id="3" xr3:uid="{67FE94A8-035E-49A3-B3CF-743D246D63D7}" name="Ширина" dataDxfId="15"/>
    <tableColumn id="4" xr3:uid="{37C62D7B-8E2F-4484-8F68-16AFA0EFE1B7}" name="Площа" dataDxfId="1">
      <calculatedColumnFormula>ROUND(PRODUCT(list_of_windows[[#This Row],[Висота]:[Ширина]]),2)</calculatedColumnFormula>
    </tableColumn>
  </tableColumns>
  <tableStyleInfo name="TableStyleMedium2" showFirstColumn="0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8A6575-0270-4D3C-9917-CA2B50634E23}" name="list_of_doors" displayName="list_of_doors" ref="G3:J5" totalsRowShown="0">
  <autoFilter ref="G3:J5" xr:uid="{1F8A6575-0270-4D3C-9917-CA2B50634E23}">
    <filterColumn colId="0" hiddenButton="1"/>
    <filterColumn colId="1" hiddenButton="1"/>
    <filterColumn colId="2" hiddenButton="1"/>
    <filterColumn colId="3" hiddenButton="1"/>
  </autoFilter>
  <tableColumns count="4">
    <tableColumn id="1" xr3:uid="{8F20D920-D0E6-41FE-BE9D-5D4BF3D0BD45}" name="Тип" dataDxfId="14"/>
    <tableColumn id="2" xr3:uid="{E5405061-E989-4349-A484-B34F5B287F81}" name="Висота" dataDxfId="13"/>
    <tableColumn id="3" xr3:uid="{F809A669-67C8-4A11-9B54-A239B43F2728}" name="Ширина" dataDxfId="12"/>
    <tableColumn id="4" xr3:uid="{6E1DE065-816B-4D98-8DE8-E18C911AF6B2}" name="Площа" dataDxfId="0">
      <calculatedColumnFormula>ROUND(PRODUCT(list_of_doors[[#This Row],[Висота]:[Ширина]]),2)</calculatedColumnFormula>
    </tableColumn>
  </tableColumns>
  <tableStyleInfo name="TableStyleMedium2" showFirstColumn="0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906AAC-516D-4C54-9F2E-B95493549DC4}" name="areasAndVolumes" displayName="areasAndVolumes" ref="A2:F7" tableType="queryTable" totalsRowCount="1">
  <autoFilter ref="A2:F6" xr:uid="{F5906AAC-516D-4C54-9F2E-B95493549D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9E1E4C1-783A-4636-9D53-E522CC53ED3A}" uniqueName="1" name="Поверх" totalsRowLabel="Підсумок" queryTableFieldId="1" dataDxfId="11"/>
    <tableColumn id="2" xr3:uid="{B4508ECA-A8B5-4807-B5E3-E7BA112F65FD}" uniqueName="2" name="Площа" queryTableFieldId="2"/>
    <tableColumn id="5" xr3:uid="{232F9D87-CFCC-41F7-BB1C-18D476718C8F}" uniqueName="5" name="Кількість" totalsRowFunction="sum" queryTableFieldId="5"/>
    <tableColumn id="6" xr3:uid="{78480595-C25A-4905-9AF4-25952ECC9219}" uniqueName="6" name="Висота" totalsRowFunction="sum" queryTableFieldId="6"/>
    <tableColumn id="3" xr3:uid="{0FDA5ECA-00C5-49A7-8F89-69032C0CC081}" uniqueName="3" name="Загальна площа" totalsRowFunction="sum" queryTableFieldId="3" dataDxfId="10"/>
    <tableColumn id="4" xr3:uid="{6A9E0604-FB3A-42B6-A24C-EED7EF75EB34}" uniqueName="4" name="Загальний об'єм" totalsRowFunction="sum" queryTableFieldId="4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52432C-9CE7-41C0-9587-97D72671E6DF}" name="wallsToEnvironment" displayName="wallsToEnvironment" ref="H2:M9" tableType="queryTable" totalsRowCount="1">
  <autoFilter ref="H2:M8" xr:uid="{AF52432C-9CE7-41C0-9587-97D72671E6D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CE1DEB5-D921-40AF-99B7-A0121E640C06}" uniqueName="1" name="Тип" totalsRowLabel="Підсумок" queryTableFieldId="1" dataDxfId="8"/>
    <tableColumn id="2" xr3:uid="{D247EB8C-A4D7-452A-BECC-FC993DDC4B79}" uniqueName="2" name="пн" totalsRowFunction="sum" queryTableFieldId="2" dataDxfId="7"/>
    <tableColumn id="3" xr3:uid="{EC4B6072-FD62-4C26-A819-2A55804E3DDC}" uniqueName="3" name="сх" totalsRowFunction="sum" queryTableFieldId="3"/>
    <tableColumn id="4" xr3:uid="{3DED4B4F-B558-4D19-BEB2-5CCBC3017312}" uniqueName="4" name="пд" totalsRowFunction="sum" queryTableFieldId="4" dataDxfId="6"/>
    <tableColumn id="5" xr3:uid="{1C1A1192-209F-4695-9F7B-3BDCC355F024}" uniqueName="5" name="зх" totalsRowFunction="sum" queryTableFieldId="5"/>
    <tableColumn id="6" xr3:uid="{B0E66053-CD48-44EF-8BA9-27CA7E7E7BEB}" uniqueName="6" name="Загальна площа" totalsRowFunction="sum" queryTableFieldId="6" dataDxfId="5"/>
  </tableColumns>
  <tableStyleInfo name="TableStyleMedium7" showFirstColumn="0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72B1CF-9F58-49F8-9701-43DC8D074822}" name="wallsToUnconditionedVolume" displayName="wallsToUnconditionedVolume" ref="O2:T9" tableType="queryTable" totalsRowCount="1">
  <autoFilter ref="O2:T8" xr:uid="{6B72B1CF-9F58-49F8-9701-43DC8D07482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157C273-13F0-4752-ACC4-294F6D89433A}" uniqueName="1" name="Тип" totalsRowLabel="Підсумок" queryTableFieldId="1" dataDxfId="4"/>
    <tableColumn id="2" xr3:uid="{F6DF54F3-5CBD-430E-8629-118F4B23DF9C}" uniqueName="2" name="пн" totalsRowFunction="sum" queryTableFieldId="2"/>
    <tableColumn id="3" xr3:uid="{625C6CE8-F035-4272-BAAB-165E7BBFCDDD}" uniqueName="3" name="сх" totalsRowFunction="sum" queryTableFieldId="3" dataDxfId="3"/>
    <tableColumn id="4" xr3:uid="{AF3436EB-5F9B-4961-826F-2E01E532548B}" uniqueName="4" name="пд" totalsRowFunction="sum" queryTableFieldId="4"/>
    <tableColumn id="5" xr3:uid="{61ABC41F-D846-4AD0-8F1D-EB9B89F4674A}" uniqueName="5" name="зх" totalsRowFunction="sum" queryTableFieldId="5"/>
    <tableColumn id="6" xr3:uid="{FD200165-A896-4318-9DFF-312BE56CA520}" uniqueName="6" name="Загальна площа" totalsRowFunction="sum" queryTableFieldId="6"/>
  </tableColumns>
  <tableStyleInfo name="TableStyleMedium7" showFirstColumn="0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68C888-E42A-4438-8A91-9DEFFA935D42}" name="windowsToEnviroment" displayName="windowsToEnviroment" ref="V2:AA15" tableType="queryTable" totalsRowCount="1">
  <autoFilter ref="V2:AA14" xr:uid="{4D68C888-E42A-4438-8A91-9DEFFA935D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12185DE-76E2-4F3B-98E5-02DBBEB1584A}" uniqueName="1" name="Тип" totalsRowLabel="Підсумок" queryTableFieldId="1"/>
    <tableColumn id="2" xr3:uid="{59266BC1-0493-4B3A-BBE4-39B916013256}" uniqueName="2" name="пн" totalsRowFunction="sum" queryTableFieldId="2"/>
    <tableColumn id="3" xr3:uid="{4BFA1CD8-F9D7-4314-A9B9-D325FFB507BB}" uniqueName="3" name="сх" totalsRowFunction="sum" queryTableFieldId="3"/>
    <tableColumn id="4" xr3:uid="{CBB33920-9861-48B1-AEAF-5E3634B21807}" uniqueName="4" name="пд" totalsRowFunction="sum" queryTableFieldId="4"/>
    <tableColumn id="5" xr3:uid="{61849792-3F3C-4CC5-9A5D-819EB8CE53BC}" uniqueName="5" name="зх" totalsRowFunction="sum" queryTableFieldId="5"/>
    <tableColumn id="6" xr3:uid="{34ECA3AB-777F-42F3-A69D-12658D6689CC}" uniqueName="6" name="Загальна площа" totalsRowFunction="sum" queryTableFieldId="6"/>
  </tableColumns>
  <tableStyleInfo name="TableStyleMedium7" showFirstColumn="0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418962-8FCD-4762-B264-1C79CF85A512}" name="windowsToUnconditionedVolume" displayName="windowsToUnconditionedVolume" ref="AC2:AH5" tableType="queryTable" totalsRowCount="1">
  <autoFilter ref="AC2:AH4" xr:uid="{96418962-8FCD-4762-B264-1C79CF85A5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A698C0D-7682-4B14-B1CA-6837765633D3}" uniqueName="1" name="Тип" totalsRowLabel="Підсумок" queryTableFieldId="1" dataDxfId="2"/>
    <tableColumn id="2" xr3:uid="{3AAA9396-A751-44BE-A6F9-295A068E3EC3}" uniqueName="2" name="пн" totalsRowFunction="sum" queryTableFieldId="2"/>
    <tableColumn id="3" xr3:uid="{53F949B0-99E8-4BBB-9DE1-B75C06F2EF25}" uniqueName="3" name="сх" totalsRowFunction="sum" queryTableFieldId="3"/>
    <tableColumn id="4" xr3:uid="{EAFC4697-CBFC-4A38-BE5F-0FBDCFDC3F43}" uniqueName="4" name="пд" totalsRowFunction="sum" queryTableFieldId="4"/>
    <tableColumn id="5" xr3:uid="{EA1A80E8-37D8-4024-A283-CB301C7D52DD}" uniqueName="5" name="зх" totalsRowFunction="sum" queryTableFieldId="5"/>
    <tableColumn id="6" xr3:uid="{B27A93B0-86AF-4071-94F0-BB282A41F445}" uniqueName="6" name="Загальна площа" totalsRowFunction="sum" queryTableFieldId="6"/>
  </tableColumns>
  <tableStyleInfo name="TableStyleMedium7" showFirstColumn="0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70F342-C67C-4073-AE30-CA9180AA77C1}" name="doorsToEnvironment" displayName="doorsToEnvironment" ref="AJ2:AO5" tableType="queryTable" totalsRowCount="1">
  <autoFilter ref="AJ2:AO4" xr:uid="{3970F342-C67C-4073-AE30-CA9180AA77C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A123E97-4DC7-4F3F-8A99-43BE70DF01A5}" uniqueName="1" name="Тип" totalsRowLabel="Підсумок" queryTableFieldId="1"/>
    <tableColumn id="2" xr3:uid="{69C48454-C0EF-4BD2-8471-6D7C35A64731}" uniqueName="2" name="пн" totalsRowFunction="sum" queryTableFieldId="2"/>
    <tableColumn id="3" xr3:uid="{567061B0-0DB7-4F80-A6CF-B45B8FDE7ED5}" uniqueName="3" name="сх" totalsRowFunction="sum" queryTableFieldId="3"/>
    <tableColumn id="4" xr3:uid="{EED33BBB-04C5-4DE6-8AA4-EC672279B522}" uniqueName="4" name="пд" totalsRowFunction="sum" queryTableFieldId="4"/>
    <tableColumn id="5" xr3:uid="{F8BCB3A1-FB10-4211-9EBD-D1C8DA284E3C}" uniqueName="5" name="зх" totalsRowFunction="sum" queryTableFieldId="5"/>
    <tableColumn id="6" xr3:uid="{9D302B30-4146-46BD-BCBB-DF127D8BA729}" uniqueName="6" name="Загальна площа" totalsRowFunction="sum" queryTableFieldId="6"/>
  </tableColumns>
  <tableStyleInfo name="TableStyleMedium7" showFirstColumn="0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EA5522-F190-471B-84BF-55A5290C1930}" name="doorsToUnconditionedVolume" displayName="doorsToUnconditionedVolume" ref="AQ2:AV4" tableType="queryTable" insertRow="1" totalsRowCount="1">
  <autoFilter ref="AQ2:AV3" xr:uid="{7DEA5522-F190-471B-84BF-55A5290C19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AE9390E-A38B-421A-A8C9-0317411B3997}" uniqueName="1" name="Тип" totalsRowLabel="Підсумок" queryTableFieldId="1"/>
    <tableColumn id="2" xr3:uid="{9D465164-C46C-4A18-9C96-5BAAB006A13D}" uniqueName="2" name="пн" totalsRowFunction="sum" queryTableFieldId="2"/>
    <tableColumn id="3" xr3:uid="{B7C49827-70E4-4C80-91FC-CA41F34AA68B}" uniqueName="3" name="сх" totalsRowFunction="sum" queryTableFieldId="3"/>
    <tableColumn id="4" xr3:uid="{327F836C-8F18-4F13-92D3-FCCB1498AE2D}" uniqueName="4" name="пд" totalsRowFunction="sum" queryTableFieldId="4"/>
    <tableColumn id="5" xr3:uid="{D56AF8D6-8B37-4037-9E5B-107AEFEF4813}" uniqueName="5" name="зх" totalsRowFunction="sum" queryTableFieldId="5"/>
    <tableColumn id="6" xr3:uid="{B9CE0A6C-9E76-48EC-9738-13EED43A1A27}" uniqueName="6" name="Загальна площа" totalsRowFunction="count" queryTableFieldId="6"/>
  </tableColumns>
  <tableStyleInfo name="TableStyleMedium7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Настроювані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E0207"/>
      </a:accent1>
      <a:accent2>
        <a:srgbClr val="0000C9"/>
      </a:accent2>
      <a:accent3>
        <a:srgbClr val="D08003"/>
      </a:accent3>
      <a:accent4>
        <a:srgbClr val="678BFE"/>
      </a:accent4>
      <a:accent5>
        <a:srgbClr val="E6F25C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00F2-3996-4BCB-88B0-7D0AC134041E}">
  <sheetPr codeName="Аркуш1">
    <tabColor theme="7"/>
  </sheetPr>
  <dimension ref="B2:J16"/>
  <sheetViews>
    <sheetView zoomScale="165" workbookViewId="0">
      <selection activeCell="F1" sqref="F1:F1048576"/>
    </sheetView>
  </sheetViews>
  <sheetFormatPr baseColWidth="10" defaultColWidth="8.83203125" defaultRowHeight="15" x14ac:dyDescent="0.2"/>
  <cols>
    <col min="1" max="1" width="1.83203125" customWidth="1"/>
    <col min="3" max="3" width="9.33203125" customWidth="1"/>
    <col min="4" max="4" width="10.5" customWidth="1"/>
    <col min="5" max="5" width="9.5" customWidth="1"/>
    <col min="8" max="8" width="9.33203125" customWidth="1"/>
    <col min="9" max="9" width="10.5" customWidth="1"/>
    <col min="10" max="10" width="9.5" customWidth="1"/>
  </cols>
  <sheetData>
    <row r="2" spans="2:10" x14ac:dyDescent="0.2">
      <c r="B2" s="160" t="s">
        <v>21</v>
      </c>
      <c r="C2" s="160"/>
      <c r="D2" s="160"/>
      <c r="E2" s="160"/>
      <c r="G2" s="160" t="s">
        <v>22</v>
      </c>
      <c r="H2" s="160"/>
      <c r="I2" s="160"/>
      <c r="J2" s="160"/>
    </row>
    <row r="3" spans="2:10" x14ac:dyDescent="0.2">
      <c r="B3" t="s">
        <v>6</v>
      </c>
      <c r="C3" t="s">
        <v>5</v>
      </c>
      <c r="D3" t="s">
        <v>7</v>
      </c>
      <c r="E3" t="s">
        <v>1</v>
      </c>
      <c r="G3" t="s">
        <v>6</v>
      </c>
      <c r="H3" t="s">
        <v>5</v>
      </c>
      <c r="I3" t="s">
        <v>7</v>
      </c>
      <c r="J3" t="s">
        <v>1</v>
      </c>
    </row>
    <row r="4" spans="2:10" x14ac:dyDescent="0.2">
      <c r="B4" s="1" t="s">
        <v>8</v>
      </c>
      <c r="C4" s="2">
        <v>2.4</v>
      </c>
      <c r="D4" s="2">
        <v>1.84</v>
      </c>
      <c r="E4">
        <f>ROUND(PRODUCT(list_of_windows[[#This Row],[Висота]:[Ширина]]),2)</f>
        <v>4.42</v>
      </c>
      <c r="G4" s="1" t="s">
        <v>639</v>
      </c>
      <c r="H4" s="2">
        <v>2.1</v>
      </c>
      <c r="I4" s="2">
        <v>0.9</v>
      </c>
      <c r="J4">
        <f>ROUND(PRODUCT(list_of_doors[[#This Row],[Висота]:[Ширина]]),2)</f>
        <v>1.89</v>
      </c>
    </row>
    <row r="5" spans="2:10" x14ac:dyDescent="0.2">
      <c r="B5" s="1" t="s">
        <v>9</v>
      </c>
      <c r="C5" s="2">
        <v>2.4</v>
      </c>
      <c r="D5" s="2">
        <v>1.84</v>
      </c>
      <c r="E5">
        <f>ROUND(PRODUCT(list_of_windows[[#This Row],[Висота]:[Ширина]]),2)</f>
        <v>4.42</v>
      </c>
      <c r="G5" s="1" t="s">
        <v>20</v>
      </c>
      <c r="H5" s="2">
        <v>2.1</v>
      </c>
      <c r="I5" s="2">
        <v>1.3</v>
      </c>
      <c r="J5">
        <f>ROUND(PRODUCT(list_of_doors[[#This Row],[Висота]:[Ширина]]),2)</f>
        <v>2.73</v>
      </c>
    </row>
    <row r="6" spans="2:10" x14ac:dyDescent="0.2">
      <c r="B6" s="1" t="s">
        <v>10</v>
      </c>
      <c r="C6" s="2">
        <v>2.4</v>
      </c>
      <c r="D6" s="2">
        <v>0.9</v>
      </c>
      <c r="E6">
        <f>ROUND(PRODUCT(list_of_windows[[#This Row],[Висота]:[Ширина]]),2)</f>
        <v>2.16</v>
      </c>
    </row>
    <row r="7" spans="2:10" x14ac:dyDescent="0.2">
      <c r="B7" s="1" t="s">
        <v>11</v>
      </c>
      <c r="C7" s="2">
        <v>2.1</v>
      </c>
      <c r="D7" s="2">
        <v>1.3</v>
      </c>
      <c r="E7">
        <f>ROUND(PRODUCT(list_of_windows[[#This Row],[Висота]:[Ширина]]),2)</f>
        <v>2.73</v>
      </c>
    </row>
    <row r="8" spans="2:10" x14ac:dyDescent="0.2">
      <c r="B8" s="1" t="s">
        <v>12</v>
      </c>
      <c r="C8" s="2">
        <v>1.8</v>
      </c>
      <c r="D8" s="2">
        <v>0.75</v>
      </c>
      <c r="E8">
        <f>ROUND(PRODUCT(list_of_windows[[#This Row],[Висота]:[Ширина]]),2)</f>
        <v>1.35</v>
      </c>
    </row>
    <row r="9" spans="2:10" x14ac:dyDescent="0.2">
      <c r="B9" s="1" t="s">
        <v>13</v>
      </c>
      <c r="C9" s="2">
        <v>1.8</v>
      </c>
      <c r="D9" s="2">
        <v>1.04</v>
      </c>
      <c r="E9">
        <f>ROUND(PRODUCT(list_of_windows[[#This Row],[Висота]:[Ширина]]),2)</f>
        <v>1.87</v>
      </c>
    </row>
    <row r="10" spans="2:10" x14ac:dyDescent="0.2">
      <c r="B10" s="1" t="s">
        <v>14</v>
      </c>
      <c r="C10" s="2">
        <v>1.8</v>
      </c>
      <c r="D10" s="2">
        <v>1.2</v>
      </c>
      <c r="E10">
        <f>ROUND(PRODUCT(list_of_windows[[#This Row],[Висота]:[Ширина]]),2)</f>
        <v>2.16</v>
      </c>
    </row>
    <row r="11" spans="2:10" x14ac:dyDescent="0.2">
      <c r="B11" s="1" t="s">
        <v>15</v>
      </c>
      <c r="C11" s="2">
        <v>1.8</v>
      </c>
      <c r="D11" s="2">
        <v>1.5</v>
      </c>
      <c r="E11">
        <f>ROUND(PRODUCT(list_of_windows[[#This Row],[Висота]:[Ширина]]),2)</f>
        <v>2.7</v>
      </c>
    </row>
    <row r="12" spans="2:10" x14ac:dyDescent="0.2">
      <c r="B12" s="1" t="s">
        <v>16</v>
      </c>
      <c r="C12" s="2">
        <v>1.8</v>
      </c>
      <c r="D12" s="2">
        <v>1.8</v>
      </c>
      <c r="E12">
        <f>ROUND(PRODUCT(list_of_windows[[#This Row],[Висота]:[Ширина]]),2)</f>
        <v>3.24</v>
      </c>
    </row>
    <row r="13" spans="2:10" x14ac:dyDescent="0.2">
      <c r="B13" s="1" t="s">
        <v>17</v>
      </c>
      <c r="C13" s="2">
        <v>0.9</v>
      </c>
      <c r="D13" s="2">
        <v>1.8</v>
      </c>
      <c r="E13">
        <f>ROUND(PRODUCT(list_of_windows[[#This Row],[Висота]:[Ширина]]),2)</f>
        <v>1.62</v>
      </c>
    </row>
    <row r="14" spans="2:10" x14ac:dyDescent="0.2">
      <c r="B14" s="1" t="s">
        <v>18</v>
      </c>
      <c r="C14" s="2">
        <v>1.2</v>
      </c>
      <c r="D14" s="2">
        <f>3.72</f>
        <v>3.72</v>
      </c>
      <c r="E14">
        <f>ROUND(PRODUCT(list_of_windows[[#This Row],[Висота]:[Ширина]]),2)</f>
        <v>4.46</v>
      </c>
    </row>
    <row r="15" spans="2:10" x14ac:dyDescent="0.2">
      <c r="B15" s="1" t="s">
        <v>19</v>
      </c>
      <c r="C15" s="2">
        <v>2.4</v>
      </c>
      <c r="D15" s="2">
        <v>3.5</v>
      </c>
      <c r="E15">
        <f>ROUND(PRODUCT(list_of_windows[[#This Row],[Висота]:[Ширина]]),2)</f>
        <v>8.4</v>
      </c>
    </row>
    <row r="16" spans="2:10" x14ac:dyDescent="0.2">
      <c r="B16" s="1" t="s">
        <v>640</v>
      </c>
      <c r="C16" s="2">
        <v>2.6</v>
      </c>
      <c r="D16" s="2">
        <v>1.3</v>
      </c>
      <c r="E16">
        <f>ROUND(PRODUCT(list_of_windows[[#This Row],[Висота]:[Ширина]]),2)</f>
        <v>3.38</v>
      </c>
    </row>
  </sheetData>
  <mergeCells count="2">
    <mergeCell ref="B2:E2"/>
    <mergeCell ref="G2:J2"/>
  </mergeCells>
  <phoneticPr fontId="5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Аркуш2">
    <tabColor theme="7"/>
  </sheetPr>
  <dimension ref="A1:AV15"/>
  <sheetViews>
    <sheetView topLeftCell="E1" zoomScale="125" zoomScaleNormal="130" workbookViewId="0">
      <selection activeCell="AA23" sqref="AA23"/>
    </sheetView>
  </sheetViews>
  <sheetFormatPr baseColWidth="10" defaultColWidth="8.83203125" defaultRowHeight="15" x14ac:dyDescent="0.2"/>
  <cols>
    <col min="1" max="1" width="10.5" bestFit="1" customWidth="1"/>
    <col min="2" max="2" width="7.1640625" bestFit="1" customWidth="1"/>
    <col min="3" max="3" width="8.33203125" bestFit="1" customWidth="1"/>
    <col min="4" max="4" width="6.6640625" bestFit="1" customWidth="1"/>
    <col min="5" max="5" width="14" bestFit="1" customWidth="1"/>
    <col min="6" max="6" width="14.5" bestFit="1" customWidth="1"/>
    <col min="7" max="7" width="1.6640625" customWidth="1"/>
    <col min="8" max="8" width="9.1640625" bestFit="1" customWidth="1"/>
    <col min="9" max="11" width="7.1640625" bestFit="1" customWidth="1"/>
    <col min="12" max="12" width="2.83203125" bestFit="1" customWidth="1"/>
    <col min="13" max="13" width="14" bestFit="1" customWidth="1"/>
    <col min="14" max="14" width="1.6640625" customWidth="1"/>
    <col min="15" max="15" width="14.83203125" bestFit="1" customWidth="1"/>
    <col min="16" max="16" width="5.1640625" bestFit="1" customWidth="1"/>
    <col min="17" max="18" width="7.1640625" bestFit="1" customWidth="1"/>
    <col min="19" max="19" width="2.83203125" bestFit="1" customWidth="1"/>
    <col min="20" max="20" width="14" bestFit="1" customWidth="1"/>
    <col min="21" max="21" width="1.6640625" customWidth="1"/>
    <col min="22" max="22" width="8.6640625" bestFit="1" customWidth="1"/>
    <col min="23" max="23" width="7.1640625" bestFit="1" customWidth="1"/>
    <col min="24" max="24" width="5.1640625" bestFit="1" customWidth="1"/>
    <col min="25" max="25" width="7.1640625" bestFit="1" customWidth="1"/>
    <col min="26" max="26" width="2.83203125" bestFit="1" customWidth="1"/>
    <col min="27" max="27" width="14" bestFit="1" customWidth="1"/>
    <col min="28" max="28" width="1.6640625" customWidth="1"/>
    <col min="29" max="29" width="10.6640625" bestFit="1" customWidth="1"/>
    <col min="30" max="30" width="3.1640625" bestFit="1" customWidth="1"/>
    <col min="31" max="31" width="6.1640625" bestFit="1" customWidth="1"/>
    <col min="32" max="32" width="7.1640625" bestFit="1" customWidth="1"/>
    <col min="33" max="33" width="2.83203125" bestFit="1" customWidth="1"/>
    <col min="34" max="34" width="14" bestFit="1" customWidth="1"/>
    <col min="35" max="35" width="1.6640625" customWidth="1"/>
    <col min="36" max="36" width="8.6640625" bestFit="1" customWidth="1"/>
    <col min="37" max="37" width="5.1640625" bestFit="1" customWidth="1"/>
    <col min="38" max="38" width="2.83203125" bestFit="1" customWidth="1"/>
    <col min="39" max="39" width="3.1640625" bestFit="1" customWidth="1"/>
    <col min="40" max="40" width="2.83203125" bestFit="1" customWidth="1"/>
    <col min="41" max="41" width="14" bestFit="1" customWidth="1"/>
    <col min="42" max="42" width="1.6640625" customWidth="1"/>
    <col min="43" max="43" width="8.6640625" bestFit="1" customWidth="1"/>
    <col min="44" max="44" width="3.1640625" bestFit="1" customWidth="1"/>
    <col min="45" max="45" width="2.83203125" bestFit="1" customWidth="1"/>
    <col min="46" max="46" width="3.1640625" bestFit="1" customWidth="1"/>
    <col min="47" max="47" width="2.83203125" bestFit="1" customWidth="1"/>
    <col min="48" max="48" width="14" bestFit="1" customWidth="1"/>
  </cols>
  <sheetData>
    <row r="1" spans="1:48" x14ac:dyDescent="0.2">
      <c r="A1" s="160" t="s">
        <v>23</v>
      </c>
      <c r="B1" s="160"/>
      <c r="C1" s="160"/>
      <c r="D1" s="160"/>
      <c r="E1" s="160"/>
      <c r="F1" s="160"/>
      <c r="H1" s="160" t="s">
        <v>28</v>
      </c>
      <c r="I1" s="160"/>
      <c r="J1" s="160"/>
      <c r="K1" s="160"/>
      <c r="L1" s="160"/>
      <c r="M1" s="160"/>
      <c r="O1" s="160" t="s">
        <v>30</v>
      </c>
      <c r="P1" s="160"/>
      <c r="Q1" s="160"/>
      <c r="R1" s="160"/>
      <c r="S1" s="160"/>
      <c r="T1" s="160"/>
      <c r="V1" s="160" t="s">
        <v>39</v>
      </c>
      <c r="W1" s="160"/>
      <c r="X1" s="160"/>
      <c r="Y1" s="160"/>
      <c r="Z1" s="160"/>
      <c r="AA1" s="160"/>
      <c r="AC1" s="160" t="s">
        <v>43</v>
      </c>
      <c r="AD1" s="160"/>
      <c r="AE1" s="160"/>
      <c r="AF1" s="160"/>
      <c r="AG1" s="160"/>
      <c r="AH1" s="160"/>
      <c r="AJ1" s="160" t="s">
        <v>44</v>
      </c>
      <c r="AK1" s="160"/>
      <c r="AL1" s="160"/>
      <c r="AM1" s="160"/>
      <c r="AN1" s="160"/>
      <c r="AO1" s="160"/>
      <c r="AQ1" s="160" t="s">
        <v>45</v>
      </c>
      <c r="AR1" s="160"/>
      <c r="AS1" s="160"/>
      <c r="AT1" s="160"/>
      <c r="AU1" s="160"/>
      <c r="AV1" s="160"/>
    </row>
    <row r="2" spans="1:48" x14ac:dyDescent="0.2">
      <c r="A2" t="s">
        <v>0</v>
      </c>
      <c r="B2" t="s">
        <v>1</v>
      </c>
      <c r="C2" t="s">
        <v>4</v>
      </c>
      <c r="D2" t="s">
        <v>5</v>
      </c>
      <c r="E2" t="s">
        <v>2</v>
      </c>
      <c r="F2" t="s">
        <v>3</v>
      </c>
      <c r="H2" t="s">
        <v>6</v>
      </c>
      <c r="I2" t="s">
        <v>24</v>
      </c>
      <c r="J2" t="s">
        <v>25</v>
      </c>
      <c r="K2" t="s">
        <v>26</v>
      </c>
      <c r="L2" t="s">
        <v>27</v>
      </c>
      <c r="M2" t="s">
        <v>2</v>
      </c>
      <c r="O2" t="s">
        <v>6</v>
      </c>
      <c r="P2" t="s">
        <v>24</v>
      </c>
      <c r="Q2" t="s">
        <v>25</v>
      </c>
      <c r="R2" t="s">
        <v>26</v>
      </c>
      <c r="S2" t="s">
        <v>27</v>
      </c>
      <c r="T2" t="s">
        <v>2</v>
      </c>
      <c r="V2" t="s">
        <v>6</v>
      </c>
      <c r="W2" t="s">
        <v>24</v>
      </c>
      <c r="X2" t="s">
        <v>25</v>
      </c>
      <c r="Y2" t="s">
        <v>26</v>
      </c>
      <c r="Z2" t="s">
        <v>27</v>
      </c>
      <c r="AA2" t="s">
        <v>2</v>
      </c>
      <c r="AC2" t="s">
        <v>6</v>
      </c>
      <c r="AD2" t="s">
        <v>24</v>
      </c>
      <c r="AE2" t="s">
        <v>25</v>
      </c>
      <c r="AF2" t="s">
        <v>26</v>
      </c>
      <c r="AG2" t="s">
        <v>27</v>
      </c>
      <c r="AH2" t="s">
        <v>2</v>
      </c>
      <c r="AJ2" t="s">
        <v>6</v>
      </c>
      <c r="AK2" t="s">
        <v>24</v>
      </c>
      <c r="AL2" t="s">
        <v>25</v>
      </c>
      <c r="AM2" t="s">
        <v>26</v>
      </c>
      <c r="AN2" t="s">
        <v>27</v>
      </c>
      <c r="AO2" t="s">
        <v>2</v>
      </c>
      <c r="AQ2" t="s">
        <v>6</v>
      </c>
      <c r="AR2" t="s">
        <v>24</v>
      </c>
      <c r="AS2" t="s">
        <v>25</v>
      </c>
      <c r="AT2" t="s">
        <v>26</v>
      </c>
      <c r="AU2" t="s">
        <v>27</v>
      </c>
      <c r="AV2" t="s">
        <v>2</v>
      </c>
    </row>
    <row r="3" spans="1:48" x14ac:dyDescent="0.2">
      <c r="A3" t="s">
        <v>624</v>
      </c>
      <c r="B3">
        <v>648.76</v>
      </c>
      <c r="C3">
        <v>1</v>
      </c>
      <c r="D3">
        <v>3</v>
      </c>
      <c r="E3">
        <v>648.76</v>
      </c>
      <c r="F3">
        <v>1946.28</v>
      </c>
      <c r="H3" t="s">
        <v>633</v>
      </c>
      <c r="I3">
        <v>52.83</v>
      </c>
      <c r="J3">
        <v>0</v>
      </c>
      <c r="K3">
        <v>0</v>
      </c>
      <c r="L3">
        <v>0</v>
      </c>
      <c r="M3">
        <v>52.83</v>
      </c>
      <c r="O3" t="s">
        <v>628</v>
      </c>
      <c r="P3">
        <v>0</v>
      </c>
      <c r="Q3">
        <v>80.789999999999992</v>
      </c>
      <c r="R3">
        <v>0</v>
      </c>
      <c r="S3">
        <v>0</v>
      </c>
      <c r="T3">
        <v>80.789999999999992</v>
      </c>
      <c r="V3" t="s">
        <v>31</v>
      </c>
      <c r="W3">
        <v>8.84</v>
      </c>
      <c r="X3">
        <v>0</v>
      </c>
      <c r="Y3">
        <v>0</v>
      </c>
      <c r="Z3">
        <v>0</v>
      </c>
      <c r="AA3">
        <v>8.84</v>
      </c>
      <c r="AC3" t="s">
        <v>41</v>
      </c>
      <c r="AD3">
        <v>0</v>
      </c>
      <c r="AE3">
        <v>19.440000000000001</v>
      </c>
      <c r="AF3">
        <v>77.760000000000005</v>
      </c>
      <c r="AG3">
        <v>0</v>
      </c>
      <c r="AH3">
        <v>97.2</v>
      </c>
      <c r="AJ3" t="s">
        <v>641</v>
      </c>
      <c r="AK3">
        <v>1.89</v>
      </c>
      <c r="AL3">
        <v>0</v>
      </c>
      <c r="AM3">
        <v>0</v>
      </c>
      <c r="AN3">
        <v>0</v>
      </c>
      <c r="AO3">
        <v>1.89</v>
      </c>
    </row>
    <row r="4" spans="1:48" x14ac:dyDescent="0.2">
      <c r="A4" t="s">
        <v>625</v>
      </c>
      <c r="B4">
        <v>635.4</v>
      </c>
      <c r="C4">
        <v>1</v>
      </c>
      <c r="D4">
        <v>3</v>
      </c>
      <c r="E4">
        <v>635.4</v>
      </c>
      <c r="F4">
        <v>1906.2</v>
      </c>
      <c r="H4" t="s">
        <v>634</v>
      </c>
      <c r="I4">
        <v>611.78</v>
      </c>
      <c r="J4">
        <v>174.89000000000001</v>
      </c>
      <c r="K4">
        <v>329.76</v>
      </c>
      <c r="L4">
        <v>0</v>
      </c>
      <c r="M4">
        <v>1116.4299999999998</v>
      </c>
      <c r="O4" t="s">
        <v>629</v>
      </c>
      <c r="P4">
        <v>68.3</v>
      </c>
      <c r="Q4">
        <v>0</v>
      </c>
      <c r="R4">
        <v>0</v>
      </c>
      <c r="S4">
        <v>0</v>
      </c>
      <c r="T4">
        <v>68.3</v>
      </c>
      <c r="V4" t="s">
        <v>32</v>
      </c>
      <c r="W4">
        <v>8.84</v>
      </c>
      <c r="X4">
        <v>0</v>
      </c>
      <c r="Y4">
        <v>0</v>
      </c>
      <c r="Z4">
        <v>0</v>
      </c>
      <c r="AA4">
        <v>8.84</v>
      </c>
      <c r="AC4" t="s">
        <v>42</v>
      </c>
      <c r="AD4">
        <v>0</v>
      </c>
      <c r="AE4">
        <v>12.150000000000002</v>
      </c>
      <c r="AF4">
        <v>48.600000000000009</v>
      </c>
      <c r="AG4">
        <v>0</v>
      </c>
      <c r="AH4">
        <v>60.750000000000014</v>
      </c>
      <c r="AJ4" t="s">
        <v>619</v>
      </c>
      <c r="AK4">
        <v>2.73</v>
      </c>
      <c r="AL4">
        <v>0</v>
      </c>
      <c r="AM4">
        <v>0</v>
      </c>
      <c r="AN4">
        <v>0</v>
      </c>
      <c r="AO4">
        <v>2.73</v>
      </c>
      <c r="AQ4" t="s">
        <v>29</v>
      </c>
      <c r="AR4">
        <f>SUBTOTAL(109,doorsToUnconditionedVolume[пн])</f>
        <v>0</v>
      </c>
      <c r="AS4">
        <f>SUBTOTAL(109,doorsToUnconditionedVolume[сх])</f>
        <v>0</v>
      </c>
      <c r="AT4">
        <f>SUBTOTAL(109,doorsToUnconditionedVolume[пд])</f>
        <v>0</v>
      </c>
      <c r="AU4">
        <f>SUBTOTAL(109,doorsToUnconditionedVolume[зх])</f>
        <v>0</v>
      </c>
      <c r="AV4">
        <f>SUBTOTAL(103,doorsToUnconditionedVolume[Загальна площа])</f>
        <v>0</v>
      </c>
    </row>
    <row r="5" spans="1:48" x14ac:dyDescent="0.2">
      <c r="A5" t="s">
        <v>626</v>
      </c>
      <c r="B5">
        <v>651.17999999999995</v>
      </c>
      <c r="C5">
        <v>3</v>
      </c>
      <c r="D5">
        <v>9</v>
      </c>
      <c r="E5">
        <v>1953.54</v>
      </c>
      <c r="F5">
        <v>5860.62</v>
      </c>
      <c r="H5" t="s">
        <v>635</v>
      </c>
      <c r="I5">
        <v>7.68</v>
      </c>
      <c r="J5">
        <v>0</v>
      </c>
      <c r="K5">
        <v>0</v>
      </c>
      <c r="L5">
        <v>0</v>
      </c>
      <c r="M5">
        <v>7.68</v>
      </c>
      <c r="O5" t="s">
        <v>630</v>
      </c>
      <c r="P5">
        <v>0</v>
      </c>
      <c r="Q5">
        <v>0</v>
      </c>
      <c r="R5">
        <v>257.76000000000005</v>
      </c>
      <c r="S5">
        <v>0</v>
      </c>
      <c r="T5">
        <v>257.76000000000005</v>
      </c>
      <c r="V5" t="s">
        <v>33</v>
      </c>
      <c r="W5">
        <v>32.400000000000006</v>
      </c>
      <c r="X5">
        <v>0</v>
      </c>
      <c r="Y5">
        <v>0</v>
      </c>
      <c r="Z5">
        <v>0</v>
      </c>
      <c r="AA5">
        <v>32.400000000000006</v>
      </c>
      <c r="AC5" t="s">
        <v>29</v>
      </c>
      <c r="AD5">
        <f>SUBTOTAL(109,windowsToUnconditionedVolume[пн])</f>
        <v>0</v>
      </c>
      <c r="AE5">
        <f>SUBTOTAL(109,windowsToUnconditionedVolume[сх])</f>
        <v>31.590000000000003</v>
      </c>
      <c r="AF5">
        <f>SUBTOTAL(109,windowsToUnconditionedVolume[пд])</f>
        <v>126.36000000000001</v>
      </c>
      <c r="AG5">
        <f>SUBTOTAL(109,windowsToUnconditionedVolume[зх])</f>
        <v>0</v>
      </c>
      <c r="AH5">
        <f>SUBTOTAL(109,windowsToUnconditionedVolume[Загальна площа])</f>
        <v>157.95000000000002</v>
      </c>
      <c r="AJ5" t="s">
        <v>29</v>
      </c>
      <c r="AK5">
        <f>SUBTOTAL(109,doorsToEnvironment[пн])</f>
        <v>4.62</v>
      </c>
      <c r="AL5">
        <f>SUBTOTAL(109,doorsToEnvironment[сх])</f>
        <v>0</v>
      </c>
      <c r="AM5">
        <f>SUBTOTAL(109,doorsToEnvironment[пд])</f>
        <v>0</v>
      </c>
      <c r="AN5">
        <f>SUBTOTAL(109,doorsToEnvironment[зх])</f>
        <v>0</v>
      </c>
      <c r="AO5">
        <f>SUBTOTAL(109,doorsToEnvironment[Загальна площа])</f>
        <v>4.62</v>
      </c>
    </row>
    <row r="6" spans="1:48" x14ac:dyDescent="0.2">
      <c r="A6" t="s">
        <v>627</v>
      </c>
      <c r="B6">
        <v>655.37</v>
      </c>
      <c r="C6">
        <v>4</v>
      </c>
      <c r="D6">
        <v>11.7</v>
      </c>
      <c r="E6">
        <v>2621.48</v>
      </c>
      <c r="F6">
        <v>7667.83</v>
      </c>
      <c r="H6" t="s">
        <v>636</v>
      </c>
      <c r="I6">
        <v>174.89</v>
      </c>
      <c r="J6">
        <v>48.599999999999994</v>
      </c>
      <c r="K6">
        <v>128.34</v>
      </c>
      <c r="L6">
        <v>0</v>
      </c>
      <c r="M6">
        <v>351.83</v>
      </c>
      <c r="O6" t="s">
        <v>40</v>
      </c>
      <c r="P6">
        <v>0</v>
      </c>
      <c r="Q6">
        <v>24.3</v>
      </c>
      <c r="R6">
        <v>0</v>
      </c>
      <c r="S6">
        <v>0</v>
      </c>
      <c r="T6">
        <v>24.3</v>
      </c>
      <c r="V6" t="s">
        <v>642</v>
      </c>
      <c r="W6">
        <v>43.68</v>
      </c>
      <c r="X6">
        <v>0</v>
      </c>
      <c r="Y6">
        <v>0</v>
      </c>
      <c r="Z6">
        <v>0</v>
      </c>
      <c r="AA6">
        <v>43.68</v>
      </c>
    </row>
    <row r="7" spans="1:48" x14ac:dyDescent="0.2">
      <c r="A7" t="s">
        <v>29</v>
      </c>
      <c r="C7">
        <f>SUBTOTAL(109,areasAndVolumes[Кількість])</f>
        <v>9</v>
      </c>
      <c r="D7">
        <f>SUBTOTAL(109,areasAndVolumes[Висота])</f>
        <v>26.7</v>
      </c>
      <c r="E7">
        <f>SUBTOTAL(109,areasAndVolumes[Загальна площа])</f>
        <v>5859.18</v>
      </c>
      <c r="F7">
        <f>SUBTOTAL(109,areasAndVolumes[Загальний об''єм])</f>
        <v>17380.93</v>
      </c>
      <c r="H7" t="s">
        <v>637</v>
      </c>
      <c r="I7">
        <v>17.7</v>
      </c>
      <c r="J7">
        <v>0</v>
      </c>
      <c r="K7">
        <v>0</v>
      </c>
      <c r="L7">
        <v>0</v>
      </c>
      <c r="M7">
        <v>17.7</v>
      </c>
      <c r="O7" t="s">
        <v>631</v>
      </c>
      <c r="P7">
        <v>9.9</v>
      </c>
      <c r="Q7">
        <v>0</v>
      </c>
      <c r="R7">
        <v>0</v>
      </c>
      <c r="S7">
        <v>0</v>
      </c>
      <c r="T7">
        <v>9.9</v>
      </c>
      <c r="V7" t="s">
        <v>643</v>
      </c>
      <c r="W7">
        <v>3.38</v>
      </c>
      <c r="X7">
        <v>0</v>
      </c>
      <c r="Y7">
        <v>0</v>
      </c>
      <c r="Z7">
        <v>0</v>
      </c>
      <c r="AA7">
        <v>3.38</v>
      </c>
    </row>
    <row r="8" spans="1:48" x14ac:dyDescent="0.2">
      <c r="H8" t="s">
        <v>638</v>
      </c>
      <c r="I8">
        <v>7.68</v>
      </c>
      <c r="J8">
        <v>0</v>
      </c>
      <c r="K8">
        <v>0</v>
      </c>
      <c r="L8">
        <v>0</v>
      </c>
      <c r="M8">
        <v>7.68</v>
      </c>
      <c r="O8" t="s">
        <v>632</v>
      </c>
      <c r="P8">
        <v>0</v>
      </c>
      <c r="Q8">
        <v>0</v>
      </c>
      <c r="R8">
        <v>41.52</v>
      </c>
      <c r="S8">
        <v>0</v>
      </c>
      <c r="T8">
        <v>41.52</v>
      </c>
      <c r="V8" t="s">
        <v>644</v>
      </c>
      <c r="W8">
        <v>26.180000000000003</v>
      </c>
      <c r="X8">
        <v>0</v>
      </c>
      <c r="Y8">
        <v>0</v>
      </c>
      <c r="Z8">
        <v>0</v>
      </c>
      <c r="AA8">
        <v>26.180000000000003</v>
      </c>
    </row>
    <row r="9" spans="1:48" x14ac:dyDescent="0.2">
      <c r="H9" t="s">
        <v>29</v>
      </c>
      <c r="I9">
        <f>SUBTOTAL(109,wallsToEnvironment[пн])</f>
        <v>872.56</v>
      </c>
      <c r="J9">
        <f>SUBTOTAL(109,wallsToEnvironment[сх])</f>
        <v>223.49</v>
      </c>
      <c r="K9">
        <f>SUBTOTAL(109,wallsToEnvironment[пд])</f>
        <v>458.1</v>
      </c>
      <c r="L9">
        <f>SUBTOTAL(109,wallsToEnvironment[зх])</f>
        <v>0</v>
      </c>
      <c r="M9">
        <f>SUBTOTAL(109,wallsToEnvironment[Загальна площа])</f>
        <v>1554.1499999999999</v>
      </c>
      <c r="O9" t="s">
        <v>29</v>
      </c>
      <c r="P9">
        <f>SUBTOTAL(109,wallsToUnconditionedVolume[пн])</f>
        <v>78.2</v>
      </c>
      <c r="Q9">
        <f>SUBTOTAL(109,wallsToUnconditionedVolume[сх])</f>
        <v>105.08999999999999</v>
      </c>
      <c r="R9">
        <f>SUBTOTAL(109,wallsToUnconditionedVolume[пд])</f>
        <v>299.28000000000003</v>
      </c>
      <c r="S9">
        <f>SUBTOTAL(109,wallsToUnconditionedVolume[зх])</f>
        <v>0</v>
      </c>
      <c r="T9">
        <f>SUBTOTAL(109,wallsToUnconditionedVolume[Загальна площа])</f>
        <v>482.57</v>
      </c>
      <c r="V9" t="s">
        <v>34</v>
      </c>
      <c r="W9">
        <v>38.880000000000003</v>
      </c>
      <c r="X9">
        <v>0</v>
      </c>
      <c r="Y9">
        <v>0</v>
      </c>
      <c r="Z9">
        <v>0</v>
      </c>
      <c r="AA9">
        <v>38.880000000000003</v>
      </c>
    </row>
    <row r="10" spans="1:48" x14ac:dyDescent="0.2">
      <c r="V10" t="s">
        <v>35</v>
      </c>
      <c r="W10">
        <v>0</v>
      </c>
      <c r="X10">
        <v>51.3</v>
      </c>
      <c r="Y10">
        <v>48.600000000000009</v>
      </c>
      <c r="Z10">
        <v>0</v>
      </c>
      <c r="AA10">
        <v>99.9</v>
      </c>
    </row>
    <row r="11" spans="1:48" x14ac:dyDescent="0.2">
      <c r="V11" t="s">
        <v>36</v>
      </c>
      <c r="W11">
        <v>0</v>
      </c>
      <c r="X11">
        <v>0</v>
      </c>
      <c r="Y11">
        <v>174.96000000000004</v>
      </c>
      <c r="Z11">
        <v>0</v>
      </c>
      <c r="AA11">
        <v>174.96000000000004</v>
      </c>
    </row>
    <row r="12" spans="1:48" x14ac:dyDescent="0.2">
      <c r="V12" t="s">
        <v>37</v>
      </c>
      <c r="W12">
        <v>14.580000000000002</v>
      </c>
      <c r="X12">
        <v>0</v>
      </c>
      <c r="Y12">
        <v>0</v>
      </c>
      <c r="Z12">
        <v>0</v>
      </c>
      <c r="AA12">
        <v>14.580000000000002</v>
      </c>
    </row>
    <row r="13" spans="1:48" x14ac:dyDescent="0.2">
      <c r="V13" t="s">
        <v>38</v>
      </c>
      <c r="W13">
        <v>160.56</v>
      </c>
      <c r="X13">
        <v>0</v>
      </c>
      <c r="Y13">
        <v>0</v>
      </c>
      <c r="Z13">
        <v>0</v>
      </c>
      <c r="AA13">
        <v>160.56</v>
      </c>
    </row>
    <row r="14" spans="1:48" x14ac:dyDescent="0.2">
      <c r="V14" t="s">
        <v>645</v>
      </c>
      <c r="W14">
        <v>0</v>
      </c>
      <c r="X14">
        <v>33.6</v>
      </c>
      <c r="Y14">
        <v>0</v>
      </c>
      <c r="Z14">
        <v>0</v>
      </c>
      <c r="AA14">
        <v>33.6</v>
      </c>
    </row>
    <row r="15" spans="1:48" x14ac:dyDescent="0.2">
      <c r="V15" t="s">
        <v>29</v>
      </c>
      <c r="W15">
        <f>SUBTOTAL(109,windowsToEnviroment[пн])</f>
        <v>337.34000000000003</v>
      </c>
      <c r="X15">
        <f>SUBTOTAL(109,windowsToEnviroment[сх])</f>
        <v>84.9</v>
      </c>
      <c r="Y15">
        <f>SUBTOTAL(109,windowsToEnviroment[пд])</f>
        <v>223.56000000000006</v>
      </c>
      <c r="Z15">
        <f>SUBTOTAL(109,windowsToEnviroment[зх])</f>
        <v>0</v>
      </c>
      <c r="AA15">
        <f>SUBTOTAL(109,windowsToEnviroment[Загальна площа])</f>
        <v>645.80000000000007</v>
      </c>
    </row>
  </sheetData>
  <mergeCells count="7">
    <mergeCell ref="AQ1:AV1"/>
    <mergeCell ref="A1:F1"/>
    <mergeCell ref="H1:M1"/>
    <mergeCell ref="O1:T1"/>
    <mergeCell ref="V1:AA1"/>
    <mergeCell ref="AC1:AH1"/>
    <mergeCell ref="AJ1:AO1"/>
  </mergeCells>
  <phoneticPr fontId="5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86D1-41BF-D944-B6CF-42B42263101C}">
  <sheetPr>
    <tabColor theme="7"/>
  </sheetPr>
  <dimension ref="A1:L11"/>
  <sheetViews>
    <sheetView zoomScale="132" workbookViewId="0">
      <selection activeCell="M15" sqref="M15"/>
    </sheetView>
  </sheetViews>
  <sheetFormatPr baseColWidth="10" defaultRowHeight="15" x14ac:dyDescent="0.2"/>
  <cols>
    <col min="1" max="1" width="4.83203125" customWidth="1"/>
    <col min="2" max="2" width="32.83203125" style="153" customWidth="1"/>
    <col min="3" max="5" width="12.83203125" customWidth="1"/>
    <col min="6" max="12" width="8.83203125" customWidth="1"/>
  </cols>
  <sheetData>
    <row r="1" spans="1:12" x14ac:dyDescent="0.2">
      <c r="A1" s="161" t="s">
        <v>646</v>
      </c>
      <c r="B1" s="161" t="s">
        <v>647</v>
      </c>
      <c r="C1" s="161" t="s">
        <v>648</v>
      </c>
      <c r="D1" s="161"/>
      <c r="E1" s="161"/>
      <c r="F1" s="161" t="s">
        <v>651</v>
      </c>
      <c r="G1" s="161"/>
      <c r="H1" s="161" t="s">
        <v>655</v>
      </c>
      <c r="I1" s="161"/>
      <c r="J1" s="161"/>
      <c r="K1" s="161"/>
      <c r="L1" s="161"/>
    </row>
    <row r="2" spans="1:12" ht="80" x14ac:dyDescent="0.2">
      <c r="A2" s="161"/>
      <c r="B2" s="161"/>
      <c r="C2" s="161" t="s">
        <v>659</v>
      </c>
      <c r="D2" s="161" t="s">
        <v>649</v>
      </c>
      <c r="E2" s="161" t="s">
        <v>650</v>
      </c>
      <c r="F2" s="161"/>
      <c r="G2" s="161"/>
      <c r="H2" s="161" t="s">
        <v>656</v>
      </c>
      <c r="I2" s="161"/>
      <c r="J2" s="161" t="s">
        <v>657</v>
      </c>
      <c r="K2" s="161"/>
      <c r="L2" s="155" t="s">
        <v>658</v>
      </c>
    </row>
    <row r="3" spans="1:12" ht="16" x14ac:dyDescent="0.2">
      <c r="A3" s="161"/>
      <c r="B3" s="161"/>
      <c r="C3" s="161"/>
      <c r="D3" s="161"/>
      <c r="E3" s="161"/>
      <c r="F3" s="155" t="s">
        <v>652</v>
      </c>
      <c r="G3" s="155" t="s">
        <v>653</v>
      </c>
      <c r="H3" s="155" t="s">
        <v>652</v>
      </c>
      <c r="I3" s="155" t="s">
        <v>653</v>
      </c>
      <c r="J3" s="155" t="s">
        <v>652</v>
      </c>
      <c r="K3" s="155" t="s">
        <v>653</v>
      </c>
      <c r="L3" s="155" t="s">
        <v>654</v>
      </c>
    </row>
    <row r="4" spans="1:12" ht="48" x14ac:dyDescent="0.2">
      <c r="A4" s="155">
        <v>77</v>
      </c>
      <c r="B4" s="154" t="s">
        <v>660</v>
      </c>
      <c r="C4" s="155">
        <v>1800</v>
      </c>
      <c r="D4" s="155">
        <v>0.88</v>
      </c>
      <c r="E4" s="155">
        <v>0.7</v>
      </c>
      <c r="F4" s="155">
        <v>2</v>
      </c>
      <c r="G4" s="155">
        <v>4</v>
      </c>
      <c r="H4" s="155">
        <v>0.76</v>
      </c>
      <c r="I4" s="155">
        <v>0.87</v>
      </c>
      <c r="J4" s="155">
        <v>9.77</v>
      </c>
      <c r="K4" s="155">
        <v>10.9</v>
      </c>
      <c r="L4" s="155">
        <v>0.11</v>
      </c>
    </row>
    <row r="5" spans="1:12" ht="32" x14ac:dyDescent="0.2">
      <c r="A5" s="155">
        <v>4</v>
      </c>
      <c r="B5" s="154" t="s">
        <v>661</v>
      </c>
      <c r="C5" s="155">
        <v>35</v>
      </c>
      <c r="D5" s="155">
        <v>1.45</v>
      </c>
      <c r="E5" s="155">
        <v>3.5000000000000003E-2</v>
      </c>
      <c r="F5" s="155">
        <v>0.5</v>
      </c>
      <c r="G5" s="155">
        <v>1</v>
      </c>
      <c r="H5" s="155">
        <v>3.5999999999999997E-2</v>
      </c>
      <c r="I5" s="155">
        <v>3.6999999999999998E-2</v>
      </c>
      <c r="J5" s="155">
        <v>0.37</v>
      </c>
      <c r="K5" s="155">
        <v>0.38</v>
      </c>
      <c r="L5" s="155">
        <v>8.0000000000000002E-3</v>
      </c>
    </row>
    <row r="6" spans="1:12" ht="16" x14ac:dyDescent="0.2">
      <c r="A6" s="155">
        <v>36</v>
      </c>
      <c r="B6" s="154" t="s">
        <v>667</v>
      </c>
      <c r="C6" s="155">
        <v>600</v>
      </c>
      <c r="D6" s="155">
        <v>0.84</v>
      </c>
      <c r="E6" s="155">
        <v>0.1</v>
      </c>
      <c r="F6" s="155">
        <v>4</v>
      </c>
      <c r="G6" s="155">
        <v>10</v>
      </c>
      <c r="H6" s="155">
        <v>0.12</v>
      </c>
      <c r="I6" s="155">
        <v>0.17</v>
      </c>
      <c r="J6" s="155">
        <v>2.33</v>
      </c>
      <c r="K6" s="155">
        <v>3.06</v>
      </c>
      <c r="L6" s="155">
        <v>7.0000000000000007E-2</v>
      </c>
    </row>
    <row r="7" spans="1:12" ht="16" x14ac:dyDescent="0.2">
      <c r="A7" s="155">
        <v>64</v>
      </c>
      <c r="B7" s="154" t="s">
        <v>663</v>
      </c>
      <c r="C7" s="155">
        <v>2500</v>
      </c>
      <c r="D7" s="155">
        <v>0.84</v>
      </c>
      <c r="E7" s="155">
        <v>1.69</v>
      </c>
      <c r="F7" s="155">
        <v>2</v>
      </c>
      <c r="G7" s="155">
        <v>3</v>
      </c>
      <c r="H7" s="155">
        <v>1.92</v>
      </c>
      <c r="I7" s="155">
        <v>2.04</v>
      </c>
      <c r="J7" s="155">
        <v>17.98</v>
      </c>
      <c r="K7" s="155">
        <v>18.95</v>
      </c>
      <c r="L7" s="155">
        <v>0.03</v>
      </c>
    </row>
    <row r="8" spans="1:12" ht="32" x14ac:dyDescent="0.2">
      <c r="A8" s="155">
        <v>40</v>
      </c>
      <c r="B8" s="154" t="s">
        <v>664</v>
      </c>
      <c r="C8" s="155">
        <v>1200</v>
      </c>
      <c r="D8" s="155">
        <v>0.84</v>
      </c>
      <c r="E8" s="155">
        <v>0.36</v>
      </c>
      <c r="F8" s="155">
        <v>5</v>
      </c>
      <c r="G8" s="155">
        <v>10</v>
      </c>
      <c r="H8" s="155">
        <v>0.44</v>
      </c>
      <c r="I8" s="155">
        <v>0.52</v>
      </c>
      <c r="J8" s="155">
        <v>6.36</v>
      </c>
      <c r="K8" s="155">
        <v>7.57</v>
      </c>
      <c r="L8" s="155">
        <v>0.11</v>
      </c>
    </row>
    <row r="9" spans="1:12" ht="32" x14ac:dyDescent="0.2">
      <c r="A9" s="155">
        <v>81</v>
      </c>
      <c r="B9" s="154" t="s">
        <v>665</v>
      </c>
      <c r="C9" s="155">
        <v>1200</v>
      </c>
      <c r="D9" s="155">
        <v>1.68</v>
      </c>
      <c r="E9" s="155">
        <v>0.22</v>
      </c>
      <c r="F9" s="155">
        <v>0</v>
      </c>
      <c r="G9" s="155">
        <v>0</v>
      </c>
      <c r="H9" s="155">
        <v>0.22</v>
      </c>
      <c r="I9" s="155">
        <v>0.22</v>
      </c>
      <c r="J9" s="155">
        <v>5.69</v>
      </c>
      <c r="K9" s="155">
        <v>5.69</v>
      </c>
      <c r="L9" s="155">
        <v>8.0000000000000002E-3</v>
      </c>
    </row>
    <row r="10" spans="1:12" ht="32" x14ac:dyDescent="0.2">
      <c r="A10" s="156">
        <v>87</v>
      </c>
      <c r="B10" s="157" t="s">
        <v>666</v>
      </c>
      <c r="C10" s="156">
        <v>1400</v>
      </c>
      <c r="D10" s="156">
        <v>1.47</v>
      </c>
      <c r="E10" s="156">
        <v>0.23</v>
      </c>
      <c r="F10" s="156">
        <v>0</v>
      </c>
      <c r="G10" s="156">
        <v>0</v>
      </c>
      <c r="H10" s="156">
        <v>0.23</v>
      </c>
      <c r="I10" s="156">
        <v>0.23</v>
      </c>
      <c r="J10" s="156">
        <v>5.87</v>
      </c>
      <c r="K10" s="156">
        <v>5.87</v>
      </c>
      <c r="L10" s="156">
        <v>2E-3</v>
      </c>
    </row>
    <row r="11" spans="1:12" x14ac:dyDescent="0.2">
      <c r="A11" s="158"/>
      <c r="B11" s="159"/>
      <c r="C11" s="158"/>
      <c r="D11" s="158"/>
      <c r="E11" s="158"/>
      <c r="F11" s="158"/>
      <c r="G11" s="158"/>
      <c r="H11" s="158"/>
      <c r="I11" s="158"/>
      <c r="J11" s="158"/>
      <c r="K11" s="158"/>
      <c r="L11" s="158"/>
    </row>
  </sheetData>
  <mergeCells count="10">
    <mergeCell ref="F1:G2"/>
    <mergeCell ref="H1:L1"/>
    <mergeCell ref="H2:I2"/>
    <mergeCell ref="J2:K2"/>
    <mergeCell ref="A1:A3"/>
    <mergeCell ref="B1:B3"/>
    <mergeCell ref="C1:E1"/>
    <mergeCell ref="C2:C3"/>
    <mergeCell ref="D2:D3"/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C4AE-B226-4247-B7DA-07801FEEE6C1}">
  <sheetPr codeName="Аркуш3">
    <tabColor theme="8"/>
  </sheetPr>
  <dimension ref="A1:K30"/>
  <sheetViews>
    <sheetView zoomScale="110" zoomScaleNormal="160" workbookViewId="0">
      <selection activeCell="B2" sqref="B2"/>
    </sheetView>
  </sheetViews>
  <sheetFormatPr baseColWidth="10" defaultColWidth="8.83203125" defaultRowHeight="15" x14ac:dyDescent="0.2"/>
  <cols>
    <col min="2" max="2" width="11.6640625" bestFit="1" customWidth="1"/>
    <col min="3" max="3" width="11.6640625" customWidth="1"/>
    <col min="4" max="4" width="12.5" bestFit="1" customWidth="1"/>
    <col min="5" max="5" width="11.6640625" bestFit="1" customWidth="1"/>
    <col min="6" max="6" width="11.6640625" customWidth="1"/>
    <col min="7" max="8" width="11.6640625" bestFit="1" customWidth="1"/>
  </cols>
  <sheetData>
    <row r="1" spans="1:11" ht="17" x14ac:dyDescent="0.25"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11" ht="17" x14ac:dyDescent="0.25">
      <c r="A2" t="s">
        <v>52</v>
      </c>
      <c r="B2" s="55">
        <f>(C2-ηgn!B2*F2)/1000</f>
        <v>32855.845100745719</v>
      </c>
      <c r="C2" s="55">
        <f>D2+E2</f>
        <v>54566913.681101188</v>
      </c>
      <c r="D2" s="55">
        <f>Qtr!B2</f>
        <v>51113797.703999989</v>
      </c>
      <c r="E2" s="55">
        <f>Qve!B2</f>
        <v>3453115.9771011998</v>
      </c>
      <c r="F2" s="55">
        <f>G2+H2</f>
        <v>21722661.611568004</v>
      </c>
      <c r="G2" s="55">
        <f>Qint!B2</f>
        <v>16855689.024000004</v>
      </c>
      <c r="H2" s="55">
        <f>Qsol!B3</f>
        <v>4866972.5875680009</v>
      </c>
      <c r="J2" s="4"/>
      <c r="K2" s="4"/>
    </row>
    <row r="3" spans="1:11" ht="17" x14ac:dyDescent="0.25">
      <c r="A3" t="s">
        <v>53</v>
      </c>
      <c r="B3" s="55">
        <f>(C3-ηgn!B3*F3)/1000</f>
        <v>24606.714540002151</v>
      </c>
      <c r="C3" s="55">
        <f t="shared" ref="C3:C13" si="0">D3+E3</f>
        <v>47702750.812290572</v>
      </c>
      <c r="D3" s="55">
        <f>Qtr!B3</f>
        <v>44684014.368000001</v>
      </c>
      <c r="E3" s="55">
        <f>Qve!B3</f>
        <v>3018736.4442905691</v>
      </c>
      <c r="F3" s="55">
        <f t="shared" ref="F3:F13" si="1">G3+H3</f>
        <v>23143910.009472005</v>
      </c>
      <c r="G3" s="55">
        <f>Qint!B3</f>
        <v>15224493.312000003</v>
      </c>
      <c r="H3" s="55">
        <f>Qsol!B4</f>
        <v>7919416.6974720024</v>
      </c>
      <c r="J3" s="4"/>
      <c r="K3" s="4"/>
    </row>
    <row r="4" spans="1:11" ht="17" x14ac:dyDescent="0.25">
      <c r="A4" t="s">
        <v>54</v>
      </c>
      <c r="B4" s="55">
        <f>(C4-ηgn!B4*F4)/1000</f>
        <v>13427.037021629203</v>
      </c>
      <c r="C4" s="55">
        <f t="shared" si="0"/>
        <v>41637404.013691671</v>
      </c>
      <c r="D4" s="55">
        <f>Qtr!B4</f>
        <v>39002496.239999995</v>
      </c>
      <c r="E4" s="55">
        <f>Qve!B4</f>
        <v>2634907.7736916789</v>
      </c>
      <c r="F4" s="55">
        <f t="shared" si="1"/>
        <v>28761520.033296004</v>
      </c>
      <c r="G4" s="55">
        <f>Qint!B4</f>
        <v>16855689.024000004</v>
      </c>
      <c r="H4" s="55">
        <f>Qsol!B5</f>
        <v>11905831.009296002</v>
      </c>
      <c r="J4" s="4"/>
      <c r="K4" s="4"/>
    </row>
    <row r="5" spans="1:11" ht="17" x14ac:dyDescent="0.25">
      <c r="A5" t="s">
        <v>55</v>
      </c>
      <c r="B5" s="55">
        <f>(C5-ηgn!B5*F5)/1000</f>
        <v>561.88808623545617</v>
      </c>
      <c r="C5" s="55">
        <f t="shared" si="0"/>
        <v>21207506.288807306</v>
      </c>
      <c r="D5" s="55">
        <f>Qtr!B5</f>
        <v>19865448</v>
      </c>
      <c r="E5" s="55">
        <f>Qve!B5</f>
        <v>1342058.2888073067</v>
      </c>
      <c r="F5" s="55">
        <f t="shared" si="1"/>
        <v>28990703.813760005</v>
      </c>
      <c r="G5" s="55">
        <f>Qint!B5</f>
        <v>16311957.120000003</v>
      </c>
      <c r="H5" s="55">
        <f>Qsol!B6</f>
        <v>12678746.693760002</v>
      </c>
      <c r="J5" s="4"/>
      <c r="K5" s="4"/>
    </row>
    <row r="6" spans="1:11" ht="17" x14ac:dyDescent="0.25">
      <c r="A6" t="s">
        <v>56</v>
      </c>
      <c r="B6" s="55">
        <f>(C6-ηgn!B6*F6)/1000</f>
        <v>8.8420501546002922E-2</v>
      </c>
      <c r="C6" s="55">
        <f t="shared" si="0"/>
        <v>7670048.1077853087</v>
      </c>
      <c r="D6" s="55">
        <f>Qtr!B6</f>
        <v>7184670.3599999994</v>
      </c>
      <c r="E6" s="55">
        <f>Qve!B6</f>
        <v>485377.74778530927</v>
      </c>
      <c r="F6" s="55">
        <f t="shared" si="1"/>
        <v>32872485.789648008</v>
      </c>
      <c r="G6" s="55">
        <f>Qint!B6</f>
        <v>16855689.024000004</v>
      </c>
      <c r="H6" s="55">
        <f>Qsol!B7</f>
        <v>16016796.765648004</v>
      </c>
      <c r="J6" s="4"/>
      <c r="K6" s="4"/>
    </row>
    <row r="7" spans="1:11" ht="17" x14ac:dyDescent="0.25">
      <c r="A7" t="s">
        <v>57</v>
      </c>
      <c r="B7" s="55">
        <f>(C7-ηgn!B7*F7)/1000</f>
        <v>3.4924596548080445E-13</v>
      </c>
      <c r="C7" s="55">
        <f t="shared" si="0"/>
        <v>212075.06288807606</v>
      </c>
      <c r="D7" s="55">
        <f>Qtr!B7</f>
        <v>198654.4800000028</v>
      </c>
      <c r="E7" s="55">
        <f>Qve!B7</f>
        <v>13420.582888073259</v>
      </c>
      <c r="F7" s="55">
        <f t="shared" si="1"/>
        <v>32431018.044960007</v>
      </c>
      <c r="G7" s="55">
        <f>Qint!B7</f>
        <v>16311957.120000003</v>
      </c>
      <c r="H7" s="55">
        <f>Qsol!B8</f>
        <v>16119060.924960002</v>
      </c>
      <c r="J7" s="4"/>
      <c r="K7" s="4"/>
    </row>
    <row r="8" spans="1:11" ht="17" x14ac:dyDescent="0.25">
      <c r="A8" t="s">
        <v>58</v>
      </c>
      <c r="B8" s="55">
        <f>(C8-ηgn!B8*F8)/1000</f>
        <v>4.6566128730773927E-13</v>
      </c>
      <c r="C8" s="55">
        <f t="shared" si="0"/>
        <v>-3725451.9380671484</v>
      </c>
      <c r="D8" s="55">
        <f>Qtr!B8</f>
        <v>-3489697.0319999983</v>
      </c>
      <c r="E8" s="55">
        <f>Qve!B8</f>
        <v>-235754.90606715012</v>
      </c>
      <c r="F8" s="55">
        <f t="shared" si="1"/>
        <v>33245593.284240007</v>
      </c>
      <c r="G8" s="55">
        <f>Qint!B8</f>
        <v>16855689.024000004</v>
      </c>
      <c r="H8" s="55">
        <f>Qsol!B9</f>
        <v>16389904.260240003</v>
      </c>
      <c r="J8" s="4"/>
      <c r="K8" s="4"/>
    </row>
    <row r="9" spans="1:11" ht="17" x14ac:dyDescent="0.25">
      <c r="A9" t="s">
        <v>59</v>
      </c>
      <c r="B9" s="55">
        <f>(C9-ηgn!B9*F9)/1000</f>
        <v>0</v>
      </c>
      <c r="C9" s="55">
        <f t="shared" si="0"/>
        <v>-1534009.6215570602</v>
      </c>
      <c r="D9" s="55">
        <f>Qtr!B9</f>
        <v>-1436934.0719999983</v>
      </c>
      <c r="E9" s="55">
        <f>Qve!B9</f>
        <v>-97075.54955706175</v>
      </c>
      <c r="F9" s="55">
        <f t="shared" si="1"/>
        <v>32046447.50323201</v>
      </c>
      <c r="G9" s="55">
        <f>Qint!B9</f>
        <v>16855689.024000004</v>
      </c>
      <c r="H9" s="55">
        <f>Qsol!B10</f>
        <v>15190758.479232004</v>
      </c>
      <c r="J9" s="4"/>
      <c r="K9" s="4"/>
    </row>
    <row r="10" spans="1:11" ht="17" x14ac:dyDescent="0.25">
      <c r="A10" t="s">
        <v>60</v>
      </c>
      <c r="B10" s="55">
        <f>(C10-ηgn!B10*F10)/1000</f>
        <v>2.7667831016965212</v>
      </c>
      <c r="C10" s="55">
        <f t="shared" si="0"/>
        <v>10391678.08151558</v>
      </c>
      <c r="D10" s="55">
        <f>Qtr!B10</f>
        <v>9734069.5199999996</v>
      </c>
      <c r="E10" s="55">
        <f>Qve!B10</f>
        <v>657608.56151558028</v>
      </c>
      <c r="F10" s="55">
        <f t="shared" si="1"/>
        <v>28821035.822400007</v>
      </c>
      <c r="G10" s="55">
        <f>Qint!B10</f>
        <v>16311957.120000003</v>
      </c>
      <c r="H10" s="55">
        <f>Qsol!B11</f>
        <v>12509078.702400004</v>
      </c>
      <c r="J10" s="4"/>
      <c r="K10" s="4"/>
    </row>
    <row r="11" spans="1:11" ht="17" x14ac:dyDescent="0.25">
      <c r="A11" t="s">
        <v>61</v>
      </c>
      <c r="B11" s="55">
        <f>(C11-ηgn!B11*F11)/1000</f>
        <v>2588.5031018878667</v>
      </c>
      <c r="C11" s="55">
        <f t="shared" si="0"/>
        <v>25201586.639866013</v>
      </c>
      <c r="D11" s="55">
        <f>Qtr!B11</f>
        <v>23606774.039999995</v>
      </c>
      <c r="E11" s="55">
        <f>Qve!B11</f>
        <v>1594812.5998660161</v>
      </c>
      <c r="F11" s="55">
        <f t="shared" si="1"/>
        <v>25990441.299936004</v>
      </c>
      <c r="G11" s="55">
        <f>Qint!B11</f>
        <v>16855689.024000004</v>
      </c>
      <c r="H11" s="55">
        <f>Qsol!B12</f>
        <v>9134752.2759360019</v>
      </c>
      <c r="J11" s="4"/>
      <c r="K11" s="4"/>
    </row>
    <row r="12" spans="1:11" ht="17" x14ac:dyDescent="0.25">
      <c r="A12" t="s">
        <v>62</v>
      </c>
      <c r="B12" s="55">
        <f>(C12-ηgn!B12*F12)/1000</f>
        <v>17318.471186549432</v>
      </c>
      <c r="C12" s="55">
        <f t="shared" si="0"/>
        <v>38173511.319853149</v>
      </c>
      <c r="D12" s="55">
        <f>Qtr!B12</f>
        <v>35757806.399999999</v>
      </c>
      <c r="E12" s="55">
        <f>Qve!B12</f>
        <v>2415704.9198531518</v>
      </c>
      <c r="F12" s="55">
        <f t="shared" si="1"/>
        <v>20952772.377120003</v>
      </c>
      <c r="G12" s="55">
        <f>Qint!B12</f>
        <v>16311957.120000003</v>
      </c>
      <c r="H12" s="55">
        <f>Qsol!B13</f>
        <v>4640815.2571200011</v>
      </c>
      <c r="J12" s="4"/>
      <c r="K12" s="4"/>
    </row>
    <row r="13" spans="1:11" ht="17" x14ac:dyDescent="0.25">
      <c r="A13" t="s">
        <v>63</v>
      </c>
      <c r="B13" s="55">
        <f>(C13-ηgn!B13*F13)/1000</f>
        <v>28981.151836729809</v>
      </c>
      <c r="C13" s="55">
        <f t="shared" si="0"/>
        <v>49745740.584779002</v>
      </c>
      <c r="D13" s="55">
        <f>Qtr!B13</f>
        <v>46597719.191999994</v>
      </c>
      <c r="E13" s="55">
        <f>Qve!B13</f>
        <v>3148021.3927790052</v>
      </c>
      <c r="F13" s="55">
        <f t="shared" si="1"/>
        <v>20780082.190512005</v>
      </c>
      <c r="G13" s="55">
        <f>Qint!B13</f>
        <v>16855689.024000004</v>
      </c>
      <c r="H13" s="55">
        <f>Qsol!B14</f>
        <v>3924393.1665120008</v>
      </c>
      <c r="J13" s="4"/>
      <c r="K13" s="4"/>
    </row>
    <row r="14" spans="1:11" ht="17" x14ac:dyDescent="0.25">
      <c r="A14" t="s">
        <v>64</v>
      </c>
      <c r="B14" s="55">
        <f>SUM(B2:B13)</f>
        <v>120342.46607738289</v>
      </c>
    </row>
    <row r="17" spans="1:8" ht="17" x14ac:dyDescent="0.25">
      <c r="C17" t="s">
        <v>417</v>
      </c>
      <c r="D17" t="s">
        <v>47</v>
      </c>
      <c r="E17" t="s">
        <v>48</v>
      </c>
      <c r="F17" t="s">
        <v>418</v>
      </c>
      <c r="G17" t="s">
        <v>50</v>
      </c>
      <c r="H17" t="s">
        <v>51</v>
      </c>
    </row>
    <row r="18" spans="1:8" ht="17" x14ac:dyDescent="0.25">
      <c r="A18" t="s">
        <v>404</v>
      </c>
      <c r="B18" s="55">
        <f>(IF(F18-ηgn!B18*C18&lt;0,0,F18-ηgn!B18*C18))</f>
        <v>7473.7982053086162</v>
      </c>
      <c r="C18" s="55">
        <f>D18+E18</f>
        <v>42534930.674113207</v>
      </c>
      <c r="D18" s="55">
        <f>Qtr!B18</f>
        <v>39009003.263999999</v>
      </c>
      <c r="E18" s="55">
        <f>Qve!B18</f>
        <v>3525927.4101132089</v>
      </c>
      <c r="F18" s="55">
        <f>G18+H18</f>
        <v>21722661.611568004</v>
      </c>
      <c r="G18" s="55">
        <f>Qint!B2</f>
        <v>16855689.024000004</v>
      </c>
      <c r="H18" s="55">
        <f>Qsol!B3</f>
        <v>4866972.5875680009</v>
      </c>
    </row>
    <row r="19" spans="1:8" ht="17" x14ac:dyDescent="0.25">
      <c r="A19" t="s">
        <v>406</v>
      </c>
      <c r="B19" s="55">
        <f>(IF(F19-ηgn!B19*C19&lt;0,0,F19-ηgn!B19*C19))</f>
        <v>51880.220958538353</v>
      </c>
      <c r="C19" s="55">
        <f t="shared" ref="C19:C29" si="2">D19+E19</f>
        <v>37213881.124794565</v>
      </c>
      <c r="D19" s="55">
        <f>Qtr!B19</f>
        <v>34129041.408</v>
      </c>
      <c r="E19" s="55">
        <f>Qve!B19</f>
        <v>3084839.7167945625</v>
      </c>
      <c r="F19" s="55">
        <f t="shared" ref="F19:F29" si="3">G19+H19</f>
        <v>23143910.009472005</v>
      </c>
      <c r="G19" s="55">
        <f>Qint!B3</f>
        <v>15224493.312000003</v>
      </c>
      <c r="H19" s="55">
        <f>Qsol!B4</f>
        <v>7919416.6974720024</v>
      </c>
    </row>
    <row r="20" spans="1:8" ht="17" x14ac:dyDescent="0.25">
      <c r="A20" t="s">
        <v>407</v>
      </c>
      <c r="B20" s="55">
        <f>(IF(F20-ηgn!B20*C20&lt;0,0,F20-ηgn!B20*C20))</f>
        <v>854855.01193363965</v>
      </c>
      <c r="C20" s="55">
        <f t="shared" si="2"/>
        <v>33939021.339275002</v>
      </c>
      <c r="D20" s="55">
        <f>Qtr!B20</f>
        <v>31125650.688000001</v>
      </c>
      <c r="E20" s="55">
        <f>Qve!B20</f>
        <v>2813370.6512749991</v>
      </c>
      <c r="F20" s="55">
        <f t="shared" si="3"/>
        <v>28761520.033296004</v>
      </c>
      <c r="G20" s="55">
        <f>Qint!B4</f>
        <v>16855689.024000004</v>
      </c>
      <c r="H20" s="55">
        <f>Qsol!B5</f>
        <v>11905831.009296002</v>
      </c>
    </row>
    <row r="21" spans="1:8" ht="17" x14ac:dyDescent="0.25">
      <c r="A21" t="s">
        <v>408</v>
      </c>
      <c r="B21" s="55">
        <f>(IF(F21-ηgn!B21*C21&lt;0,0,F21-ηgn!B21*C21))</f>
        <v>8337573.4875636362</v>
      </c>
      <c r="C21" s="55">
        <f t="shared" si="2"/>
        <v>20653130.326196369</v>
      </c>
      <c r="D21" s="55">
        <f>Qtr!B21</f>
        <v>18941091.840000004</v>
      </c>
      <c r="E21" s="55">
        <f>Qve!B21</f>
        <v>1712038.4861963654</v>
      </c>
      <c r="F21" s="55">
        <f t="shared" si="3"/>
        <v>28990703.813760005</v>
      </c>
      <c r="G21" s="55">
        <f>Qint!B5</f>
        <v>16311957.120000003</v>
      </c>
      <c r="H21" s="55">
        <f>Qsol!B6</f>
        <v>12678746.693760002</v>
      </c>
    </row>
    <row r="22" spans="1:8" ht="17" x14ac:dyDescent="0.25">
      <c r="A22" t="s">
        <v>409</v>
      </c>
      <c r="B22" s="55">
        <f>(IF(F22-ηgn!B22*C22&lt;0,0,F22-ηgn!B22*C22))</f>
        <v>21016059.120905653</v>
      </c>
      <c r="C22" s="55">
        <f t="shared" si="2"/>
        <v>11856426.668742357</v>
      </c>
      <c r="D22" s="55">
        <f>Qtr!B22</f>
        <v>10873589.76</v>
      </c>
      <c r="E22" s="55">
        <f>Qve!B22</f>
        <v>982836.90874235786</v>
      </c>
      <c r="F22" s="55">
        <f t="shared" si="3"/>
        <v>32872485.789648008</v>
      </c>
      <c r="G22" s="55">
        <f>Qint!B6</f>
        <v>16855689.024000004</v>
      </c>
      <c r="H22" s="55">
        <f>Qsol!B7</f>
        <v>16016796.765648004</v>
      </c>
    </row>
    <row r="23" spans="1:8" ht="17" x14ac:dyDescent="0.25">
      <c r="A23" t="s">
        <v>410</v>
      </c>
      <c r="B23" s="55">
        <f>(IF(F23-ηgn!B23*C23&lt;0,0,F23-ηgn!B23*C23))</f>
        <v>26120339.334177785</v>
      </c>
      <c r="C23" s="55">
        <f t="shared" si="2"/>
        <v>6310678.7107822215</v>
      </c>
      <c r="D23" s="55">
        <f>Qtr!B23</f>
        <v>5787555.8399999989</v>
      </c>
      <c r="E23" s="55">
        <f>Qve!B23</f>
        <v>523122.8707822226</v>
      </c>
      <c r="F23" s="55">
        <f t="shared" si="3"/>
        <v>32431018.044960007</v>
      </c>
      <c r="G23" s="55">
        <f>Qint!B7</f>
        <v>16311957.120000003</v>
      </c>
      <c r="H23" s="55">
        <f>Qsol!B8</f>
        <v>16119060.924960002</v>
      </c>
    </row>
    <row r="24" spans="1:8" ht="17" x14ac:dyDescent="0.25">
      <c r="A24" t="s">
        <v>411</v>
      </c>
      <c r="B24" s="55">
        <f>(IF(F24-ηgn!B24*C24&lt;0,0,F24-ηgn!B24*C24))</f>
        <v>29688665.283617303</v>
      </c>
      <c r="C24" s="55">
        <f t="shared" si="2"/>
        <v>3556928.0006227056</v>
      </c>
      <c r="D24" s="55">
        <f>Qtr!B24</f>
        <v>3262076.9279999984</v>
      </c>
      <c r="E24" s="55">
        <f>Qve!B24</f>
        <v>294851.07262270723</v>
      </c>
      <c r="F24" s="55">
        <f t="shared" si="3"/>
        <v>33245593.284240007</v>
      </c>
      <c r="G24" s="55">
        <f>Qint!B8</f>
        <v>16855689.024000004</v>
      </c>
      <c r="H24" s="55">
        <f>Qsol!B9</f>
        <v>16389904.260240003</v>
      </c>
    </row>
    <row r="25" spans="1:8" ht="17" x14ac:dyDescent="0.25">
      <c r="A25" t="s">
        <v>412</v>
      </c>
      <c r="B25" s="55">
        <f>(IF(F25-ηgn!B25*C25&lt;0,0,F25-ηgn!B25*C25))</f>
        <v>27155671.502375785</v>
      </c>
      <c r="C25" s="55">
        <f t="shared" si="2"/>
        <v>4890776.0008562244</v>
      </c>
      <c r="D25" s="55">
        <f>Qtr!B25</f>
        <v>4485355.7760000015</v>
      </c>
      <c r="E25" s="55">
        <f>Qve!B25</f>
        <v>405420.22485622275</v>
      </c>
      <c r="F25" s="55">
        <f t="shared" si="3"/>
        <v>32046447.50323201</v>
      </c>
      <c r="G25" s="55">
        <f>Qint!B9</f>
        <v>16855689.024000004</v>
      </c>
      <c r="H25" s="55">
        <f>Qsol!B10</f>
        <v>15190758.479232004</v>
      </c>
    </row>
    <row r="26" spans="1:8" ht="17" x14ac:dyDescent="0.25">
      <c r="A26" t="s">
        <v>413</v>
      </c>
      <c r="B26" s="55">
        <f>(IF(F26-ηgn!B26*C26&lt;0,0,F26-ηgn!B26*C26))</f>
        <v>16486527.433143847</v>
      </c>
      <c r="C26" s="55">
        <f t="shared" si="2"/>
        <v>12334508.389256161</v>
      </c>
      <c r="D26" s="55">
        <f>Qtr!B26</f>
        <v>11312040.959999999</v>
      </c>
      <c r="E26" s="55">
        <f>Qve!B26</f>
        <v>1022467.4292561626</v>
      </c>
      <c r="F26" s="55">
        <f t="shared" si="3"/>
        <v>28821035.822400007</v>
      </c>
      <c r="G26" s="55">
        <f>Qint!B10</f>
        <v>16311957.120000003</v>
      </c>
      <c r="H26" s="55">
        <f>Qsol!B11</f>
        <v>12509078.702400004</v>
      </c>
    </row>
    <row r="27" spans="1:8" ht="17" x14ac:dyDescent="0.25">
      <c r="A27" t="s">
        <v>414</v>
      </c>
      <c r="B27" s="55">
        <f>(IF(F27-ηgn!B27*C27&lt;0,0,F27-ηgn!B27*C27))</f>
        <v>3166819.9626069628</v>
      </c>
      <c r="C27" s="55">
        <f t="shared" si="2"/>
        <v>22823621.337329041</v>
      </c>
      <c r="D27" s="55">
        <f>Qtr!B27</f>
        <v>20931660.288000003</v>
      </c>
      <c r="E27" s="55">
        <f>Qve!B27</f>
        <v>1891961.0493290389</v>
      </c>
      <c r="F27" s="55">
        <f t="shared" si="3"/>
        <v>25990441.299936004</v>
      </c>
      <c r="G27" s="55">
        <f>Qint!B11</f>
        <v>16855689.024000004</v>
      </c>
      <c r="H27" s="55">
        <f>Qsol!B12</f>
        <v>9134752.2759360019</v>
      </c>
    </row>
    <row r="28" spans="1:8" ht="17" x14ac:dyDescent="0.25">
      <c r="A28" t="s">
        <v>415</v>
      </c>
      <c r="B28" s="55">
        <f>(IF(F28-ηgn!B28*C28&lt;0,0,F28-ηgn!B28*C28))</f>
        <v>92302.750031687319</v>
      </c>
      <c r="C28" s="55">
        <f t="shared" si="2"/>
        <v>31266544.521602836</v>
      </c>
      <c r="D28" s="55">
        <f>Qtr!B28</f>
        <v>28674708.480000004</v>
      </c>
      <c r="E28" s="55">
        <f>Qve!B28</f>
        <v>2591836.0416028309</v>
      </c>
      <c r="F28" s="55">
        <f t="shared" si="3"/>
        <v>20952772.377120003</v>
      </c>
      <c r="G28" s="55">
        <f>Qint!B12</f>
        <v>16311957.120000003</v>
      </c>
      <c r="H28" s="55">
        <f>Qsol!B13</f>
        <v>4640815.2571200011</v>
      </c>
    </row>
    <row r="29" spans="1:8" ht="17" x14ac:dyDescent="0.25">
      <c r="A29" t="s">
        <v>416</v>
      </c>
      <c r="B29" s="55">
        <f>(IF(F29-ηgn!B29*C29&lt;0,0,F29-ηgn!B29*C29))</f>
        <v>10087.400484833866</v>
      </c>
      <c r="C29" s="55">
        <f t="shared" si="2"/>
        <v>39274413.340209059</v>
      </c>
      <c r="D29" s="55">
        <f>Qtr!B29</f>
        <v>36018766.079999998</v>
      </c>
      <c r="E29" s="55">
        <f>Qve!B29</f>
        <v>3255647.2602090607</v>
      </c>
      <c r="F29" s="55">
        <f t="shared" si="3"/>
        <v>20780082.190512005</v>
      </c>
      <c r="G29" s="55">
        <f>Qint!B13</f>
        <v>16855689.024000004</v>
      </c>
      <c r="H29" s="55">
        <f>Qsol!B14</f>
        <v>3924393.1665120008</v>
      </c>
    </row>
    <row r="30" spans="1:8" ht="17" x14ac:dyDescent="0.25">
      <c r="A30" t="s">
        <v>405</v>
      </c>
      <c r="B30" s="55">
        <f>SUM(B18:B29)/1000</f>
        <v>132988.25530600498</v>
      </c>
    </row>
  </sheetData>
  <phoneticPr fontId="5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7653-BF14-4EED-AEB9-735F8A9FF645}">
  <sheetPr codeName="Аркуш4">
    <tabColor theme="8"/>
  </sheetPr>
  <dimension ref="A1:BA112"/>
  <sheetViews>
    <sheetView tabSelected="1" topLeftCell="L1" zoomScale="114" zoomScaleNormal="135" workbookViewId="0">
      <selection activeCell="Z4" sqref="Z4"/>
    </sheetView>
  </sheetViews>
  <sheetFormatPr baseColWidth="10" defaultColWidth="8.83203125" defaultRowHeight="15" x14ac:dyDescent="0.2"/>
  <cols>
    <col min="2" max="2" width="12.5" bestFit="1" customWidth="1"/>
    <col min="6" max="6" width="9.6640625" bestFit="1" customWidth="1"/>
    <col min="9" max="9" width="12.33203125" bestFit="1" customWidth="1"/>
    <col min="12" max="12" width="30.6640625" customWidth="1"/>
    <col min="13" max="13" width="11" bestFit="1" customWidth="1"/>
    <col min="18" max="18" width="30.6640625" customWidth="1"/>
    <col min="24" max="24" width="30.6640625" customWidth="1"/>
  </cols>
  <sheetData>
    <row r="1" spans="1:53" ht="18" thickBot="1" x14ac:dyDescent="0.3">
      <c r="A1" s="4"/>
      <c r="C1" s="5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K1" s="188" t="s">
        <v>72</v>
      </c>
      <c r="L1" s="189"/>
      <c r="M1" s="189"/>
      <c r="N1" s="189"/>
      <c r="O1" s="190"/>
      <c r="Q1" s="183" t="s">
        <v>73</v>
      </c>
      <c r="R1" s="184"/>
      <c r="S1" s="184"/>
      <c r="T1" s="185"/>
      <c r="U1" s="186"/>
      <c r="W1" s="168" t="s">
        <v>662</v>
      </c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70"/>
      <c r="AO1" s="187" t="s">
        <v>74</v>
      </c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6" t="s">
        <v>75</v>
      </c>
      <c r="BA1" s="7" t="s">
        <v>76</v>
      </c>
    </row>
    <row r="2" spans="1:53" ht="17" x14ac:dyDescent="0.25">
      <c r="A2" s="4" t="s">
        <v>77</v>
      </c>
      <c r="B2" s="55">
        <f>($F$2*(C2-D2)*E2)</f>
        <v>51113797.703999989</v>
      </c>
      <c r="C2" s="8">
        <v>19</v>
      </c>
      <c r="D2" s="8">
        <v>-5.9</v>
      </c>
      <c r="E2" s="4">
        <v>744</v>
      </c>
      <c r="F2" s="151">
        <f>SUM(G2:I2)</f>
        <v>2759.0899999999997</v>
      </c>
      <c r="G2" s="55">
        <f>SUM(K3:K26)</f>
        <v>1356.47</v>
      </c>
      <c r="H2" s="55">
        <f>SUM(Q3:Q26)</f>
        <v>0</v>
      </c>
      <c r="I2" s="55">
        <f>SUM(W3:W26)</f>
        <v>1402.6199999999997</v>
      </c>
      <c r="K2" s="9" t="s">
        <v>78</v>
      </c>
      <c r="L2" s="10" t="s">
        <v>79</v>
      </c>
      <c r="M2" s="11" t="s">
        <v>80</v>
      </c>
      <c r="N2" s="12" t="s">
        <v>81</v>
      </c>
      <c r="O2" s="13" t="s">
        <v>82</v>
      </c>
      <c r="Q2" s="9" t="s">
        <v>78</v>
      </c>
      <c r="R2" s="10" t="s">
        <v>79</v>
      </c>
      <c r="S2" s="11" t="s">
        <v>80</v>
      </c>
      <c r="T2" s="152" t="s">
        <v>81</v>
      </c>
      <c r="U2" s="13" t="s">
        <v>82</v>
      </c>
      <c r="W2" s="9" t="s">
        <v>78</v>
      </c>
      <c r="X2" s="10" t="s">
        <v>79</v>
      </c>
      <c r="Y2" s="11" t="s">
        <v>80</v>
      </c>
      <c r="Z2" s="14" t="s">
        <v>81</v>
      </c>
      <c r="AA2" s="15" t="s">
        <v>82</v>
      </c>
      <c r="AB2" s="16" t="s">
        <v>83</v>
      </c>
      <c r="AC2" s="174" t="s">
        <v>74</v>
      </c>
      <c r="AD2" s="174"/>
      <c r="AE2" s="174"/>
      <c r="AF2" s="174"/>
      <c r="AG2" s="174"/>
      <c r="AH2" s="174"/>
      <c r="AI2" s="174"/>
      <c r="AJ2" s="174"/>
      <c r="AK2" s="174"/>
      <c r="AL2" s="174"/>
      <c r="AM2" s="175"/>
      <c r="AO2" s="179" t="s">
        <v>84</v>
      </c>
      <c r="AP2" s="180"/>
      <c r="AQ2" s="180"/>
      <c r="AR2" s="180"/>
      <c r="AS2" s="180"/>
      <c r="AT2" s="180"/>
      <c r="AU2" s="180"/>
      <c r="AV2" s="180"/>
      <c r="AW2" s="180"/>
      <c r="AX2" s="180"/>
      <c r="AY2" s="180"/>
      <c r="AZ2" s="17">
        <v>0.3</v>
      </c>
      <c r="BA2" s="18">
        <v>0.3</v>
      </c>
    </row>
    <row r="3" spans="1:53" ht="17" x14ac:dyDescent="0.25">
      <c r="A3" s="4" t="s">
        <v>85</v>
      </c>
      <c r="B3" s="55">
        <f t="shared" ref="B3:B13" si="0">($F$2*(C3-D3)*E3)</f>
        <v>44684014.368000001</v>
      </c>
      <c r="C3" s="8">
        <v>19</v>
      </c>
      <c r="D3" s="8">
        <v>-5.0999999999999996</v>
      </c>
      <c r="E3" s="4">
        <v>672</v>
      </c>
      <c r="K3" s="19">
        <f>IFERROR(ROUND(M3*N3,2),"")</f>
        <v>15.72</v>
      </c>
      <c r="L3" s="20" t="str" cm="1">
        <f t="array" ref="L3:L8">wallsToEnvironment[Тип]</f>
        <v>1-380-100</v>
      </c>
      <c r="M3" s="312" cm="1">
        <f t="array" ref="M3:M8">wallsToEnvironment[Загальна площа]</f>
        <v>52.83</v>
      </c>
      <c r="N3" s="22">
        <f>IF(ISBLANK(O3),"",ROUND(1/O3,4))</f>
        <v>0.29759999999999998</v>
      </c>
      <c r="O3" s="23">
        <f>C41</f>
        <v>3.36</v>
      </c>
      <c r="Q3" s="19" t="str">
        <f>IFERROR(ROUND(S3*T3,2),"")</f>
        <v/>
      </c>
      <c r="R3" s="20"/>
      <c r="S3" s="21"/>
      <c r="T3" s="22" t="str">
        <f t="shared" ref="T3:T26" si="1">IF(ISBLANK(U3),"",1/U3)</f>
        <v/>
      </c>
      <c r="U3" s="23"/>
      <c r="W3" s="314">
        <f>IFERROR(ROUND(IF(ISBLANK(AB3),Z3*Y3*1,Z3*Y3*AB3),2),"")</f>
        <v>47.82</v>
      </c>
      <c r="X3" s="20" t="s">
        <v>669</v>
      </c>
      <c r="Y3" s="24">
        <f>'Вхідні дані'!E3</f>
        <v>648.76</v>
      </c>
      <c r="Z3" s="310">
        <f>IFERROR(1/AA3,"")</f>
        <v>0.24570024570024568</v>
      </c>
      <c r="AA3" s="24">
        <f>C112</f>
        <v>4.07</v>
      </c>
      <c r="AB3" s="310">
        <f>IFERROR(VLOOKUP(AC3,$AO$2:$BA$12,12,FALSE),"")</f>
        <v>0.3</v>
      </c>
      <c r="AC3" s="176" t="s">
        <v>84</v>
      </c>
      <c r="AD3" s="177"/>
      <c r="AE3" s="177"/>
      <c r="AF3" s="177"/>
      <c r="AG3" s="177"/>
      <c r="AH3" s="177"/>
      <c r="AI3" s="177"/>
      <c r="AJ3" s="177"/>
      <c r="AK3" s="177"/>
      <c r="AL3" s="177"/>
      <c r="AM3" s="178"/>
      <c r="AO3" s="179" t="s">
        <v>86</v>
      </c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7">
        <v>0.7</v>
      </c>
      <c r="BA3" s="18">
        <v>0</v>
      </c>
    </row>
    <row r="4" spans="1:53" ht="17" x14ac:dyDescent="0.25">
      <c r="A4" s="4" t="s">
        <v>87</v>
      </c>
      <c r="B4" s="55">
        <f t="shared" si="0"/>
        <v>39002496.239999995</v>
      </c>
      <c r="C4" s="8">
        <v>19</v>
      </c>
      <c r="D4" s="8">
        <v>0</v>
      </c>
      <c r="E4" s="4">
        <v>744</v>
      </c>
      <c r="K4" s="19">
        <f t="shared" ref="K4:K26" si="2">IFERROR(ROUND(M4*N4,2),"")</f>
        <v>348.88</v>
      </c>
      <c r="L4" s="24" t="str">
        <v>1-380-150</v>
      </c>
      <c r="M4" s="311">
        <v>1116.4299999999998</v>
      </c>
      <c r="N4" s="26">
        <f t="shared" ref="N4:N26" si="3">IF(ISBLANK(O4),"",ROUND(1/O4,4))</f>
        <v>0.3125</v>
      </c>
      <c r="O4" s="27">
        <f>C51</f>
        <v>3.2</v>
      </c>
      <c r="Q4" s="19" t="str">
        <f t="shared" ref="Q4:Q26" si="4">IFERROR(ROUND(S4*T4,2),"")</f>
        <v/>
      </c>
      <c r="R4" s="24"/>
      <c r="S4" s="25"/>
      <c r="T4" s="26" t="str">
        <f t="shared" si="1"/>
        <v/>
      </c>
      <c r="U4" s="27"/>
      <c r="W4" s="314">
        <f t="shared" ref="W4:W26" si="5">IFERROR(ROUND(IF(ISBLANK(AB4),Z4*Y4*1,Z4*Y4*AB4),2),"")</f>
        <v>1034.79</v>
      </c>
      <c r="X4" s="24" t="s">
        <v>670</v>
      </c>
      <c r="Y4" s="24">
        <f>'Вхідні дані'!E6/'Вхідні дані'!C6</f>
        <v>655.37</v>
      </c>
      <c r="Z4" s="310">
        <f t="shared" ref="Z4:Z26" si="6">IFERROR(1/AA4,"")</f>
        <v>1.7543859649122808</v>
      </c>
      <c r="AA4" s="24">
        <f>C102</f>
        <v>0.56999999999999995</v>
      </c>
      <c r="AB4" s="310">
        <f>IFERROR(VLOOKUP(AC4,$AO$2:$BA$12,12,FALSE),"")</f>
        <v>0.9</v>
      </c>
      <c r="AC4" s="162" t="s">
        <v>88</v>
      </c>
      <c r="AD4" s="313"/>
      <c r="AE4" s="313"/>
      <c r="AF4" s="313"/>
      <c r="AG4" s="313"/>
      <c r="AH4" s="313"/>
      <c r="AI4" s="313"/>
      <c r="AJ4" s="313"/>
      <c r="AK4" s="313"/>
      <c r="AL4" s="313"/>
      <c r="AM4" s="164"/>
      <c r="AO4" s="179" t="s">
        <v>88</v>
      </c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7">
        <v>0.9</v>
      </c>
      <c r="BA4" s="18">
        <v>0</v>
      </c>
    </row>
    <row r="5" spans="1:53" ht="17" x14ac:dyDescent="0.25">
      <c r="A5" s="4" t="s">
        <v>89</v>
      </c>
      <c r="B5" s="55">
        <f t="shared" si="0"/>
        <v>19865448</v>
      </c>
      <c r="C5" s="8">
        <v>19</v>
      </c>
      <c r="D5" s="8">
        <v>9</v>
      </c>
      <c r="E5" s="4">
        <v>720</v>
      </c>
      <c r="K5" s="19">
        <f t="shared" si="2"/>
        <v>2.19</v>
      </c>
      <c r="L5" s="24" t="str">
        <v>1-510-100</v>
      </c>
      <c r="M5" s="311">
        <v>7.68</v>
      </c>
      <c r="N5" s="26">
        <f t="shared" si="3"/>
        <v>0.28489999999999999</v>
      </c>
      <c r="O5" s="27">
        <f>C61</f>
        <v>3.51</v>
      </c>
      <c r="Q5" s="19" t="str">
        <f t="shared" si="4"/>
        <v/>
      </c>
      <c r="R5" s="24"/>
      <c r="S5" s="25"/>
      <c r="T5" s="26" t="str">
        <f t="shared" si="1"/>
        <v/>
      </c>
      <c r="U5" s="27"/>
      <c r="W5" s="314">
        <f t="shared" si="5"/>
        <v>126.36</v>
      </c>
      <c r="X5" s="24" t="s">
        <v>166</v>
      </c>
      <c r="Y5" s="24">
        <f>windowsToUnconditionedVolume[[#Totals],[Загальна площа]]</f>
        <v>157.95000000000002</v>
      </c>
      <c r="Z5" s="310">
        <f t="shared" si="6"/>
        <v>1.3333333333333333</v>
      </c>
      <c r="AA5" s="24">
        <v>0.75</v>
      </c>
      <c r="AB5" s="310">
        <f t="shared" ref="AB5:AB26" si="7">IFERROR(VLOOKUP(AC5,$AO$2:$BA$12,12,FALSE),"")</f>
        <v>0.6</v>
      </c>
      <c r="AC5" s="162" t="s">
        <v>104</v>
      </c>
      <c r="AD5" s="313"/>
      <c r="AE5" s="313"/>
      <c r="AF5" s="313"/>
      <c r="AG5" s="313"/>
      <c r="AH5" s="313"/>
      <c r="AI5" s="313"/>
      <c r="AJ5" s="313"/>
      <c r="AK5" s="313"/>
      <c r="AL5" s="313"/>
      <c r="AM5" s="164"/>
      <c r="AO5" s="179" t="s">
        <v>90</v>
      </c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7">
        <v>1</v>
      </c>
      <c r="BA5" s="18">
        <v>0</v>
      </c>
    </row>
    <row r="6" spans="1:53" ht="17" x14ac:dyDescent="0.25">
      <c r="A6" s="4" t="s">
        <v>91</v>
      </c>
      <c r="B6" s="55">
        <f t="shared" si="0"/>
        <v>7184670.3599999994</v>
      </c>
      <c r="C6" s="8">
        <v>19</v>
      </c>
      <c r="D6" s="8">
        <v>15.5</v>
      </c>
      <c r="E6" s="4">
        <v>744</v>
      </c>
      <c r="K6" s="19">
        <f t="shared" si="2"/>
        <v>107.59</v>
      </c>
      <c r="L6" s="24" t="str">
        <v>1-510-150</v>
      </c>
      <c r="M6" s="311">
        <v>351.83</v>
      </c>
      <c r="N6" s="26">
        <f t="shared" si="3"/>
        <v>0.30580000000000002</v>
      </c>
      <c r="O6" s="27">
        <f>C71</f>
        <v>3.27</v>
      </c>
      <c r="Q6" s="19" t="str">
        <f t="shared" si="4"/>
        <v/>
      </c>
      <c r="R6" s="24"/>
      <c r="S6" s="25"/>
      <c r="T6" s="26" t="str">
        <f t="shared" si="1"/>
        <v/>
      </c>
      <c r="U6" s="27"/>
      <c r="W6" s="314">
        <f t="shared" si="5"/>
        <v>70.25</v>
      </c>
      <c r="X6" s="24" t="str" cm="1">
        <f t="array" ref="X6:X11">wallsToUnconditionedVolume[Тип]</f>
        <v>1-380-0 балкон</v>
      </c>
      <c r="Y6" s="24" cm="1">
        <f t="array" ref="Y6:Y11">wallsToUnconditionedVolume[Загальна площа]</f>
        <v>80.789999999999992</v>
      </c>
      <c r="Z6" s="310">
        <f t="shared" si="6"/>
        <v>1.4492753623188408</v>
      </c>
      <c r="AA6" s="24">
        <f>J41</f>
        <v>0.69</v>
      </c>
      <c r="AB6" s="310">
        <f t="shared" si="7"/>
        <v>0.6</v>
      </c>
      <c r="AC6" s="162" t="s">
        <v>104</v>
      </c>
      <c r="AD6" s="313"/>
      <c r="AE6" s="313"/>
      <c r="AF6" s="313"/>
      <c r="AG6" s="313"/>
      <c r="AH6" s="313"/>
      <c r="AI6" s="313"/>
      <c r="AJ6" s="313"/>
      <c r="AK6" s="313"/>
      <c r="AL6" s="313"/>
      <c r="AM6" s="164"/>
      <c r="AO6" s="179" t="s">
        <v>92</v>
      </c>
      <c r="AP6" s="180"/>
      <c r="AQ6" s="180"/>
      <c r="AR6" s="180"/>
      <c r="AS6" s="180"/>
      <c r="AT6" s="180"/>
      <c r="AU6" s="180"/>
      <c r="AV6" s="180"/>
      <c r="AW6" s="180"/>
      <c r="AX6" s="180"/>
      <c r="AY6" s="180"/>
      <c r="AZ6" s="17">
        <v>0.4</v>
      </c>
      <c r="BA6" s="18">
        <v>0</v>
      </c>
    </row>
    <row r="7" spans="1:53" ht="17" x14ac:dyDescent="0.25">
      <c r="A7" s="4" t="s">
        <v>93</v>
      </c>
      <c r="B7" s="55">
        <f t="shared" si="0"/>
        <v>198654.4800000028</v>
      </c>
      <c r="C7" s="8">
        <v>19</v>
      </c>
      <c r="D7" s="8">
        <v>18.899999999999999</v>
      </c>
      <c r="E7" s="4">
        <v>720</v>
      </c>
      <c r="K7" s="19">
        <f t="shared" si="2"/>
        <v>9.52</v>
      </c>
      <c r="L7" s="24" t="str">
        <v>4-250-50</v>
      </c>
      <c r="M7" s="311">
        <v>17.7</v>
      </c>
      <c r="N7" s="26">
        <f t="shared" si="3"/>
        <v>0.53759999999999997</v>
      </c>
      <c r="O7" s="27">
        <f>C81</f>
        <v>1.86</v>
      </c>
      <c r="Q7" s="19" t="str">
        <f t="shared" si="4"/>
        <v/>
      </c>
      <c r="R7" s="24"/>
      <c r="S7" s="25"/>
      <c r="T7" s="26" t="str">
        <f t="shared" si="1"/>
        <v/>
      </c>
      <c r="U7" s="27"/>
      <c r="W7" s="314">
        <f t="shared" si="5"/>
        <v>59.39</v>
      </c>
      <c r="X7" s="24" t="str">
        <v>1-380-0 тамбур</v>
      </c>
      <c r="Y7" s="24">
        <v>68.3</v>
      </c>
      <c r="Z7" s="310">
        <f t="shared" si="6"/>
        <v>1.4492753623188408</v>
      </c>
      <c r="AA7" s="24">
        <f>J41</f>
        <v>0.69</v>
      </c>
      <c r="AB7" s="310">
        <f t="shared" si="7"/>
        <v>0.6</v>
      </c>
      <c r="AC7" s="162" t="s">
        <v>96</v>
      </c>
      <c r="AD7" s="313"/>
      <c r="AE7" s="313"/>
      <c r="AF7" s="313"/>
      <c r="AG7" s="313"/>
      <c r="AH7" s="313"/>
      <c r="AI7" s="313"/>
      <c r="AJ7" s="313"/>
      <c r="AK7" s="313"/>
      <c r="AL7" s="313"/>
      <c r="AM7" s="164"/>
      <c r="AO7" s="179" t="s">
        <v>94</v>
      </c>
      <c r="AP7" s="180"/>
      <c r="AQ7" s="180"/>
      <c r="AR7" s="180"/>
      <c r="AS7" s="180"/>
      <c r="AT7" s="180"/>
      <c r="AU7" s="180"/>
      <c r="AV7" s="180"/>
      <c r="AW7" s="180"/>
      <c r="AX7" s="180"/>
      <c r="AY7" s="180"/>
      <c r="AZ7" s="17">
        <v>0.8</v>
      </c>
      <c r="BA7" s="18">
        <v>0</v>
      </c>
    </row>
    <row r="8" spans="1:53" ht="17" x14ac:dyDescent="0.25">
      <c r="A8" s="4" t="s">
        <v>95</v>
      </c>
      <c r="B8" s="55">
        <f t="shared" si="0"/>
        <v>-3489697.0319999983</v>
      </c>
      <c r="C8" s="8">
        <v>19</v>
      </c>
      <c r="D8" s="8">
        <v>20.7</v>
      </c>
      <c r="E8" s="4">
        <v>744</v>
      </c>
      <c r="K8" s="19">
        <f t="shared" si="2"/>
        <v>3.82</v>
      </c>
      <c r="L8" s="24" t="str">
        <v>4-380-50</v>
      </c>
      <c r="M8" s="311">
        <v>7.68</v>
      </c>
      <c r="N8" s="26">
        <f t="shared" si="3"/>
        <v>0.4975</v>
      </c>
      <c r="O8" s="27">
        <f>C91</f>
        <v>2.0099999999999998</v>
      </c>
      <c r="Q8" s="19" t="str">
        <f t="shared" si="4"/>
        <v/>
      </c>
      <c r="R8" s="24"/>
      <c r="S8" s="25"/>
      <c r="T8" s="26" t="str">
        <f t="shared" si="1"/>
        <v/>
      </c>
      <c r="U8" s="27"/>
      <c r="W8" s="314">
        <f t="shared" si="5"/>
        <v>32.56</v>
      </c>
      <c r="X8" s="24" t="str">
        <v>1-380-150 балкон</v>
      </c>
      <c r="Y8" s="24">
        <v>257.76000000000005</v>
      </c>
      <c r="Z8" s="310">
        <f t="shared" si="6"/>
        <v>0.21052631578947367</v>
      </c>
      <c r="AA8" s="24">
        <f>J51</f>
        <v>4.75</v>
      </c>
      <c r="AB8" s="310">
        <f t="shared" si="7"/>
        <v>0.6</v>
      </c>
      <c r="AC8" s="162" t="s">
        <v>104</v>
      </c>
      <c r="AD8" s="313"/>
      <c r="AE8" s="313"/>
      <c r="AF8" s="313"/>
      <c r="AG8" s="313"/>
      <c r="AH8" s="313"/>
      <c r="AI8" s="313"/>
      <c r="AJ8" s="313"/>
      <c r="AK8" s="313"/>
      <c r="AL8" s="313"/>
      <c r="AM8" s="164"/>
      <c r="AO8" s="179" t="s">
        <v>96</v>
      </c>
      <c r="AP8" s="180"/>
      <c r="AQ8" s="180"/>
      <c r="AR8" s="180"/>
      <c r="AS8" s="180"/>
      <c r="AT8" s="180"/>
      <c r="AU8" s="180"/>
      <c r="AV8" s="180"/>
      <c r="AW8" s="180"/>
      <c r="AX8" s="180"/>
      <c r="AY8" s="180"/>
      <c r="AZ8" s="17">
        <v>0.6</v>
      </c>
      <c r="BA8" s="18">
        <v>0</v>
      </c>
    </row>
    <row r="9" spans="1:53" ht="17" x14ac:dyDescent="0.25">
      <c r="A9" s="4" t="s">
        <v>97</v>
      </c>
      <c r="B9" s="55">
        <f t="shared" si="0"/>
        <v>-1436934.0719999983</v>
      </c>
      <c r="C9" s="8">
        <v>19</v>
      </c>
      <c r="D9" s="8">
        <v>19.7</v>
      </c>
      <c r="E9" s="4">
        <v>744</v>
      </c>
      <c r="I9" s="55"/>
      <c r="K9" s="19">
        <f t="shared" si="2"/>
        <v>861.05</v>
      </c>
      <c r="L9" s="24" t="s">
        <v>166</v>
      </c>
      <c r="M9" s="311">
        <f>windowsToEnviroment[[#Totals],[Загальна площа]]</f>
        <v>645.80000000000007</v>
      </c>
      <c r="N9" s="26">
        <f t="shared" si="3"/>
        <v>1.3332999999999999</v>
      </c>
      <c r="O9" s="27">
        <v>0.75</v>
      </c>
      <c r="Q9" s="19" t="str">
        <f t="shared" si="4"/>
        <v/>
      </c>
      <c r="R9" s="24"/>
      <c r="S9" s="25"/>
      <c r="T9" s="26" t="str">
        <f t="shared" si="1"/>
        <v/>
      </c>
      <c r="U9" s="27"/>
      <c r="W9" s="314">
        <f t="shared" si="5"/>
        <v>17.36</v>
      </c>
      <c r="X9" s="24" t="str">
        <v>1-510-0 балкон</v>
      </c>
      <c r="Y9" s="24">
        <v>24.3</v>
      </c>
      <c r="Z9" s="310">
        <f t="shared" si="6"/>
        <v>1.1904761904761905</v>
      </c>
      <c r="AA9" s="24">
        <f>J61</f>
        <v>0.84</v>
      </c>
      <c r="AB9" s="310">
        <f t="shared" si="7"/>
        <v>0.6</v>
      </c>
      <c r="AC9" s="162" t="s">
        <v>104</v>
      </c>
      <c r="AD9" s="313"/>
      <c r="AE9" s="313"/>
      <c r="AF9" s="313"/>
      <c r="AG9" s="313"/>
      <c r="AH9" s="313"/>
      <c r="AI9" s="313"/>
      <c r="AJ9" s="313"/>
      <c r="AK9" s="313"/>
      <c r="AL9" s="313"/>
      <c r="AM9" s="164"/>
      <c r="AO9" s="179" t="s">
        <v>98</v>
      </c>
      <c r="AP9" s="180"/>
      <c r="AQ9" s="180"/>
      <c r="AR9" s="180"/>
      <c r="AS9" s="180"/>
      <c r="AT9" s="180"/>
      <c r="AU9" s="180"/>
      <c r="AV9" s="180"/>
      <c r="AW9" s="180"/>
      <c r="AX9" s="180"/>
      <c r="AY9" s="180"/>
      <c r="AZ9" s="17">
        <v>0.5</v>
      </c>
      <c r="BA9" s="18">
        <v>0</v>
      </c>
    </row>
    <row r="10" spans="1:53" ht="17" x14ac:dyDescent="0.25">
      <c r="A10" s="4" t="s">
        <v>99</v>
      </c>
      <c r="B10" s="55">
        <f t="shared" si="0"/>
        <v>9734069.5199999996</v>
      </c>
      <c r="C10" s="8">
        <v>19</v>
      </c>
      <c r="D10" s="8">
        <v>14.1</v>
      </c>
      <c r="E10" s="4">
        <v>720</v>
      </c>
      <c r="K10" s="19">
        <f t="shared" si="2"/>
        <v>7.7</v>
      </c>
      <c r="L10" s="24" t="s">
        <v>668</v>
      </c>
      <c r="M10" s="311">
        <f>doorsToEnvironment[[#Totals],[Загальна площа]]</f>
        <v>4.62</v>
      </c>
      <c r="N10" s="26">
        <f t="shared" si="3"/>
        <v>1.6667000000000001</v>
      </c>
      <c r="O10" s="27">
        <v>0.6</v>
      </c>
      <c r="Q10" s="19" t="str">
        <f t="shared" si="4"/>
        <v/>
      </c>
      <c r="R10" s="24"/>
      <c r="S10" s="25"/>
      <c r="T10" s="26" t="str">
        <f t="shared" si="1"/>
        <v/>
      </c>
      <c r="U10" s="27"/>
      <c r="W10" s="314">
        <f t="shared" si="5"/>
        <v>7.07</v>
      </c>
      <c r="X10" s="24" t="str">
        <v>1-510-0 тамбур</v>
      </c>
      <c r="Y10" s="24">
        <v>9.9</v>
      </c>
      <c r="Z10" s="310">
        <f t="shared" si="6"/>
        <v>1.1904761904761905</v>
      </c>
      <c r="AA10" s="24">
        <f>J61</f>
        <v>0.84</v>
      </c>
      <c r="AB10" s="310">
        <f t="shared" si="7"/>
        <v>0.6</v>
      </c>
      <c r="AC10" s="162" t="s">
        <v>96</v>
      </c>
      <c r="AD10" s="313"/>
      <c r="AE10" s="313"/>
      <c r="AF10" s="313"/>
      <c r="AG10" s="313"/>
      <c r="AH10" s="313"/>
      <c r="AI10" s="313"/>
      <c r="AJ10" s="313"/>
      <c r="AK10" s="313"/>
      <c r="AL10" s="313"/>
      <c r="AM10" s="164"/>
      <c r="AO10" s="179" t="s">
        <v>100</v>
      </c>
      <c r="AP10" s="180"/>
      <c r="AQ10" s="180"/>
      <c r="AR10" s="180"/>
      <c r="AS10" s="180"/>
      <c r="AT10" s="180"/>
      <c r="AU10" s="180"/>
      <c r="AV10" s="180"/>
      <c r="AW10" s="180"/>
      <c r="AX10" s="180"/>
      <c r="AY10" s="180"/>
      <c r="AZ10" s="17">
        <v>0.4</v>
      </c>
      <c r="BA10" s="18">
        <v>0</v>
      </c>
    </row>
    <row r="11" spans="1:53" ht="17" x14ac:dyDescent="0.25">
      <c r="A11" s="4" t="s">
        <v>101</v>
      </c>
      <c r="B11" s="55">
        <f t="shared" si="0"/>
        <v>23606774.039999995</v>
      </c>
      <c r="C11" s="8">
        <v>19</v>
      </c>
      <c r="D11" s="8">
        <v>7.5</v>
      </c>
      <c r="E11" s="4">
        <v>744</v>
      </c>
      <c r="K11" s="19" t="str">
        <f t="shared" si="2"/>
        <v/>
      </c>
      <c r="L11" s="24"/>
      <c r="M11" s="311"/>
      <c r="N11" s="26" t="str">
        <f t="shared" si="3"/>
        <v/>
      </c>
      <c r="O11" s="27"/>
      <c r="Q11" s="19" t="str">
        <f t="shared" si="4"/>
        <v/>
      </c>
      <c r="R11" s="24"/>
      <c r="S11" s="25"/>
      <c r="T11" s="26" t="str">
        <f t="shared" si="1"/>
        <v/>
      </c>
      <c r="U11" s="27"/>
      <c r="W11" s="314">
        <f t="shared" si="5"/>
        <v>7.02</v>
      </c>
      <c r="X11" s="24" t="str">
        <v>1-510-100 балкон</v>
      </c>
      <c r="Y11" s="24">
        <v>41.52</v>
      </c>
      <c r="Z11" s="310">
        <f t="shared" si="6"/>
        <v>0.28169014084507044</v>
      </c>
      <c r="AA11" s="24">
        <f>J71</f>
        <v>3.55</v>
      </c>
      <c r="AB11" s="310">
        <f t="shared" si="7"/>
        <v>0.6</v>
      </c>
      <c r="AC11" s="162" t="s">
        <v>104</v>
      </c>
      <c r="AD11" s="313"/>
      <c r="AE11" s="313"/>
      <c r="AF11" s="313"/>
      <c r="AG11" s="313"/>
      <c r="AH11" s="313"/>
      <c r="AI11" s="313"/>
      <c r="AJ11" s="313"/>
      <c r="AK11" s="313"/>
      <c r="AL11" s="313"/>
      <c r="AM11" s="164"/>
      <c r="AO11" s="179" t="s">
        <v>102</v>
      </c>
      <c r="AP11" s="180"/>
      <c r="AQ11" s="180"/>
      <c r="AR11" s="180"/>
      <c r="AS11" s="180"/>
      <c r="AT11" s="180"/>
      <c r="AU11" s="180"/>
      <c r="AV11" s="180"/>
      <c r="AW11" s="180"/>
      <c r="AX11" s="180"/>
      <c r="AY11" s="180"/>
      <c r="AZ11" s="17">
        <v>0.7</v>
      </c>
      <c r="BA11" s="18">
        <v>1</v>
      </c>
    </row>
    <row r="12" spans="1:53" ht="18" thickBot="1" x14ac:dyDescent="0.3">
      <c r="A12" s="4" t="s">
        <v>103</v>
      </c>
      <c r="B12" s="55">
        <f t="shared" si="0"/>
        <v>35757806.399999999</v>
      </c>
      <c r="C12" s="8">
        <v>19</v>
      </c>
      <c r="D12" s="8">
        <v>1</v>
      </c>
      <c r="E12" s="4">
        <v>720</v>
      </c>
      <c r="K12" s="19" t="str">
        <f t="shared" si="2"/>
        <v/>
      </c>
      <c r="L12" s="24"/>
      <c r="M12" s="311"/>
      <c r="N12" s="26" t="str">
        <f t="shared" si="3"/>
        <v/>
      </c>
      <c r="O12" s="27"/>
      <c r="Q12" s="19" t="str">
        <f t="shared" si="4"/>
        <v/>
      </c>
      <c r="R12" s="24"/>
      <c r="S12" s="25"/>
      <c r="T12" s="26" t="str">
        <f t="shared" si="1"/>
        <v/>
      </c>
      <c r="U12" s="27"/>
      <c r="W12" s="314" t="str">
        <f t="shared" si="5"/>
        <v/>
      </c>
      <c r="X12" s="24"/>
      <c r="Y12" s="24"/>
      <c r="Z12" s="310" t="str">
        <f t="shared" si="6"/>
        <v/>
      </c>
      <c r="AA12" s="24"/>
      <c r="AB12" s="310" t="str">
        <f t="shared" si="7"/>
        <v/>
      </c>
      <c r="AC12" s="162"/>
      <c r="AD12" s="313"/>
      <c r="AE12" s="313"/>
      <c r="AF12" s="313"/>
      <c r="AG12" s="313"/>
      <c r="AH12" s="313"/>
      <c r="AI12" s="313"/>
      <c r="AJ12" s="313"/>
      <c r="AK12" s="313"/>
      <c r="AL12" s="313"/>
      <c r="AM12" s="164"/>
      <c r="AO12" s="181" t="s">
        <v>104</v>
      </c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28">
        <v>0.6</v>
      </c>
      <c r="BA12" s="29">
        <v>1</v>
      </c>
    </row>
    <row r="13" spans="1:53" ht="17" x14ac:dyDescent="0.25">
      <c r="A13" s="4" t="s">
        <v>105</v>
      </c>
      <c r="B13" s="55">
        <f t="shared" si="0"/>
        <v>46597719.191999994</v>
      </c>
      <c r="C13" s="8">
        <v>19</v>
      </c>
      <c r="D13" s="8">
        <v>-3.7</v>
      </c>
      <c r="E13" s="4">
        <v>744</v>
      </c>
      <c r="K13" s="19" t="str">
        <f t="shared" si="2"/>
        <v/>
      </c>
      <c r="L13" s="24"/>
      <c r="M13" s="311"/>
      <c r="N13" s="26" t="str">
        <f t="shared" si="3"/>
        <v/>
      </c>
      <c r="O13" s="27"/>
      <c r="Q13" s="19" t="str">
        <f t="shared" si="4"/>
        <v/>
      </c>
      <c r="R13" s="24"/>
      <c r="S13" s="25"/>
      <c r="T13" s="26" t="str">
        <f t="shared" si="1"/>
        <v/>
      </c>
      <c r="U13" s="27"/>
      <c r="W13" s="314" t="str">
        <f t="shared" si="5"/>
        <v/>
      </c>
      <c r="X13" s="24"/>
      <c r="Y13" s="24"/>
      <c r="Z13" s="310" t="str">
        <f t="shared" si="6"/>
        <v/>
      </c>
      <c r="AA13" s="24"/>
      <c r="AB13" s="310" t="str">
        <f t="shared" si="7"/>
        <v/>
      </c>
      <c r="AC13" s="162"/>
      <c r="AD13" s="313"/>
      <c r="AE13" s="313"/>
      <c r="AF13" s="313"/>
      <c r="AG13" s="313"/>
      <c r="AH13" s="313"/>
      <c r="AI13" s="313"/>
      <c r="AJ13" s="313"/>
      <c r="AK13" s="313"/>
      <c r="AL13" s="313"/>
      <c r="AM13" s="164"/>
    </row>
    <row r="14" spans="1:53" x14ac:dyDescent="0.2">
      <c r="K14" s="19" t="str">
        <f t="shared" si="2"/>
        <v/>
      </c>
      <c r="L14" s="24"/>
      <c r="M14" s="311"/>
      <c r="N14" s="26" t="str">
        <f t="shared" si="3"/>
        <v/>
      </c>
      <c r="O14" s="27"/>
      <c r="Q14" s="19" t="str">
        <f t="shared" si="4"/>
        <v/>
      </c>
      <c r="R14" s="24"/>
      <c r="S14" s="25"/>
      <c r="T14" s="26" t="str">
        <f t="shared" si="1"/>
        <v/>
      </c>
      <c r="U14" s="27"/>
      <c r="W14" s="314" t="str">
        <f t="shared" si="5"/>
        <v/>
      </c>
      <c r="X14" s="24"/>
      <c r="Y14" s="24"/>
      <c r="Z14" s="310" t="str">
        <f t="shared" si="6"/>
        <v/>
      </c>
      <c r="AA14" s="24"/>
      <c r="AB14" s="310" t="str">
        <f t="shared" si="7"/>
        <v/>
      </c>
      <c r="AC14" s="162"/>
      <c r="AD14" s="313"/>
      <c r="AE14" s="313"/>
      <c r="AF14" s="313"/>
      <c r="AG14" s="313"/>
      <c r="AH14" s="313"/>
      <c r="AI14" s="313"/>
      <c r="AJ14" s="313"/>
      <c r="AK14" s="313"/>
      <c r="AL14" s="313"/>
      <c r="AM14" s="164"/>
    </row>
    <row r="15" spans="1:53" x14ac:dyDescent="0.2">
      <c r="A15" s="4"/>
      <c r="K15" s="19" t="str">
        <f t="shared" si="2"/>
        <v/>
      </c>
      <c r="L15" s="24"/>
      <c r="M15" s="311"/>
      <c r="N15" s="26" t="str">
        <f t="shared" si="3"/>
        <v/>
      </c>
      <c r="O15" s="27"/>
      <c r="Q15" s="19" t="str">
        <f t="shared" si="4"/>
        <v/>
      </c>
      <c r="R15" s="24"/>
      <c r="S15" s="25"/>
      <c r="T15" s="26" t="str">
        <f t="shared" si="1"/>
        <v/>
      </c>
      <c r="U15" s="27"/>
      <c r="W15" s="314" t="str">
        <f t="shared" si="5"/>
        <v/>
      </c>
      <c r="X15" s="24"/>
      <c r="Y15" s="24"/>
      <c r="Z15" s="310" t="str">
        <f t="shared" si="6"/>
        <v/>
      </c>
      <c r="AA15" s="24"/>
      <c r="AB15" s="310" t="str">
        <f t="shared" si="7"/>
        <v/>
      </c>
      <c r="AC15" s="162"/>
      <c r="AD15" s="313"/>
      <c r="AE15" s="313"/>
      <c r="AF15" s="313"/>
      <c r="AG15" s="313"/>
      <c r="AH15" s="313"/>
      <c r="AI15" s="313"/>
      <c r="AJ15" s="313"/>
      <c r="AK15" s="313"/>
      <c r="AL15" s="313"/>
      <c r="AM15" s="164"/>
    </row>
    <row r="16" spans="1:53" x14ac:dyDescent="0.2">
      <c r="K16" s="19" t="str">
        <f t="shared" si="2"/>
        <v/>
      </c>
      <c r="L16" s="24"/>
      <c r="M16" s="311"/>
      <c r="N16" s="26" t="str">
        <f t="shared" si="3"/>
        <v/>
      </c>
      <c r="O16" s="27"/>
      <c r="Q16" s="19" t="str">
        <f t="shared" si="4"/>
        <v/>
      </c>
      <c r="R16" s="24"/>
      <c r="S16" s="25"/>
      <c r="T16" s="26" t="str">
        <f t="shared" si="1"/>
        <v/>
      </c>
      <c r="U16" s="27"/>
      <c r="W16" s="314" t="str">
        <f t="shared" si="5"/>
        <v/>
      </c>
      <c r="X16" s="24"/>
      <c r="Y16" s="24"/>
      <c r="Z16" s="310" t="str">
        <f t="shared" si="6"/>
        <v/>
      </c>
      <c r="AA16" s="24"/>
      <c r="AB16" s="310" t="str">
        <f t="shared" si="7"/>
        <v/>
      </c>
      <c r="AC16" s="162"/>
      <c r="AD16" s="313"/>
      <c r="AE16" s="313"/>
      <c r="AF16" s="313"/>
      <c r="AG16" s="313"/>
      <c r="AH16" s="313"/>
      <c r="AI16" s="313"/>
      <c r="AJ16" s="313"/>
      <c r="AK16" s="313"/>
      <c r="AL16" s="313"/>
      <c r="AM16" s="164"/>
    </row>
    <row r="17" spans="1:39" ht="17" x14ac:dyDescent="0.25">
      <c r="A17" s="4"/>
      <c r="C17" s="5" t="s">
        <v>65</v>
      </c>
      <c r="D17" s="4" t="s">
        <v>66</v>
      </c>
      <c r="E17" s="4" t="s">
        <v>67</v>
      </c>
      <c r="F17" s="4" t="s">
        <v>68</v>
      </c>
      <c r="G17" s="4" t="s">
        <v>69</v>
      </c>
      <c r="H17" s="4" t="s">
        <v>70</v>
      </c>
      <c r="I17" s="4" t="s">
        <v>71</v>
      </c>
      <c r="K17" s="19" t="str">
        <f t="shared" si="2"/>
        <v/>
      </c>
      <c r="L17" s="24"/>
      <c r="M17" s="311"/>
      <c r="N17" s="26" t="str">
        <f t="shared" si="3"/>
        <v/>
      </c>
      <c r="O17" s="27"/>
      <c r="Q17" s="19" t="str">
        <f t="shared" si="4"/>
        <v/>
      </c>
      <c r="R17" s="24"/>
      <c r="S17" s="25"/>
      <c r="T17" s="26" t="str">
        <f t="shared" si="1"/>
        <v/>
      </c>
      <c r="U17" s="27"/>
      <c r="W17" s="314" t="str">
        <f t="shared" si="5"/>
        <v/>
      </c>
      <c r="X17" s="24"/>
      <c r="Y17" s="24"/>
      <c r="Z17" s="310" t="str">
        <f t="shared" si="6"/>
        <v/>
      </c>
      <c r="AA17" s="24"/>
      <c r="AB17" s="310" t="str">
        <f t="shared" si="7"/>
        <v/>
      </c>
      <c r="AC17" s="162"/>
      <c r="AD17" s="313"/>
      <c r="AE17" s="313"/>
      <c r="AF17" s="313"/>
      <c r="AG17" s="313"/>
      <c r="AH17" s="313"/>
      <c r="AI17" s="313"/>
      <c r="AJ17" s="313"/>
      <c r="AK17" s="313"/>
      <c r="AL17" s="313"/>
      <c r="AM17" s="164"/>
    </row>
    <row r="18" spans="1:39" ht="17" x14ac:dyDescent="0.25">
      <c r="A18" s="4" t="s">
        <v>77</v>
      </c>
      <c r="B18" s="55">
        <f t="shared" ref="B18:B29" si="8">($F$18*(C18-D18)*E18)</f>
        <v>39009003.263999999</v>
      </c>
      <c r="C18" s="8">
        <v>24</v>
      </c>
      <c r="D18" s="8">
        <v>-4.7</v>
      </c>
      <c r="E18" s="4">
        <v>744</v>
      </c>
      <c r="F18" s="55">
        <f>SUM(G18:I18)</f>
        <v>1826.88</v>
      </c>
      <c r="G18" s="55">
        <f>G2</f>
        <v>1356.47</v>
      </c>
      <c r="H18" s="55">
        <f>H2</f>
        <v>0</v>
      </c>
      <c r="I18" s="55">
        <f>SUM(W30:W53)</f>
        <v>470.40999999999997</v>
      </c>
      <c r="K18" s="19" t="str">
        <f t="shared" si="2"/>
        <v/>
      </c>
      <c r="L18" s="24"/>
      <c r="M18" s="311"/>
      <c r="N18" s="26" t="str">
        <f t="shared" si="3"/>
        <v/>
      </c>
      <c r="O18" s="27"/>
      <c r="Q18" s="19" t="str">
        <f t="shared" si="4"/>
        <v/>
      </c>
      <c r="R18" s="24"/>
      <c r="S18" s="25"/>
      <c r="T18" s="26" t="str">
        <f t="shared" si="1"/>
        <v/>
      </c>
      <c r="U18" s="27"/>
      <c r="W18" s="314" t="str">
        <f t="shared" si="5"/>
        <v/>
      </c>
      <c r="X18" s="24"/>
      <c r="Y18" s="24"/>
      <c r="Z18" s="310" t="str">
        <f t="shared" si="6"/>
        <v/>
      </c>
      <c r="AA18" s="24"/>
      <c r="AB18" s="310" t="str">
        <f t="shared" si="7"/>
        <v/>
      </c>
      <c r="AC18" s="162"/>
      <c r="AD18" s="313"/>
      <c r="AE18" s="313"/>
      <c r="AF18" s="313"/>
      <c r="AG18" s="313"/>
      <c r="AH18" s="313"/>
      <c r="AI18" s="313"/>
      <c r="AJ18" s="313"/>
      <c r="AK18" s="313"/>
      <c r="AL18" s="313"/>
      <c r="AM18" s="164"/>
    </row>
    <row r="19" spans="1:39" ht="17" x14ac:dyDescent="0.25">
      <c r="A19" s="4" t="s">
        <v>85</v>
      </c>
      <c r="B19" s="55">
        <f t="shared" si="8"/>
        <v>34129041.408</v>
      </c>
      <c r="C19" s="8">
        <v>24</v>
      </c>
      <c r="D19" s="8">
        <v>-3.8</v>
      </c>
      <c r="E19" s="4">
        <v>672</v>
      </c>
      <c r="H19" s="4"/>
      <c r="I19" s="4"/>
      <c r="K19" s="19" t="str">
        <f t="shared" si="2"/>
        <v/>
      </c>
      <c r="L19" s="24"/>
      <c r="M19" s="311"/>
      <c r="N19" s="26" t="str">
        <f t="shared" si="3"/>
        <v/>
      </c>
      <c r="O19" s="27"/>
      <c r="Q19" s="19" t="str">
        <f t="shared" si="4"/>
        <v/>
      </c>
      <c r="R19" s="24"/>
      <c r="S19" s="25"/>
      <c r="T19" s="26" t="str">
        <f t="shared" si="1"/>
        <v/>
      </c>
      <c r="U19" s="27"/>
      <c r="W19" s="314" t="str">
        <f t="shared" si="5"/>
        <v/>
      </c>
      <c r="X19" s="24"/>
      <c r="Y19" s="24"/>
      <c r="Z19" s="310" t="str">
        <f t="shared" si="6"/>
        <v/>
      </c>
      <c r="AA19" s="24"/>
      <c r="AB19" s="310" t="str">
        <f t="shared" si="7"/>
        <v/>
      </c>
      <c r="AC19" s="162"/>
      <c r="AD19" s="313"/>
      <c r="AE19" s="313"/>
      <c r="AF19" s="313"/>
      <c r="AG19" s="313"/>
      <c r="AH19" s="313"/>
      <c r="AI19" s="313"/>
      <c r="AJ19" s="313"/>
      <c r="AK19" s="313"/>
      <c r="AL19" s="313"/>
      <c r="AM19" s="164"/>
    </row>
    <row r="20" spans="1:39" ht="17" x14ac:dyDescent="0.25">
      <c r="A20" s="4" t="s">
        <v>87</v>
      </c>
      <c r="B20" s="55">
        <f t="shared" si="8"/>
        <v>31125650.688000001</v>
      </c>
      <c r="C20" s="8">
        <v>24</v>
      </c>
      <c r="D20" s="8">
        <v>1.1000000000000001</v>
      </c>
      <c r="E20" s="4">
        <v>744</v>
      </c>
      <c r="H20" s="4"/>
      <c r="I20" s="4"/>
      <c r="K20" s="19" t="str">
        <f t="shared" si="2"/>
        <v/>
      </c>
      <c r="L20" s="24"/>
      <c r="M20" s="311"/>
      <c r="N20" s="26" t="str">
        <f t="shared" si="3"/>
        <v/>
      </c>
      <c r="O20" s="27"/>
      <c r="Q20" s="19" t="str">
        <f t="shared" si="4"/>
        <v/>
      </c>
      <c r="R20" s="24"/>
      <c r="S20" s="25"/>
      <c r="T20" s="26" t="str">
        <f t="shared" si="1"/>
        <v/>
      </c>
      <c r="U20" s="27"/>
      <c r="W20" s="314" t="str">
        <f t="shared" si="5"/>
        <v/>
      </c>
      <c r="X20" s="24"/>
      <c r="Y20" s="24"/>
      <c r="Z20" s="310" t="str">
        <f t="shared" si="6"/>
        <v/>
      </c>
      <c r="AA20" s="24"/>
      <c r="AB20" s="310" t="str">
        <f t="shared" si="7"/>
        <v/>
      </c>
      <c r="AC20" s="162"/>
      <c r="AD20" s="313"/>
      <c r="AE20" s="313"/>
      <c r="AF20" s="313"/>
      <c r="AG20" s="313"/>
      <c r="AH20" s="313"/>
      <c r="AI20" s="313"/>
      <c r="AJ20" s="313"/>
      <c r="AK20" s="313"/>
      <c r="AL20" s="313"/>
      <c r="AM20" s="164"/>
    </row>
    <row r="21" spans="1:39" ht="17" x14ac:dyDescent="0.25">
      <c r="A21" s="4" t="s">
        <v>89</v>
      </c>
      <c r="B21" s="55">
        <f t="shared" si="8"/>
        <v>18941091.840000004</v>
      </c>
      <c r="C21" s="8">
        <v>24</v>
      </c>
      <c r="D21" s="8">
        <v>9.6</v>
      </c>
      <c r="E21" s="4">
        <v>720</v>
      </c>
      <c r="H21" s="4"/>
      <c r="I21" s="4"/>
      <c r="K21" s="19" t="str">
        <f t="shared" si="2"/>
        <v/>
      </c>
      <c r="L21" s="24"/>
      <c r="M21" s="311"/>
      <c r="N21" s="26" t="str">
        <f t="shared" si="3"/>
        <v/>
      </c>
      <c r="O21" s="27"/>
      <c r="Q21" s="19" t="str">
        <f t="shared" si="4"/>
        <v/>
      </c>
      <c r="R21" s="24"/>
      <c r="S21" s="25"/>
      <c r="T21" s="26" t="str">
        <f t="shared" si="1"/>
        <v/>
      </c>
      <c r="U21" s="27"/>
      <c r="W21" s="314" t="str">
        <f t="shared" si="5"/>
        <v/>
      </c>
      <c r="X21" s="24"/>
      <c r="Y21" s="24"/>
      <c r="Z21" s="310" t="str">
        <f t="shared" si="6"/>
        <v/>
      </c>
      <c r="AA21" s="24"/>
      <c r="AB21" s="310" t="str">
        <f t="shared" si="7"/>
        <v/>
      </c>
      <c r="AC21" s="162"/>
      <c r="AD21" s="313"/>
      <c r="AE21" s="313"/>
      <c r="AF21" s="313"/>
      <c r="AG21" s="313"/>
      <c r="AH21" s="313"/>
      <c r="AI21" s="313"/>
      <c r="AJ21" s="313"/>
      <c r="AK21" s="313"/>
      <c r="AL21" s="313"/>
      <c r="AM21" s="164"/>
    </row>
    <row r="22" spans="1:39" ht="17" x14ac:dyDescent="0.25">
      <c r="A22" s="4" t="s">
        <v>91</v>
      </c>
      <c r="B22" s="55">
        <f t="shared" si="8"/>
        <v>10873589.76</v>
      </c>
      <c r="C22" s="8">
        <v>24</v>
      </c>
      <c r="D22" s="8">
        <v>16</v>
      </c>
      <c r="E22" s="4">
        <v>744</v>
      </c>
      <c r="H22" s="4"/>
      <c r="I22" s="4"/>
      <c r="K22" s="19" t="str">
        <f t="shared" si="2"/>
        <v/>
      </c>
      <c r="L22" s="24"/>
      <c r="M22" s="311"/>
      <c r="N22" s="26" t="str">
        <f t="shared" si="3"/>
        <v/>
      </c>
      <c r="O22" s="27"/>
      <c r="Q22" s="19" t="str">
        <f t="shared" si="4"/>
        <v/>
      </c>
      <c r="R22" s="24"/>
      <c r="S22" s="25"/>
      <c r="T22" s="26" t="str">
        <f t="shared" si="1"/>
        <v/>
      </c>
      <c r="U22" s="27"/>
      <c r="W22" s="314" t="str">
        <f t="shared" si="5"/>
        <v/>
      </c>
      <c r="X22" s="24"/>
      <c r="Y22" s="24"/>
      <c r="Z22" s="310" t="str">
        <f t="shared" si="6"/>
        <v/>
      </c>
      <c r="AA22" s="24"/>
      <c r="AB22" s="310" t="str">
        <f t="shared" si="7"/>
        <v/>
      </c>
      <c r="AC22" s="162"/>
      <c r="AD22" s="313"/>
      <c r="AE22" s="313"/>
      <c r="AF22" s="313"/>
      <c r="AG22" s="313"/>
      <c r="AH22" s="313"/>
      <c r="AI22" s="313"/>
      <c r="AJ22" s="313"/>
      <c r="AK22" s="313"/>
      <c r="AL22" s="313"/>
      <c r="AM22" s="164"/>
    </row>
    <row r="23" spans="1:39" ht="17" x14ac:dyDescent="0.25">
      <c r="A23" s="4" t="s">
        <v>93</v>
      </c>
      <c r="B23" s="55">
        <f t="shared" si="8"/>
        <v>5787555.8399999989</v>
      </c>
      <c r="C23" s="8">
        <v>24</v>
      </c>
      <c r="D23" s="8">
        <v>19.600000000000001</v>
      </c>
      <c r="E23" s="4">
        <v>720</v>
      </c>
      <c r="H23" s="4"/>
      <c r="I23" s="4"/>
      <c r="K23" s="19" t="str">
        <f t="shared" si="2"/>
        <v/>
      </c>
      <c r="L23" s="24"/>
      <c r="M23" s="311"/>
      <c r="N23" s="26" t="str">
        <f t="shared" si="3"/>
        <v/>
      </c>
      <c r="O23" s="27"/>
      <c r="Q23" s="19" t="str">
        <f t="shared" si="4"/>
        <v/>
      </c>
      <c r="R23" s="24"/>
      <c r="S23" s="25"/>
      <c r="T23" s="26" t="str">
        <f t="shared" si="1"/>
        <v/>
      </c>
      <c r="U23" s="27"/>
      <c r="W23" s="314" t="str">
        <f t="shared" si="5"/>
        <v/>
      </c>
      <c r="X23" s="24"/>
      <c r="Y23" s="24"/>
      <c r="Z23" s="310" t="str">
        <f t="shared" si="6"/>
        <v/>
      </c>
      <c r="AA23" s="24"/>
      <c r="AB23" s="310" t="str">
        <f t="shared" si="7"/>
        <v/>
      </c>
      <c r="AC23" s="162"/>
      <c r="AD23" s="313"/>
      <c r="AE23" s="313"/>
      <c r="AF23" s="313"/>
      <c r="AG23" s="313"/>
      <c r="AH23" s="313"/>
      <c r="AI23" s="313"/>
      <c r="AJ23" s="313"/>
      <c r="AK23" s="313"/>
      <c r="AL23" s="313"/>
      <c r="AM23" s="164"/>
    </row>
    <row r="24" spans="1:39" ht="17" x14ac:dyDescent="0.25">
      <c r="A24" s="4" t="s">
        <v>95</v>
      </c>
      <c r="B24" s="55">
        <f t="shared" si="8"/>
        <v>3262076.9279999984</v>
      </c>
      <c r="C24" s="8">
        <v>24</v>
      </c>
      <c r="D24" s="8">
        <v>21.6</v>
      </c>
      <c r="E24" s="4">
        <v>744</v>
      </c>
      <c r="H24" s="4"/>
      <c r="I24" s="4"/>
      <c r="K24" s="19" t="str">
        <f t="shared" si="2"/>
        <v/>
      </c>
      <c r="L24" s="24"/>
      <c r="M24" s="311"/>
      <c r="N24" s="26" t="str">
        <f t="shared" si="3"/>
        <v/>
      </c>
      <c r="O24" s="27"/>
      <c r="Q24" s="19" t="str">
        <f t="shared" si="4"/>
        <v/>
      </c>
      <c r="R24" s="24"/>
      <c r="S24" s="25"/>
      <c r="T24" s="26" t="str">
        <f t="shared" si="1"/>
        <v/>
      </c>
      <c r="U24" s="27"/>
      <c r="W24" s="314" t="str">
        <f t="shared" si="5"/>
        <v/>
      </c>
      <c r="X24" s="24"/>
      <c r="Y24" s="24"/>
      <c r="Z24" s="310" t="str">
        <f t="shared" si="6"/>
        <v/>
      </c>
      <c r="AA24" s="24"/>
      <c r="AB24" s="310" t="str">
        <f t="shared" si="7"/>
        <v/>
      </c>
      <c r="AC24" s="162"/>
      <c r="AD24" s="313"/>
      <c r="AE24" s="313"/>
      <c r="AF24" s="313"/>
      <c r="AG24" s="313"/>
      <c r="AH24" s="313"/>
      <c r="AI24" s="313"/>
      <c r="AJ24" s="313"/>
      <c r="AK24" s="313"/>
      <c r="AL24" s="313"/>
      <c r="AM24" s="164"/>
    </row>
    <row r="25" spans="1:39" ht="17" x14ac:dyDescent="0.25">
      <c r="A25" s="4" t="s">
        <v>97</v>
      </c>
      <c r="B25" s="55">
        <f t="shared" si="8"/>
        <v>4485355.7760000015</v>
      </c>
      <c r="C25" s="8">
        <v>24</v>
      </c>
      <c r="D25" s="8">
        <v>20.7</v>
      </c>
      <c r="E25" s="4">
        <v>744</v>
      </c>
      <c r="H25" s="4"/>
      <c r="I25" s="4"/>
      <c r="K25" s="19" t="str">
        <f t="shared" si="2"/>
        <v/>
      </c>
      <c r="L25" s="24"/>
      <c r="M25" s="311"/>
      <c r="N25" s="26" t="str">
        <f t="shared" si="3"/>
        <v/>
      </c>
      <c r="O25" s="27"/>
      <c r="Q25" s="19" t="str">
        <f t="shared" si="4"/>
        <v/>
      </c>
      <c r="R25" s="24"/>
      <c r="S25" s="25"/>
      <c r="T25" s="26" t="str">
        <f t="shared" si="1"/>
        <v/>
      </c>
      <c r="U25" s="27"/>
      <c r="W25" s="314" t="str">
        <f t="shared" si="5"/>
        <v/>
      </c>
      <c r="X25" s="24"/>
      <c r="Y25" s="24"/>
      <c r="Z25" s="310" t="str">
        <f t="shared" si="6"/>
        <v/>
      </c>
      <c r="AA25" s="24"/>
      <c r="AB25" s="310" t="str">
        <f t="shared" si="7"/>
        <v/>
      </c>
      <c r="AC25" s="162"/>
      <c r="AD25" s="313"/>
      <c r="AE25" s="313"/>
      <c r="AF25" s="313"/>
      <c r="AG25" s="313"/>
      <c r="AH25" s="313"/>
      <c r="AI25" s="313"/>
      <c r="AJ25" s="313"/>
      <c r="AK25" s="313"/>
      <c r="AL25" s="313"/>
      <c r="AM25" s="164"/>
    </row>
    <row r="26" spans="1:39" ht="18" thickBot="1" x14ac:dyDescent="0.3">
      <c r="A26" s="4" t="s">
        <v>99</v>
      </c>
      <c r="B26" s="55">
        <f t="shared" si="8"/>
        <v>11312040.959999999</v>
      </c>
      <c r="C26" s="8">
        <v>24</v>
      </c>
      <c r="D26" s="8">
        <v>15.4</v>
      </c>
      <c r="E26" s="4">
        <v>720</v>
      </c>
      <c r="H26" s="4"/>
      <c r="I26" s="4"/>
      <c r="K26" s="49" t="str">
        <f t="shared" si="2"/>
        <v/>
      </c>
      <c r="L26" s="50"/>
      <c r="M26" s="88"/>
      <c r="N26" s="52" t="str">
        <f t="shared" si="3"/>
        <v/>
      </c>
      <c r="O26" s="53"/>
      <c r="Q26" s="49" t="str">
        <f t="shared" si="4"/>
        <v/>
      </c>
      <c r="R26" s="50"/>
      <c r="S26" s="51"/>
      <c r="T26" s="52" t="str">
        <f t="shared" si="1"/>
        <v/>
      </c>
      <c r="U26" s="53"/>
      <c r="W26" s="315" t="str">
        <f t="shared" si="5"/>
        <v/>
      </c>
      <c r="X26" s="50"/>
      <c r="Y26" s="50"/>
      <c r="Z26" s="54" t="str">
        <f t="shared" si="6"/>
        <v/>
      </c>
      <c r="AA26" s="50"/>
      <c r="AB26" s="54" t="str">
        <f t="shared" si="7"/>
        <v/>
      </c>
      <c r="AC26" s="165"/>
      <c r="AD26" s="166"/>
      <c r="AE26" s="166"/>
      <c r="AF26" s="166"/>
      <c r="AG26" s="166"/>
      <c r="AH26" s="166"/>
      <c r="AI26" s="166"/>
      <c r="AJ26" s="166"/>
      <c r="AK26" s="166"/>
      <c r="AL26" s="166"/>
      <c r="AM26" s="167"/>
    </row>
    <row r="27" spans="1:39" ht="18" thickBot="1" x14ac:dyDescent="0.3">
      <c r="A27" s="4" t="s">
        <v>101</v>
      </c>
      <c r="B27" s="55">
        <f t="shared" si="8"/>
        <v>20931660.288000003</v>
      </c>
      <c r="C27" s="8">
        <v>24</v>
      </c>
      <c r="D27" s="8">
        <v>8.6</v>
      </c>
      <c r="E27" s="4">
        <v>744</v>
      </c>
      <c r="H27" s="4"/>
      <c r="I27" s="4"/>
    </row>
    <row r="28" spans="1:39" ht="18" thickBot="1" x14ac:dyDescent="0.3">
      <c r="A28" s="4" t="s">
        <v>103</v>
      </c>
      <c r="B28" s="55">
        <f t="shared" si="8"/>
        <v>28674708.480000004</v>
      </c>
      <c r="C28" s="8">
        <v>24</v>
      </c>
      <c r="D28" s="8">
        <v>2.2000000000000002</v>
      </c>
      <c r="E28" s="4">
        <v>720</v>
      </c>
      <c r="H28" s="4"/>
      <c r="I28" s="4"/>
      <c r="W28" s="168" t="s">
        <v>662</v>
      </c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  <c r="AM28" s="170"/>
    </row>
    <row r="29" spans="1:39" ht="17" x14ac:dyDescent="0.25">
      <c r="A29" s="4" t="s">
        <v>105</v>
      </c>
      <c r="B29" s="55">
        <f t="shared" si="8"/>
        <v>36018766.079999998</v>
      </c>
      <c r="C29" s="8">
        <v>24</v>
      </c>
      <c r="D29" s="8">
        <v>-2.5</v>
      </c>
      <c r="E29" s="4">
        <v>744</v>
      </c>
      <c r="H29" s="4"/>
      <c r="I29" s="4"/>
      <c r="W29" s="9" t="s">
        <v>78</v>
      </c>
      <c r="X29" s="10" t="s">
        <v>79</v>
      </c>
      <c r="Y29" s="11" t="s">
        <v>80</v>
      </c>
      <c r="Z29" s="14" t="s">
        <v>81</v>
      </c>
      <c r="AA29" s="15" t="s">
        <v>82</v>
      </c>
      <c r="AB29" s="16" t="s">
        <v>83</v>
      </c>
      <c r="AC29" s="174" t="s">
        <v>74</v>
      </c>
      <c r="AD29" s="174"/>
      <c r="AE29" s="174"/>
      <c r="AF29" s="174"/>
      <c r="AG29" s="174"/>
      <c r="AH29" s="174"/>
      <c r="AI29" s="174"/>
      <c r="AJ29" s="174"/>
      <c r="AK29" s="174"/>
      <c r="AL29" s="174"/>
      <c r="AM29" s="175"/>
    </row>
    <row r="30" spans="1:39" x14ac:dyDescent="0.2">
      <c r="A30" s="4"/>
      <c r="H30" s="4"/>
      <c r="I30" s="4"/>
      <c r="W30" s="314">
        <f>IFERROR(ROUND(IF(ISBLANK(AB30),Z30*Y30*1,Z30*Y30*AB30),2),"")</f>
        <v>47.82</v>
      </c>
      <c r="X30" s="20" t="str">
        <f t="shared" ref="X30:Y38" si="9">X3</f>
        <v>Підлога</v>
      </c>
      <c r="Y30" s="316">
        <f t="shared" si="9"/>
        <v>648.76</v>
      </c>
      <c r="Z30">
        <f>IFERROR(1/AA30,"")</f>
        <v>0.24570024570024568</v>
      </c>
      <c r="AA30" s="24">
        <f t="shared" ref="AA30:AA38" si="10">AA3</f>
        <v>4.07</v>
      </c>
      <c r="AB30">
        <f>IFERROR(VLOOKUP(AC30,$AO$2:$BA$12,13,FALSE),"")</f>
        <v>0.3</v>
      </c>
      <c r="AC30" s="176" t="str">
        <f t="shared" ref="AC30:AC38" si="11">AC3</f>
        <v>Технічне підпілля</v>
      </c>
      <c r="AD30" s="177"/>
      <c r="AE30" s="177"/>
      <c r="AF30" s="177"/>
      <c r="AG30" s="177"/>
      <c r="AH30" s="177"/>
      <c r="AI30" s="177"/>
      <c r="AJ30" s="177"/>
      <c r="AK30" s="177"/>
      <c r="AL30" s="177"/>
      <c r="AM30" s="178"/>
    </row>
    <row r="31" spans="1:39" x14ac:dyDescent="0.2">
      <c r="H31" s="4"/>
      <c r="I31" s="4"/>
      <c r="W31" s="314">
        <f t="shared" ref="W31:W53" si="12">IFERROR(ROUND(IF(ISBLANK(AB31),Z31*Y31*1,Z31*Y31*AB31),2),"")</f>
        <v>0</v>
      </c>
      <c r="X31" s="24" t="str">
        <f t="shared" si="9"/>
        <v>Дах</v>
      </c>
      <c r="Y31" s="316">
        <f t="shared" si="9"/>
        <v>655.37</v>
      </c>
      <c r="Z31">
        <f t="shared" ref="Z31:Z53" si="13">IFERROR(1/AA31,"")</f>
        <v>1.7543859649122808</v>
      </c>
      <c r="AA31" s="24">
        <f t="shared" si="10"/>
        <v>0.56999999999999995</v>
      </c>
      <c r="AB31">
        <f t="shared" ref="AB31:AB53" si="14">IFERROR(VLOOKUP(AC31,$AO$2:$BA$12,13,FALSE),"")</f>
        <v>0</v>
      </c>
      <c r="AC31" s="162" t="str">
        <f t="shared" si="11"/>
        <v>Холодне горище багатоповерхових будівель</v>
      </c>
      <c r="AD31" s="163"/>
      <c r="AE31" s="163"/>
      <c r="AF31" s="163"/>
      <c r="AG31" s="163"/>
      <c r="AH31" s="163"/>
      <c r="AI31" s="163"/>
      <c r="AJ31" s="163"/>
      <c r="AK31" s="163"/>
      <c r="AL31" s="163"/>
      <c r="AM31" s="164"/>
    </row>
    <row r="32" spans="1:39" ht="16" thickBot="1" x14ac:dyDescent="0.25">
      <c r="H32" s="4"/>
      <c r="I32" s="4"/>
      <c r="W32" s="314">
        <f t="shared" si="12"/>
        <v>210.6</v>
      </c>
      <c r="X32" s="24" t="str">
        <f t="shared" si="9"/>
        <v>Скління</v>
      </c>
      <c r="Y32" s="316">
        <f t="shared" si="9"/>
        <v>157.95000000000002</v>
      </c>
      <c r="Z32">
        <f t="shared" si="13"/>
        <v>1.3333333333333333</v>
      </c>
      <c r="AA32" s="24">
        <f t="shared" si="10"/>
        <v>0.75</v>
      </c>
      <c r="AB32">
        <f t="shared" si="14"/>
        <v>1</v>
      </c>
      <c r="AC32" s="162" t="str">
        <f t="shared" si="11"/>
        <v>Засклений балкон/лоджія для нового проектування</v>
      </c>
      <c r="AD32" s="163"/>
      <c r="AE32" s="163"/>
      <c r="AF32" s="163"/>
      <c r="AG32" s="163"/>
      <c r="AH32" s="163"/>
      <c r="AI32" s="163"/>
      <c r="AJ32" s="163"/>
      <c r="AK32" s="163"/>
      <c r="AL32" s="163"/>
      <c r="AM32" s="164"/>
    </row>
    <row r="33" spans="2:39" x14ac:dyDescent="0.2">
      <c r="B33" s="168" t="str">
        <f>'Вхідні дані'!H3</f>
        <v>1-380-100</v>
      </c>
      <c r="C33" s="169"/>
      <c r="D33" s="169"/>
      <c r="E33" s="169"/>
      <c r="F33" s="169"/>
      <c r="G33" s="170"/>
      <c r="I33" s="168" t="str">
        <f>'Вхідні дані'!O3</f>
        <v>1-380-0 балкон</v>
      </c>
      <c r="J33" s="169"/>
      <c r="K33" s="169"/>
      <c r="L33" s="169"/>
      <c r="M33" s="169"/>
      <c r="N33" s="170"/>
      <c r="W33" s="314">
        <f t="shared" si="12"/>
        <v>117.09</v>
      </c>
      <c r="X33" s="24" t="str">
        <f t="shared" si="9"/>
        <v>1-380-0 балкон</v>
      </c>
      <c r="Y33" s="316">
        <f t="shared" si="9"/>
        <v>80.789999999999992</v>
      </c>
      <c r="Z33">
        <f t="shared" si="13"/>
        <v>1.4492753623188408</v>
      </c>
      <c r="AA33" s="24">
        <f t="shared" si="10"/>
        <v>0.69</v>
      </c>
      <c r="AB33">
        <f t="shared" si="14"/>
        <v>1</v>
      </c>
      <c r="AC33" s="162" t="str">
        <f t="shared" si="11"/>
        <v>Засклений балкон/лоджія для нового проектування</v>
      </c>
      <c r="AD33" s="163"/>
      <c r="AE33" s="163"/>
      <c r="AF33" s="163"/>
      <c r="AG33" s="163"/>
      <c r="AH33" s="163"/>
      <c r="AI33" s="163"/>
      <c r="AJ33" s="163"/>
      <c r="AK33" s="163"/>
      <c r="AL33" s="163"/>
      <c r="AM33" s="164"/>
    </row>
    <row r="34" spans="2:39" ht="16" thickBot="1" x14ac:dyDescent="0.25">
      <c r="B34" s="171"/>
      <c r="C34" s="172"/>
      <c r="D34" s="172"/>
      <c r="E34" s="172"/>
      <c r="F34" s="172"/>
      <c r="G34" s="173"/>
      <c r="I34" s="171"/>
      <c r="J34" s="172"/>
      <c r="K34" s="172"/>
      <c r="L34" s="172"/>
      <c r="M34" s="172"/>
      <c r="N34" s="173"/>
      <c r="W34" s="314">
        <f t="shared" si="12"/>
        <v>0</v>
      </c>
      <c r="X34" s="24" t="str">
        <f t="shared" si="9"/>
        <v>1-380-0 тамбур</v>
      </c>
      <c r="Y34" s="316">
        <f t="shared" si="9"/>
        <v>68.3</v>
      </c>
      <c r="Z34">
        <f t="shared" si="13"/>
        <v>1.4492753623188408</v>
      </c>
      <c r="AA34" s="24">
        <f t="shared" si="10"/>
        <v>0.69</v>
      </c>
      <c r="AB34">
        <f t="shared" si="14"/>
        <v>0</v>
      </c>
      <c r="AC34" s="162" t="str">
        <f t="shared" si="11"/>
        <v>Неопалюване приміщення з двома зовнішніми стінами та дверима (наприклад, тамбур, хол, гараж)</v>
      </c>
      <c r="AD34" s="163"/>
      <c r="AE34" s="163"/>
      <c r="AF34" s="163"/>
      <c r="AG34" s="163"/>
      <c r="AH34" s="163"/>
      <c r="AI34" s="163"/>
      <c r="AJ34" s="163"/>
      <c r="AK34" s="163"/>
      <c r="AL34" s="163"/>
      <c r="AM34" s="164"/>
    </row>
    <row r="35" spans="2:39" ht="17" x14ac:dyDescent="0.25">
      <c r="B35" s="30" t="s">
        <v>106</v>
      </c>
      <c r="C35" s="31" t="s">
        <v>107</v>
      </c>
      <c r="D35" s="4"/>
      <c r="E35" s="4"/>
      <c r="F35" s="32" t="s">
        <v>108</v>
      </c>
      <c r="G35" s="33" t="s">
        <v>109</v>
      </c>
      <c r="I35" s="30" t="s">
        <v>106</v>
      </c>
      <c r="J35" s="31" t="s">
        <v>107</v>
      </c>
      <c r="K35" s="4"/>
      <c r="L35" s="4"/>
      <c r="M35" s="32" t="s">
        <v>108</v>
      </c>
      <c r="N35" s="33" t="s">
        <v>109</v>
      </c>
      <c r="W35" s="314">
        <f t="shared" si="12"/>
        <v>54.27</v>
      </c>
      <c r="X35" s="24" t="str">
        <f t="shared" si="9"/>
        <v>1-380-150 балкон</v>
      </c>
      <c r="Y35" s="316">
        <f t="shared" si="9"/>
        <v>257.76000000000005</v>
      </c>
      <c r="Z35">
        <f t="shared" si="13"/>
        <v>0.21052631578947367</v>
      </c>
      <c r="AA35" s="24">
        <f t="shared" si="10"/>
        <v>4.75</v>
      </c>
      <c r="AB35">
        <f t="shared" si="14"/>
        <v>1</v>
      </c>
      <c r="AC35" s="162" t="str">
        <f t="shared" si="11"/>
        <v>Засклений балкон/лоджія для нового проектування</v>
      </c>
      <c r="AD35" s="163"/>
      <c r="AE35" s="163"/>
      <c r="AF35" s="163"/>
      <c r="AG35" s="163"/>
      <c r="AH35" s="163"/>
      <c r="AI35" s="163"/>
      <c r="AJ35" s="163"/>
      <c r="AK35" s="163"/>
      <c r="AL35" s="163"/>
      <c r="AM35" s="164"/>
    </row>
    <row r="36" spans="2:39" ht="17" x14ac:dyDescent="0.25">
      <c r="B36" s="34" t="s">
        <v>110</v>
      </c>
      <c r="C36" s="35">
        <v>8.6999999999999993</v>
      </c>
      <c r="D36" s="4" t="s">
        <v>111</v>
      </c>
      <c r="E36" s="36">
        <f t="shared" ref="E36:E41" si="15">IFERROR(F36/G36,"")</f>
        <v>0.43678160919540232</v>
      </c>
      <c r="F36" s="37">
        <v>0.38</v>
      </c>
      <c r="G36" s="38">
        <f>Матеріали!$I$4</f>
        <v>0.87</v>
      </c>
      <c r="I36" s="34" t="s">
        <v>110</v>
      </c>
      <c r="J36" s="35">
        <v>8.6999999999999993</v>
      </c>
      <c r="K36" s="4" t="s">
        <v>111</v>
      </c>
      <c r="L36" s="36">
        <f t="shared" ref="L36:L41" si="16">IFERROR(M36/N36,"")</f>
        <v>0.43678160919540232</v>
      </c>
      <c r="M36" s="37">
        <v>0.38</v>
      </c>
      <c r="N36" s="38">
        <f>Матеріали!$I$4</f>
        <v>0.87</v>
      </c>
      <c r="W36" s="314">
        <f t="shared" si="12"/>
        <v>28.93</v>
      </c>
      <c r="X36" s="24" t="str">
        <f t="shared" si="9"/>
        <v>1-510-0 балкон</v>
      </c>
      <c r="Y36" s="316">
        <f t="shared" si="9"/>
        <v>24.3</v>
      </c>
      <c r="Z36">
        <f t="shared" si="13"/>
        <v>1.1904761904761905</v>
      </c>
      <c r="AA36" s="24">
        <f t="shared" si="10"/>
        <v>0.84</v>
      </c>
      <c r="AB36">
        <f t="shared" si="14"/>
        <v>1</v>
      </c>
      <c r="AC36" s="162" t="str">
        <f t="shared" si="11"/>
        <v>Засклений балкон/лоджія для нового проектування</v>
      </c>
      <c r="AD36" s="163"/>
      <c r="AE36" s="163"/>
      <c r="AF36" s="163"/>
      <c r="AG36" s="163"/>
      <c r="AH36" s="163"/>
      <c r="AI36" s="163"/>
      <c r="AJ36" s="163"/>
      <c r="AK36" s="163"/>
      <c r="AL36" s="163"/>
      <c r="AM36" s="164"/>
    </row>
    <row r="37" spans="2:39" ht="17" x14ac:dyDescent="0.25">
      <c r="B37" s="34" t="s">
        <v>112</v>
      </c>
      <c r="C37" s="35">
        <v>23</v>
      </c>
      <c r="D37" s="4" t="s">
        <v>113</v>
      </c>
      <c r="E37" s="39">
        <f t="shared" si="15"/>
        <v>2.7027027027027031</v>
      </c>
      <c r="F37" s="40">
        <v>0.1</v>
      </c>
      <c r="G37" s="41">
        <f>Матеріали!$I$5</f>
        <v>3.6999999999999998E-2</v>
      </c>
      <c r="I37" s="34" t="s">
        <v>112</v>
      </c>
      <c r="J37" s="35">
        <v>12</v>
      </c>
      <c r="K37" s="4" t="s">
        <v>113</v>
      </c>
      <c r="L37" s="39">
        <f>IFERROR(M37/N37,"")</f>
        <v>5.8823529411764705E-2</v>
      </c>
      <c r="M37" s="40">
        <v>0.01</v>
      </c>
      <c r="N37" s="41">
        <f>Матеріали!$I$6</f>
        <v>0.17</v>
      </c>
      <c r="W37" s="314">
        <f t="shared" si="12"/>
        <v>0</v>
      </c>
      <c r="X37" s="24" t="str">
        <f t="shared" si="9"/>
        <v>1-510-0 тамбур</v>
      </c>
      <c r="Y37" s="316">
        <f t="shared" si="9"/>
        <v>9.9</v>
      </c>
      <c r="Z37">
        <f t="shared" si="13"/>
        <v>1.1904761904761905</v>
      </c>
      <c r="AA37" s="24">
        <f t="shared" si="10"/>
        <v>0.84</v>
      </c>
      <c r="AB37">
        <f t="shared" si="14"/>
        <v>0</v>
      </c>
      <c r="AC37" s="162" t="str">
        <f t="shared" si="11"/>
        <v>Неопалюване приміщення з двома зовнішніми стінами та дверима (наприклад, тамбур, хол, гараж)</v>
      </c>
      <c r="AD37" s="163"/>
      <c r="AE37" s="163"/>
      <c r="AF37" s="163"/>
      <c r="AG37" s="163"/>
      <c r="AH37" s="163"/>
      <c r="AI37" s="163"/>
      <c r="AJ37" s="163"/>
      <c r="AK37" s="163"/>
      <c r="AL37" s="163"/>
      <c r="AM37" s="164"/>
    </row>
    <row r="38" spans="2:39" ht="17" x14ac:dyDescent="0.25">
      <c r="B38" s="19" t="s">
        <v>114</v>
      </c>
      <c r="C38" s="2">
        <f>1/((1/C36)+SUM(E36:E41)+(1/C37))</f>
        <v>0.29790909839720736</v>
      </c>
      <c r="D38" s="4" t="s">
        <v>115</v>
      </c>
      <c r="E38" s="39">
        <f t="shared" si="15"/>
        <v>5.8823529411764705E-2</v>
      </c>
      <c r="F38" s="40">
        <v>0.01</v>
      </c>
      <c r="G38" s="41">
        <f>Матеріали!$I$6</f>
        <v>0.17</v>
      </c>
      <c r="I38" s="19" t="s">
        <v>114</v>
      </c>
      <c r="J38" s="2">
        <f>1/((1/J36)+SUM(L36:L41)+(1/J37))</f>
        <v>1.4411693057247259</v>
      </c>
      <c r="K38" s="4" t="s">
        <v>115</v>
      </c>
      <c r="L38" s="39" t="str">
        <f>IFERROR(M38/N38,"")</f>
        <v/>
      </c>
      <c r="M38" s="40"/>
      <c r="N38" s="41"/>
      <c r="W38" s="314">
        <f t="shared" si="12"/>
        <v>11.7</v>
      </c>
      <c r="X38" s="24" t="str">
        <f t="shared" si="9"/>
        <v>1-510-100 балкон</v>
      </c>
      <c r="Y38" s="316">
        <f t="shared" si="9"/>
        <v>41.52</v>
      </c>
      <c r="Z38">
        <f t="shared" si="13"/>
        <v>0.28169014084507044</v>
      </c>
      <c r="AA38" s="24">
        <f t="shared" si="10"/>
        <v>3.55</v>
      </c>
      <c r="AB38">
        <f t="shared" si="14"/>
        <v>1</v>
      </c>
      <c r="AC38" s="162" t="str">
        <f t="shared" si="11"/>
        <v>Засклений балкон/лоджія для нового проектування</v>
      </c>
      <c r="AD38" s="163"/>
      <c r="AE38" s="163"/>
      <c r="AF38" s="163"/>
      <c r="AG38" s="163"/>
      <c r="AH38" s="163"/>
      <c r="AI38" s="163"/>
      <c r="AJ38" s="163"/>
      <c r="AK38" s="163"/>
      <c r="AL38" s="163"/>
      <c r="AM38" s="164"/>
    </row>
    <row r="39" spans="2:39" ht="17" x14ac:dyDescent="0.25">
      <c r="B39" s="19" t="s">
        <v>116</v>
      </c>
      <c r="C39" s="2" cm="1">
        <f t="array" ref="C39">_xlfn.IFS(C38&gt;=0.8,0,AND(0.4&lt;=C38,C38&lt;0.8),0.05,C38&lt;0.4,0.1)</f>
        <v>0.1</v>
      </c>
      <c r="D39" s="4" t="s">
        <v>117</v>
      </c>
      <c r="E39" s="39" t="str">
        <f t="shared" si="15"/>
        <v/>
      </c>
      <c r="F39" s="40"/>
      <c r="G39" s="41"/>
      <c r="I39" s="19" t="s">
        <v>116</v>
      </c>
      <c r="J39" s="2" cm="1">
        <f t="array" ref="J39">_xlfn.IFS(J38&gt;=0.8,0,AND(0.4&lt;=J38,J38&lt;0.8),0.05,J38&lt;0.4,0.1)</f>
        <v>0</v>
      </c>
      <c r="K39" s="4" t="s">
        <v>117</v>
      </c>
      <c r="L39" s="39" t="str">
        <f t="shared" si="16"/>
        <v/>
      </c>
      <c r="M39" s="40"/>
      <c r="N39" s="41"/>
      <c r="W39" s="314" t="str">
        <f t="shared" si="12"/>
        <v/>
      </c>
      <c r="X39" s="24"/>
      <c r="Y39" s="316"/>
      <c r="Z39" t="str">
        <f t="shared" si="13"/>
        <v/>
      </c>
      <c r="AA39" s="24"/>
      <c r="AB39" t="str">
        <f t="shared" si="14"/>
        <v/>
      </c>
      <c r="AC39" s="162"/>
      <c r="AD39" s="163"/>
      <c r="AE39" s="163"/>
      <c r="AF39" s="163"/>
      <c r="AG39" s="163"/>
      <c r="AH39" s="163"/>
      <c r="AI39" s="163"/>
      <c r="AJ39" s="163"/>
      <c r="AK39" s="163"/>
      <c r="AL39" s="163"/>
      <c r="AM39" s="164"/>
    </row>
    <row r="40" spans="2:39" x14ac:dyDescent="0.2">
      <c r="B40" s="42" t="s">
        <v>118</v>
      </c>
      <c r="C40" s="2" t="s">
        <v>107</v>
      </c>
      <c r="D40" s="4" t="s">
        <v>119</v>
      </c>
      <c r="E40" s="39" t="str">
        <f t="shared" si="15"/>
        <v/>
      </c>
      <c r="F40" s="40"/>
      <c r="G40" s="41"/>
      <c r="I40" s="42" t="s">
        <v>118</v>
      </c>
      <c r="J40" s="2" t="s">
        <v>107</v>
      </c>
      <c r="K40" s="4" t="s">
        <v>119</v>
      </c>
      <c r="L40" s="39" t="str">
        <f t="shared" si="16"/>
        <v/>
      </c>
      <c r="M40" s="40"/>
      <c r="N40" s="41"/>
      <c r="W40" s="314" t="str">
        <f t="shared" si="12"/>
        <v/>
      </c>
      <c r="X40" s="24"/>
      <c r="Y40" s="316"/>
      <c r="Z40" t="str">
        <f t="shared" si="13"/>
        <v/>
      </c>
      <c r="AA40" s="24"/>
      <c r="AB40" t="str">
        <f t="shared" si="14"/>
        <v/>
      </c>
      <c r="AC40" s="162"/>
      <c r="AD40" s="163"/>
      <c r="AE40" s="163"/>
      <c r="AF40" s="163"/>
      <c r="AG40" s="163"/>
      <c r="AH40" s="163"/>
      <c r="AI40" s="163"/>
      <c r="AJ40" s="163"/>
      <c r="AK40" s="163"/>
      <c r="AL40" s="163"/>
      <c r="AM40" s="164"/>
    </row>
    <row r="41" spans="2:39" ht="18" thickBot="1" x14ac:dyDescent="0.3">
      <c r="B41" s="43" t="s">
        <v>120</v>
      </c>
      <c r="C41" s="44">
        <f>ROUND(IF(C40="так",1/(C38+C39),1/C38),2)</f>
        <v>3.36</v>
      </c>
      <c r="D41" s="45" t="s">
        <v>121</v>
      </c>
      <c r="E41" s="46" t="str">
        <f t="shared" si="15"/>
        <v/>
      </c>
      <c r="F41" s="47"/>
      <c r="G41" s="48"/>
      <c r="I41" s="43" t="s">
        <v>120</v>
      </c>
      <c r="J41" s="44">
        <f>ROUND(IF(J40="так",1/(J38+J39),1/J38),2)</f>
        <v>0.69</v>
      </c>
      <c r="K41" s="45" t="s">
        <v>121</v>
      </c>
      <c r="L41" s="46" t="str">
        <f t="shared" si="16"/>
        <v/>
      </c>
      <c r="M41" s="47"/>
      <c r="N41" s="48"/>
      <c r="W41" s="314" t="str">
        <f t="shared" si="12"/>
        <v/>
      </c>
      <c r="X41" s="24"/>
      <c r="Y41" s="316"/>
      <c r="Z41" t="str">
        <f t="shared" si="13"/>
        <v/>
      </c>
      <c r="AA41" s="24"/>
      <c r="AB41" t="str">
        <f t="shared" si="14"/>
        <v/>
      </c>
      <c r="AC41" s="162"/>
      <c r="AD41" s="163"/>
      <c r="AE41" s="163"/>
      <c r="AF41" s="163"/>
      <c r="AG41" s="163"/>
      <c r="AH41" s="163"/>
      <c r="AI41" s="163"/>
      <c r="AJ41" s="163"/>
      <c r="AK41" s="163"/>
      <c r="AL41" s="163"/>
      <c r="AM41" s="164"/>
    </row>
    <row r="42" spans="2:39" ht="16" thickBot="1" x14ac:dyDescent="0.25">
      <c r="W42" s="314" t="str">
        <f t="shared" si="12"/>
        <v/>
      </c>
      <c r="X42" s="24"/>
      <c r="Y42" s="316"/>
      <c r="Z42" t="str">
        <f t="shared" si="13"/>
        <v/>
      </c>
      <c r="AA42" s="24"/>
      <c r="AB42" t="str">
        <f t="shared" si="14"/>
        <v/>
      </c>
      <c r="AC42" s="162"/>
      <c r="AD42" s="163"/>
      <c r="AE42" s="163"/>
      <c r="AF42" s="163"/>
      <c r="AG42" s="163"/>
      <c r="AH42" s="163"/>
      <c r="AI42" s="163"/>
      <c r="AJ42" s="163"/>
      <c r="AK42" s="163"/>
      <c r="AL42" s="163"/>
      <c r="AM42" s="164"/>
    </row>
    <row r="43" spans="2:39" x14ac:dyDescent="0.2">
      <c r="B43" s="168" t="str">
        <f>'Вхідні дані'!H4</f>
        <v>1-380-150</v>
      </c>
      <c r="C43" s="169"/>
      <c r="D43" s="169"/>
      <c r="E43" s="169"/>
      <c r="F43" s="169"/>
      <c r="G43" s="170"/>
      <c r="I43" s="168" t="str">
        <f>'Вхідні дані'!O5</f>
        <v>1-380-150 балкон</v>
      </c>
      <c r="J43" s="169"/>
      <c r="K43" s="169"/>
      <c r="L43" s="169"/>
      <c r="M43" s="169"/>
      <c r="N43" s="170"/>
      <c r="W43" s="314" t="str">
        <f t="shared" si="12"/>
        <v/>
      </c>
      <c r="X43" s="24"/>
      <c r="Y43" s="316"/>
      <c r="Z43" t="str">
        <f t="shared" si="13"/>
        <v/>
      </c>
      <c r="AA43" s="24"/>
      <c r="AB43" t="str">
        <f t="shared" si="14"/>
        <v/>
      </c>
      <c r="AC43" s="162"/>
      <c r="AD43" s="163"/>
      <c r="AE43" s="163"/>
      <c r="AF43" s="163"/>
      <c r="AG43" s="163"/>
      <c r="AH43" s="163"/>
      <c r="AI43" s="163"/>
      <c r="AJ43" s="163"/>
      <c r="AK43" s="163"/>
      <c r="AL43" s="163"/>
      <c r="AM43" s="164"/>
    </row>
    <row r="44" spans="2:39" ht="16" thickBot="1" x14ac:dyDescent="0.25">
      <c r="B44" s="171"/>
      <c r="C44" s="172"/>
      <c r="D44" s="172"/>
      <c r="E44" s="172"/>
      <c r="F44" s="172"/>
      <c r="G44" s="173"/>
      <c r="I44" s="171"/>
      <c r="J44" s="172"/>
      <c r="K44" s="172"/>
      <c r="L44" s="172"/>
      <c r="M44" s="172"/>
      <c r="N44" s="173"/>
      <c r="W44" s="314" t="str">
        <f t="shared" si="12"/>
        <v/>
      </c>
      <c r="X44" s="24"/>
      <c r="Y44" s="316"/>
      <c r="Z44" t="str">
        <f t="shared" si="13"/>
        <v/>
      </c>
      <c r="AA44" s="24"/>
      <c r="AB44" t="str">
        <f t="shared" si="14"/>
        <v/>
      </c>
      <c r="AC44" s="162"/>
      <c r="AD44" s="163"/>
      <c r="AE44" s="163"/>
      <c r="AF44" s="163"/>
      <c r="AG44" s="163"/>
      <c r="AH44" s="163"/>
      <c r="AI44" s="163"/>
      <c r="AJ44" s="163"/>
      <c r="AK44" s="163"/>
      <c r="AL44" s="163"/>
      <c r="AM44" s="164"/>
    </row>
    <row r="45" spans="2:39" ht="17" x14ac:dyDescent="0.25">
      <c r="B45" s="30" t="s">
        <v>106</v>
      </c>
      <c r="C45" s="31" t="s">
        <v>107</v>
      </c>
      <c r="D45" s="4"/>
      <c r="E45" s="4"/>
      <c r="F45" s="32" t="s">
        <v>108</v>
      </c>
      <c r="G45" s="33" t="s">
        <v>109</v>
      </c>
      <c r="I45" s="30" t="s">
        <v>106</v>
      </c>
      <c r="J45" s="31" t="s">
        <v>107</v>
      </c>
      <c r="K45" s="4"/>
      <c r="L45" s="4"/>
      <c r="M45" s="32" t="s">
        <v>108</v>
      </c>
      <c r="N45" s="33" t="s">
        <v>109</v>
      </c>
      <c r="W45" s="314" t="str">
        <f t="shared" si="12"/>
        <v/>
      </c>
      <c r="X45" s="24"/>
      <c r="Y45" s="316"/>
      <c r="Z45" t="str">
        <f t="shared" si="13"/>
        <v/>
      </c>
      <c r="AA45" s="24"/>
      <c r="AB45" t="str">
        <f t="shared" si="14"/>
        <v/>
      </c>
      <c r="AC45" s="162"/>
      <c r="AD45" s="163"/>
      <c r="AE45" s="163"/>
      <c r="AF45" s="163"/>
      <c r="AG45" s="163"/>
      <c r="AH45" s="163"/>
      <c r="AI45" s="163"/>
      <c r="AJ45" s="163"/>
      <c r="AK45" s="163"/>
      <c r="AL45" s="163"/>
      <c r="AM45" s="164"/>
    </row>
    <row r="46" spans="2:39" ht="17" x14ac:dyDescent="0.25">
      <c r="B46" s="34" t="s">
        <v>110</v>
      </c>
      <c r="C46" s="35">
        <v>8.6999999999999993</v>
      </c>
      <c r="D46" s="4" t="s">
        <v>111</v>
      </c>
      <c r="E46" s="36">
        <f t="shared" ref="E46:E51" si="17">IFERROR(F46/G46,"")</f>
        <v>0.43678160919540232</v>
      </c>
      <c r="F46" s="37">
        <v>0.38</v>
      </c>
      <c r="G46" s="38">
        <f>Матеріали!$I$4</f>
        <v>0.87</v>
      </c>
      <c r="I46" s="34" t="s">
        <v>110</v>
      </c>
      <c r="J46" s="35">
        <v>8.6999999999999993</v>
      </c>
      <c r="K46" s="4" t="s">
        <v>111</v>
      </c>
      <c r="L46" s="36">
        <f t="shared" ref="L46:L51" si="18">IFERROR(M46/N46,"")</f>
        <v>0.43678160919540232</v>
      </c>
      <c r="M46" s="37">
        <v>0.38</v>
      </c>
      <c r="N46" s="38">
        <f>Матеріали!$I$4</f>
        <v>0.87</v>
      </c>
      <c r="W46" s="314" t="str">
        <f t="shared" si="12"/>
        <v/>
      </c>
      <c r="X46" s="24"/>
      <c r="Y46" s="316"/>
      <c r="Z46" t="str">
        <f t="shared" si="13"/>
        <v/>
      </c>
      <c r="AA46" s="24"/>
      <c r="AB46" t="str">
        <f t="shared" si="14"/>
        <v/>
      </c>
      <c r="AC46" s="162"/>
      <c r="AD46" s="163"/>
      <c r="AE46" s="163"/>
      <c r="AF46" s="163"/>
      <c r="AG46" s="163"/>
      <c r="AH46" s="163"/>
      <c r="AI46" s="163"/>
      <c r="AJ46" s="163"/>
      <c r="AK46" s="163"/>
      <c r="AL46" s="163"/>
      <c r="AM46" s="164"/>
    </row>
    <row r="47" spans="2:39" ht="17" x14ac:dyDescent="0.25">
      <c r="B47" s="34" t="s">
        <v>112</v>
      </c>
      <c r="C47" s="35">
        <v>23</v>
      </c>
      <c r="D47" s="4" t="s">
        <v>113</v>
      </c>
      <c r="E47" s="39">
        <f t="shared" si="17"/>
        <v>4.0540540540540544</v>
      </c>
      <c r="F47" s="40">
        <v>0.15</v>
      </c>
      <c r="G47" s="41">
        <f>Матеріали!$I$5</f>
        <v>3.6999999999999998E-2</v>
      </c>
      <c r="I47" s="34" t="s">
        <v>112</v>
      </c>
      <c r="J47" s="35">
        <v>12</v>
      </c>
      <c r="K47" s="4" t="s">
        <v>113</v>
      </c>
      <c r="L47" s="39">
        <f t="shared" si="18"/>
        <v>4.0540540540540544</v>
      </c>
      <c r="M47" s="40">
        <v>0.15</v>
      </c>
      <c r="N47" s="41">
        <f>Матеріали!$I$5</f>
        <v>3.6999999999999998E-2</v>
      </c>
      <c r="W47" s="314" t="str">
        <f t="shared" si="12"/>
        <v/>
      </c>
      <c r="X47" s="24"/>
      <c r="Y47" s="316"/>
      <c r="Z47" t="str">
        <f t="shared" si="13"/>
        <v/>
      </c>
      <c r="AA47" s="24"/>
      <c r="AB47" t="str">
        <f t="shared" si="14"/>
        <v/>
      </c>
      <c r="AC47" s="162"/>
      <c r="AD47" s="163"/>
      <c r="AE47" s="163"/>
      <c r="AF47" s="163"/>
      <c r="AG47" s="163"/>
      <c r="AH47" s="163"/>
      <c r="AI47" s="163"/>
      <c r="AJ47" s="163"/>
      <c r="AK47" s="163"/>
      <c r="AL47" s="163"/>
      <c r="AM47" s="164"/>
    </row>
    <row r="48" spans="2:39" ht="17" x14ac:dyDescent="0.25">
      <c r="B48" s="19" t="s">
        <v>114</v>
      </c>
      <c r="C48" s="2">
        <f>1/((1/C46)+SUM(E46:E51)+(1/C47))</f>
        <v>0.21240080962231461</v>
      </c>
      <c r="D48" s="4" t="s">
        <v>115</v>
      </c>
      <c r="E48" s="39">
        <f t="shared" si="17"/>
        <v>5.8823529411764705E-2</v>
      </c>
      <c r="F48" s="40">
        <v>0.01</v>
      </c>
      <c r="G48" s="41">
        <f>Матеріали!$I$6</f>
        <v>0.17</v>
      </c>
      <c r="I48" s="19" t="s">
        <v>114</v>
      </c>
      <c r="J48" s="2">
        <f>1/((1/J46)+SUM(L46:L51)+(1/J47))</f>
        <v>0.21061787671331733</v>
      </c>
      <c r="K48" s="4" t="s">
        <v>115</v>
      </c>
      <c r="L48" s="39">
        <f t="shared" si="18"/>
        <v>5.8823529411764705E-2</v>
      </c>
      <c r="M48" s="40">
        <v>0.01</v>
      </c>
      <c r="N48" s="41">
        <f>Матеріали!$I$6</f>
        <v>0.17</v>
      </c>
      <c r="W48" s="314" t="str">
        <f t="shared" si="12"/>
        <v/>
      </c>
      <c r="X48" s="24"/>
      <c r="Y48" s="316"/>
      <c r="Z48" t="str">
        <f t="shared" si="13"/>
        <v/>
      </c>
      <c r="AA48" s="24"/>
      <c r="AB48" t="str">
        <f t="shared" si="14"/>
        <v/>
      </c>
      <c r="AC48" s="162"/>
      <c r="AD48" s="163"/>
      <c r="AE48" s="163"/>
      <c r="AF48" s="163"/>
      <c r="AG48" s="163"/>
      <c r="AH48" s="163"/>
      <c r="AI48" s="163"/>
      <c r="AJ48" s="163"/>
      <c r="AK48" s="163"/>
      <c r="AL48" s="163"/>
      <c r="AM48" s="164"/>
    </row>
    <row r="49" spans="2:39" ht="17" x14ac:dyDescent="0.25">
      <c r="B49" s="19" t="s">
        <v>116</v>
      </c>
      <c r="C49" s="2" cm="1">
        <f t="array" ref="C49">_xlfn.IFS(C48&gt;=0.8,0,AND(0.4&lt;=C48,C48&lt;0.8),0.05,C48&lt;0.4,0.1)</f>
        <v>0.1</v>
      </c>
      <c r="D49" s="4" t="s">
        <v>117</v>
      </c>
      <c r="E49" s="39" t="str">
        <f t="shared" si="17"/>
        <v/>
      </c>
      <c r="F49" s="40"/>
      <c r="G49" s="41"/>
      <c r="I49" s="19" t="s">
        <v>116</v>
      </c>
      <c r="J49" s="2" cm="1">
        <f t="array" ref="J49">_xlfn.IFS(J48&gt;=0.8,0,AND(0.4&lt;=J48,J48&lt;0.8),0.05,J48&lt;0.4,0.1)</f>
        <v>0.1</v>
      </c>
      <c r="K49" s="4" t="s">
        <v>117</v>
      </c>
      <c r="L49" s="39" t="str">
        <f t="shared" si="18"/>
        <v/>
      </c>
      <c r="M49" s="40"/>
      <c r="N49" s="41"/>
      <c r="W49" s="314" t="str">
        <f t="shared" si="12"/>
        <v/>
      </c>
      <c r="X49" s="24"/>
      <c r="Y49" s="316"/>
      <c r="Z49" t="str">
        <f t="shared" si="13"/>
        <v/>
      </c>
      <c r="AA49" s="24"/>
      <c r="AB49" t="str">
        <f t="shared" si="14"/>
        <v/>
      </c>
      <c r="AC49" s="162"/>
      <c r="AD49" s="163"/>
      <c r="AE49" s="163"/>
      <c r="AF49" s="163"/>
      <c r="AG49" s="163"/>
      <c r="AH49" s="163"/>
      <c r="AI49" s="163"/>
      <c r="AJ49" s="163"/>
      <c r="AK49" s="163"/>
      <c r="AL49" s="163"/>
      <c r="AM49" s="164"/>
    </row>
    <row r="50" spans="2:39" x14ac:dyDescent="0.2">
      <c r="B50" s="42" t="s">
        <v>118</v>
      </c>
      <c r="C50" s="2" t="s">
        <v>106</v>
      </c>
      <c r="D50" s="4" t="s">
        <v>119</v>
      </c>
      <c r="E50" s="39" t="str">
        <f t="shared" si="17"/>
        <v/>
      </c>
      <c r="F50" s="40"/>
      <c r="G50" s="41"/>
      <c r="I50" s="42" t="s">
        <v>118</v>
      </c>
      <c r="J50" s="2" t="s">
        <v>107</v>
      </c>
      <c r="K50" s="4" t="s">
        <v>119</v>
      </c>
      <c r="L50" s="39" t="str">
        <f t="shared" si="18"/>
        <v/>
      </c>
      <c r="M50" s="40"/>
      <c r="N50" s="41"/>
      <c r="W50" s="314" t="str">
        <f t="shared" si="12"/>
        <v/>
      </c>
      <c r="X50" s="24"/>
      <c r="Y50" s="316"/>
      <c r="Z50" t="str">
        <f t="shared" si="13"/>
        <v/>
      </c>
      <c r="AA50" s="24"/>
      <c r="AB50" t="str">
        <f t="shared" si="14"/>
        <v/>
      </c>
      <c r="AC50" s="162"/>
      <c r="AD50" s="163"/>
      <c r="AE50" s="163"/>
      <c r="AF50" s="163"/>
      <c r="AG50" s="163"/>
      <c r="AH50" s="163"/>
      <c r="AI50" s="163"/>
      <c r="AJ50" s="163"/>
      <c r="AK50" s="163"/>
      <c r="AL50" s="163"/>
      <c r="AM50" s="164"/>
    </row>
    <row r="51" spans="2:39" ht="18" thickBot="1" x14ac:dyDescent="0.3">
      <c r="B51" s="43" t="s">
        <v>120</v>
      </c>
      <c r="C51" s="44">
        <f>ROUND(IF(C50="так",1/(C48+C49),1/C48),2)</f>
        <v>3.2</v>
      </c>
      <c r="D51" s="45" t="s">
        <v>121</v>
      </c>
      <c r="E51" s="46" t="str">
        <f t="shared" si="17"/>
        <v/>
      </c>
      <c r="F51" s="47"/>
      <c r="G51" s="48"/>
      <c r="I51" s="43" t="s">
        <v>120</v>
      </c>
      <c r="J51" s="44">
        <f>ROUND(IF(J50="так",1/(J48+J49),1/J48),2)</f>
        <v>4.75</v>
      </c>
      <c r="K51" s="45" t="s">
        <v>121</v>
      </c>
      <c r="L51" s="46" t="str">
        <f t="shared" si="18"/>
        <v/>
      </c>
      <c r="M51" s="47"/>
      <c r="N51" s="48"/>
      <c r="W51" s="314" t="str">
        <f t="shared" si="12"/>
        <v/>
      </c>
      <c r="X51" s="24"/>
      <c r="Y51" s="316"/>
      <c r="Z51" t="str">
        <f t="shared" si="13"/>
        <v/>
      </c>
      <c r="AA51" s="24"/>
      <c r="AB51" t="str">
        <f t="shared" si="14"/>
        <v/>
      </c>
      <c r="AC51" s="162"/>
      <c r="AD51" s="163"/>
      <c r="AE51" s="163"/>
      <c r="AF51" s="163"/>
      <c r="AG51" s="163"/>
      <c r="AH51" s="163"/>
      <c r="AI51" s="163"/>
      <c r="AJ51" s="163"/>
      <c r="AK51" s="163"/>
      <c r="AL51" s="163"/>
      <c r="AM51" s="164"/>
    </row>
    <row r="52" spans="2:39" ht="16" thickBot="1" x14ac:dyDescent="0.25">
      <c r="W52" s="314" t="str">
        <f t="shared" si="12"/>
        <v/>
      </c>
      <c r="X52" s="24"/>
      <c r="Y52" s="316"/>
      <c r="Z52" t="str">
        <f t="shared" si="13"/>
        <v/>
      </c>
      <c r="AA52" s="24"/>
      <c r="AB52" t="str">
        <f t="shared" si="14"/>
        <v/>
      </c>
      <c r="AC52" s="162"/>
      <c r="AD52" s="163"/>
      <c r="AE52" s="163"/>
      <c r="AF52" s="163"/>
      <c r="AG52" s="163"/>
      <c r="AH52" s="163"/>
      <c r="AI52" s="163"/>
      <c r="AJ52" s="163"/>
      <c r="AK52" s="163"/>
      <c r="AL52" s="163"/>
      <c r="AM52" s="164"/>
    </row>
    <row r="53" spans="2:39" ht="16" thickBot="1" x14ac:dyDescent="0.25">
      <c r="B53" s="168" t="str">
        <f>'Вхідні дані'!H5</f>
        <v>1-510-100</v>
      </c>
      <c r="C53" s="169"/>
      <c r="D53" s="169"/>
      <c r="E53" s="169"/>
      <c r="F53" s="169"/>
      <c r="G53" s="170"/>
      <c r="I53" s="168" t="str">
        <f>'Вхідні дані'!O6</f>
        <v>1-510-0 балкон</v>
      </c>
      <c r="J53" s="169"/>
      <c r="K53" s="169"/>
      <c r="L53" s="169"/>
      <c r="M53" s="169"/>
      <c r="N53" s="170"/>
      <c r="W53" s="315" t="str">
        <f t="shared" si="12"/>
        <v/>
      </c>
      <c r="X53" s="50"/>
      <c r="Y53" s="317"/>
      <c r="Z53" s="54" t="str">
        <f t="shared" si="13"/>
        <v/>
      </c>
      <c r="AA53" s="50"/>
      <c r="AB53" t="str">
        <f t="shared" si="14"/>
        <v/>
      </c>
      <c r="AC53" s="165"/>
      <c r="AD53" s="166"/>
      <c r="AE53" s="166"/>
      <c r="AF53" s="166"/>
      <c r="AG53" s="166"/>
      <c r="AH53" s="166"/>
      <c r="AI53" s="166"/>
      <c r="AJ53" s="166"/>
      <c r="AK53" s="166"/>
      <c r="AL53" s="166"/>
      <c r="AM53" s="167"/>
    </row>
    <row r="54" spans="2:39" ht="16" thickBot="1" x14ac:dyDescent="0.25">
      <c r="B54" s="171"/>
      <c r="C54" s="172"/>
      <c r="D54" s="172"/>
      <c r="E54" s="172"/>
      <c r="F54" s="172"/>
      <c r="G54" s="173"/>
      <c r="I54" s="171"/>
      <c r="J54" s="172"/>
      <c r="K54" s="172"/>
      <c r="L54" s="172"/>
      <c r="M54" s="172"/>
      <c r="N54" s="173"/>
    </row>
    <row r="55" spans="2:39" ht="17" x14ac:dyDescent="0.25">
      <c r="B55" s="30" t="s">
        <v>106</v>
      </c>
      <c r="C55" s="31" t="s">
        <v>107</v>
      </c>
      <c r="D55" s="4"/>
      <c r="E55" s="4"/>
      <c r="F55" s="32" t="s">
        <v>108</v>
      </c>
      <c r="G55" s="33" t="s">
        <v>109</v>
      </c>
      <c r="I55" s="30" t="s">
        <v>106</v>
      </c>
      <c r="J55" s="31" t="s">
        <v>107</v>
      </c>
      <c r="K55" s="4"/>
      <c r="L55" s="4"/>
      <c r="M55" s="32" t="s">
        <v>108</v>
      </c>
      <c r="N55" s="33" t="s">
        <v>109</v>
      </c>
    </row>
    <row r="56" spans="2:39" ht="17" x14ac:dyDescent="0.25">
      <c r="B56" s="34" t="s">
        <v>110</v>
      </c>
      <c r="C56" s="35">
        <v>8.6999999999999993</v>
      </c>
      <c r="D56" s="4" t="s">
        <v>111</v>
      </c>
      <c r="E56" s="36">
        <f t="shared" ref="E56:E61" si="19">IFERROR(F56/G56,"")</f>
        <v>0.5862068965517242</v>
      </c>
      <c r="F56" s="37">
        <v>0.51</v>
      </c>
      <c r="G56" s="38">
        <f>Матеріали!$I$4</f>
        <v>0.87</v>
      </c>
      <c r="I56" s="34" t="s">
        <v>110</v>
      </c>
      <c r="J56" s="35">
        <v>8.6999999999999993</v>
      </c>
      <c r="K56" s="4" t="s">
        <v>111</v>
      </c>
      <c r="L56" s="36">
        <f t="shared" ref="L56:L61" si="20">IFERROR(M56/N56,"")</f>
        <v>0.5862068965517242</v>
      </c>
      <c r="M56" s="37">
        <v>0.51</v>
      </c>
      <c r="N56" s="38">
        <f>Матеріали!$I$4</f>
        <v>0.87</v>
      </c>
    </row>
    <row r="57" spans="2:39" ht="17" x14ac:dyDescent="0.25">
      <c r="B57" s="34" t="s">
        <v>112</v>
      </c>
      <c r="C57" s="35">
        <v>23</v>
      </c>
      <c r="D57" s="4" t="s">
        <v>113</v>
      </c>
      <c r="E57" s="39">
        <f t="shared" si="19"/>
        <v>2.7027027027027031</v>
      </c>
      <c r="F57" s="40">
        <v>0.1</v>
      </c>
      <c r="G57" s="41">
        <f>Матеріали!$I$5</f>
        <v>3.6999999999999998E-2</v>
      </c>
      <c r="I57" s="34" t="s">
        <v>112</v>
      </c>
      <c r="J57" s="35">
        <v>12</v>
      </c>
      <c r="K57" s="4" t="s">
        <v>113</v>
      </c>
      <c r="L57" s="39">
        <f t="shared" si="20"/>
        <v>5.8823529411764705E-2</v>
      </c>
      <c r="M57" s="40">
        <v>0.01</v>
      </c>
      <c r="N57" s="41">
        <f>Матеріали!$I$6</f>
        <v>0.17</v>
      </c>
    </row>
    <row r="58" spans="2:39" ht="17" x14ac:dyDescent="0.25">
      <c r="B58" s="19" t="s">
        <v>114</v>
      </c>
      <c r="C58" s="2">
        <f>1/((1/C56)+SUM(E56:E61)+(1/C57))</f>
        <v>0.28521280677062283</v>
      </c>
      <c r="D58" s="4" t="s">
        <v>115</v>
      </c>
      <c r="E58" s="39">
        <f t="shared" si="19"/>
        <v>5.8823529411764705E-2</v>
      </c>
      <c r="F58" s="40">
        <v>0.01</v>
      </c>
      <c r="G58" s="41">
        <f>Матеріали!$I$6</f>
        <v>0.17</v>
      </c>
      <c r="I58" s="19" t="s">
        <v>114</v>
      </c>
      <c r="J58" s="2">
        <f>1/((1/J56)+SUM(L56:L61)+(1/J57))</f>
        <v>1.1858087793144918</v>
      </c>
      <c r="K58" s="4" t="s">
        <v>115</v>
      </c>
      <c r="L58" s="39" t="str">
        <f t="shared" si="20"/>
        <v/>
      </c>
      <c r="M58" s="40"/>
      <c r="N58" s="41"/>
    </row>
    <row r="59" spans="2:39" ht="17" x14ac:dyDescent="0.25">
      <c r="B59" s="19" t="s">
        <v>116</v>
      </c>
      <c r="C59" s="2" cm="1">
        <f t="array" ref="C59">_xlfn.IFS(C58&gt;=0.8,0,AND(0.4&lt;=C58,C58&lt;0.8),0.05,C58&lt;0.4,0.1)</f>
        <v>0.1</v>
      </c>
      <c r="D59" s="4" t="s">
        <v>117</v>
      </c>
      <c r="E59" s="39" t="str">
        <f t="shared" si="19"/>
        <v/>
      </c>
      <c r="F59" s="40"/>
      <c r="G59" s="41"/>
      <c r="I59" s="19" t="s">
        <v>116</v>
      </c>
      <c r="J59" s="2" cm="1">
        <f t="array" ref="J59">_xlfn.IFS(J58&gt;=0.8,0,AND(0.4&lt;=J58,J58&lt;0.8),0.05,J58&lt;0.4,0.1)</f>
        <v>0</v>
      </c>
      <c r="K59" s="4" t="s">
        <v>117</v>
      </c>
      <c r="L59" s="39" t="str">
        <f t="shared" si="20"/>
        <v/>
      </c>
      <c r="M59" s="40"/>
      <c r="N59" s="41"/>
    </row>
    <row r="60" spans="2:39" x14ac:dyDescent="0.2">
      <c r="B60" s="42" t="s">
        <v>118</v>
      </c>
      <c r="C60" s="2" t="s">
        <v>107</v>
      </c>
      <c r="D60" s="4" t="s">
        <v>119</v>
      </c>
      <c r="E60" s="39" t="str">
        <f t="shared" si="19"/>
        <v/>
      </c>
      <c r="F60" s="40"/>
      <c r="G60" s="41"/>
      <c r="I60" s="42" t="s">
        <v>118</v>
      </c>
      <c r="J60" s="2" t="s">
        <v>107</v>
      </c>
      <c r="K60" s="4" t="s">
        <v>119</v>
      </c>
      <c r="L60" s="39" t="str">
        <f t="shared" si="20"/>
        <v/>
      </c>
      <c r="M60" s="40"/>
      <c r="N60" s="41"/>
    </row>
    <row r="61" spans="2:39" ht="18" thickBot="1" x14ac:dyDescent="0.3">
      <c r="B61" s="43" t="s">
        <v>120</v>
      </c>
      <c r="C61" s="44">
        <f>ROUND(IF(C60="так",1/(C58+C59),1/C58),2)</f>
        <v>3.51</v>
      </c>
      <c r="D61" s="45" t="s">
        <v>121</v>
      </c>
      <c r="E61" s="46" t="str">
        <f t="shared" si="19"/>
        <v/>
      </c>
      <c r="F61" s="47"/>
      <c r="G61" s="48"/>
      <c r="I61" s="43" t="s">
        <v>120</v>
      </c>
      <c r="J61" s="44">
        <f>ROUND(IF(J60="так",1/(J58+J59),1/J58),2)</f>
        <v>0.84</v>
      </c>
      <c r="K61" s="45" t="s">
        <v>121</v>
      </c>
      <c r="L61" s="46" t="str">
        <f t="shared" si="20"/>
        <v/>
      </c>
      <c r="M61" s="47"/>
      <c r="N61" s="48"/>
    </row>
    <row r="62" spans="2:39" ht="16" thickBot="1" x14ac:dyDescent="0.25"/>
    <row r="63" spans="2:39" x14ac:dyDescent="0.2">
      <c r="B63" s="168" t="str">
        <f>'Вхідні дані'!H6</f>
        <v>1-510-150</v>
      </c>
      <c r="C63" s="169"/>
      <c r="D63" s="169"/>
      <c r="E63" s="169"/>
      <c r="F63" s="169"/>
      <c r="G63" s="170"/>
      <c r="I63" s="168" t="str">
        <f>'Вхідні дані'!O8</f>
        <v>1-510-100 балкон</v>
      </c>
      <c r="J63" s="169"/>
      <c r="K63" s="169"/>
      <c r="L63" s="169"/>
      <c r="M63" s="169"/>
      <c r="N63" s="170"/>
    </row>
    <row r="64" spans="2:39" ht="16" thickBot="1" x14ac:dyDescent="0.25">
      <c r="B64" s="171"/>
      <c r="C64" s="172"/>
      <c r="D64" s="172"/>
      <c r="E64" s="172"/>
      <c r="F64" s="172"/>
      <c r="G64" s="173"/>
      <c r="I64" s="171"/>
      <c r="J64" s="172"/>
      <c r="K64" s="172"/>
      <c r="L64" s="172"/>
      <c r="M64" s="172"/>
      <c r="N64" s="173"/>
    </row>
    <row r="65" spans="2:14" ht="17" x14ac:dyDescent="0.25">
      <c r="B65" s="30" t="s">
        <v>106</v>
      </c>
      <c r="C65" s="31" t="s">
        <v>107</v>
      </c>
      <c r="D65" s="4"/>
      <c r="E65" s="4"/>
      <c r="F65" s="32" t="s">
        <v>108</v>
      </c>
      <c r="G65" s="33" t="s">
        <v>109</v>
      </c>
      <c r="I65" s="30" t="s">
        <v>106</v>
      </c>
      <c r="J65" s="31" t="s">
        <v>107</v>
      </c>
      <c r="K65" s="4"/>
      <c r="L65" s="4"/>
      <c r="M65" s="32" t="s">
        <v>108</v>
      </c>
      <c r="N65" s="33" t="s">
        <v>109</v>
      </c>
    </row>
    <row r="66" spans="2:14" ht="17" x14ac:dyDescent="0.25">
      <c r="B66" s="34" t="s">
        <v>110</v>
      </c>
      <c r="C66" s="35">
        <v>8.6999999999999993</v>
      </c>
      <c r="D66" s="4" t="s">
        <v>111</v>
      </c>
      <c r="E66" s="36">
        <f t="shared" ref="E66:E71" si="21">IFERROR(F66/G66,"")</f>
        <v>0.5862068965517242</v>
      </c>
      <c r="F66" s="37">
        <v>0.51</v>
      </c>
      <c r="G66" s="38">
        <f>Матеріали!$I$4</f>
        <v>0.87</v>
      </c>
      <c r="I66" s="34" t="s">
        <v>110</v>
      </c>
      <c r="J66" s="35">
        <v>8.6999999999999993</v>
      </c>
      <c r="K66" s="4" t="s">
        <v>111</v>
      </c>
      <c r="L66" s="36">
        <f t="shared" ref="L66:L71" si="22">IFERROR(M66/N66,"")</f>
        <v>0.5862068965517242</v>
      </c>
      <c r="M66" s="37">
        <v>0.51</v>
      </c>
      <c r="N66" s="38">
        <f>Матеріали!$I$4</f>
        <v>0.87</v>
      </c>
    </row>
    <row r="67" spans="2:14" ht="17" x14ac:dyDescent="0.25">
      <c r="B67" s="34" t="s">
        <v>112</v>
      </c>
      <c r="C67" s="35">
        <v>23</v>
      </c>
      <c r="D67" s="4" t="s">
        <v>113</v>
      </c>
      <c r="E67" s="39">
        <f t="shared" si="21"/>
        <v>4.0540540540540544</v>
      </c>
      <c r="F67" s="40">
        <v>0.15</v>
      </c>
      <c r="G67" s="41">
        <f>Матеріали!$I$5</f>
        <v>3.6999999999999998E-2</v>
      </c>
      <c r="I67" s="34" t="s">
        <v>112</v>
      </c>
      <c r="J67" s="35">
        <v>12</v>
      </c>
      <c r="K67" s="4" t="s">
        <v>113</v>
      </c>
      <c r="L67" s="39">
        <f t="shared" si="22"/>
        <v>2.7027027027027031</v>
      </c>
      <c r="M67" s="40">
        <v>0.1</v>
      </c>
      <c r="N67" s="41">
        <f>Матеріали!$I$5</f>
        <v>3.6999999999999998E-2</v>
      </c>
    </row>
    <row r="68" spans="2:14" ht="17" x14ac:dyDescent="0.25">
      <c r="B68" s="19" t="s">
        <v>114</v>
      </c>
      <c r="C68" s="2">
        <f>1/((1/C66)+SUM(E66:E71)+(1/C67))</f>
        <v>0.2058669923126332</v>
      </c>
      <c r="D68" s="4" t="s">
        <v>115</v>
      </c>
      <c r="E68" s="39">
        <f t="shared" si="21"/>
        <v>5.8823529411764705E-2</v>
      </c>
      <c r="F68" s="40">
        <v>0.01</v>
      </c>
      <c r="G68" s="41">
        <f>Матеріали!$I$6</f>
        <v>0.17</v>
      </c>
      <c r="I68" s="19" t="s">
        <v>114</v>
      </c>
      <c r="J68" s="2">
        <f>1/((1/J66)+SUM(L66:L71)+(1/J67))</f>
        <v>0.28200718120364393</v>
      </c>
      <c r="K68" s="4" t="s">
        <v>115</v>
      </c>
      <c r="L68" s="39">
        <f t="shared" si="22"/>
        <v>5.8823529411764705E-2</v>
      </c>
      <c r="M68" s="40">
        <v>0.01</v>
      </c>
      <c r="N68" s="41">
        <f>Матеріали!$I$6</f>
        <v>0.17</v>
      </c>
    </row>
    <row r="69" spans="2:14" ht="17" x14ac:dyDescent="0.25">
      <c r="B69" s="19" t="s">
        <v>116</v>
      </c>
      <c r="C69" s="2" cm="1">
        <f t="array" ref="C69">_xlfn.IFS(C68&gt;=0.8,0,AND(0.4&lt;=C68,C68&lt;0.8),0.05,C68&lt;0.4,0.1)</f>
        <v>0.1</v>
      </c>
      <c r="D69" s="4" t="s">
        <v>117</v>
      </c>
      <c r="E69" s="39" t="str">
        <f t="shared" si="21"/>
        <v/>
      </c>
      <c r="F69" s="40"/>
      <c r="G69" s="41"/>
      <c r="I69" s="19" t="s">
        <v>116</v>
      </c>
      <c r="J69" s="2" cm="1">
        <f t="array" ref="J69">_xlfn.IFS(J68&gt;=0.8,0,AND(0.4&lt;=J68,J68&lt;0.8),0.05,J68&lt;0.4,0.1)</f>
        <v>0.1</v>
      </c>
      <c r="K69" s="4" t="s">
        <v>117</v>
      </c>
      <c r="L69" s="39" t="str">
        <f t="shared" si="22"/>
        <v/>
      </c>
      <c r="M69" s="40"/>
      <c r="N69" s="41"/>
    </row>
    <row r="70" spans="2:14" x14ac:dyDescent="0.2">
      <c r="B70" s="42" t="s">
        <v>118</v>
      </c>
      <c r="C70" s="2" t="s">
        <v>106</v>
      </c>
      <c r="D70" s="4" t="s">
        <v>119</v>
      </c>
      <c r="E70" s="39" t="str">
        <f t="shared" si="21"/>
        <v/>
      </c>
      <c r="F70" s="40"/>
      <c r="G70" s="41"/>
      <c r="I70" s="42" t="s">
        <v>118</v>
      </c>
      <c r="J70" s="2" t="s">
        <v>107</v>
      </c>
      <c r="K70" s="4" t="s">
        <v>119</v>
      </c>
      <c r="L70" s="39" t="str">
        <f t="shared" si="22"/>
        <v/>
      </c>
      <c r="M70" s="40"/>
      <c r="N70" s="41"/>
    </row>
    <row r="71" spans="2:14" ht="18" thickBot="1" x14ac:dyDescent="0.3">
      <c r="B71" s="43" t="s">
        <v>120</v>
      </c>
      <c r="C71" s="44">
        <f>ROUND(IF(C70="так",1/(C68+C69),1/C68),2)</f>
        <v>3.27</v>
      </c>
      <c r="D71" s="45" t="s">
        <v>121</v>
      </c>
      <c r="E71" s="46" t="str">
        <f t="shared" si="21"/>
        <v/>
      </c>
      <c r="F71" s="47"/>
      <c r="G71" s="48"/>
      <c r="I71" s="43" t="s">
        <v>120</v>
      </c>
      <c r="J71" s="44">
        <f>ROUND(IF(J70="так",1/(J68+J69),1/J68),2)</f>
        <v>3.55</v>
      </c>
      <c r="K71" s="45" t="s">
        <v>121</v>
      </c>
      <c r="L71" s="46" t="str">
        <f t="shared" si="22"/>
        <v/>
      </c>
      <c r="M71" s="47"/>
      <c r="N71" s="48"/>
    </row>
    <row r="72" spans="2:14" ht="16" thickBot="1" x14ac:dyDescent="0.25"/>
    <row r="73" spans="2:14" x14ac:dyDescent="0.2">
      <c r="B73" s="168" t="str">
        <f>'Вхідні дані'!H7</f>
        <v>4-250-50</v>
      </c>
      <c r="C73" s="169"/>
      <c r="D73" s="169"/>
      <c r="E73" s="169"/>
      <c r="F73" s="169"/>
      <c r="G73" s="170"/>
    </row>
    <row r="74" spans="2:14" ht="16" thickBot="1" x14ac:dyDescent="0.25">
      <c r="B74" s="171"/>
      <c r="C74" s="172"/>
      <c r="D74" s="172"/>
      <c r="E74" s="172"/>
      <c r="F74" s="172"/>
      <c r="G74" s="173"/>
    </row>
    <row r="75" spans="2:14" ht="17" x14ac:dyDescent="0.25">
      <c r="B75" s="30" t="s">
        <v>106</v>
      </c>
      <c r="C75" s="31" t="s">
        <v>107</v>
      </c>
      <c r="D75" s="4"/>
      <c r="E75" s="4"/>
      <c r="F75" s="32" t="s">
        <v>108</v>
      </c>
      <c r="G75" s="33" t="s">
        <v>109</v>
      </c>
    </row>
    <row r="76" spans="2:14" ht="17" x14ac:dyDescent="0.25">
      <c r="B76" s="34" t="s">
        <v>110</v>
      </c>
      <c r="C76" s="35">
        <v>8.6999999999999993</v>
      </c>
      <c r="D76" s="4" t="s">
        <v>111</v>
      </c>
      <c r="E76" s="36">
        <f t="shared" ref="E76:E81" si="23">IFERROR(F76/G76,"")</f>
        <v>0.28735632183908044</v>
      </c>
      <c r="F76" s="37">
        <v>0.25</v>
      </c>
      <c r="G76" s="38">
        <f>Матеріали!$I$4</f>
        <v>0.87</v>
      </c>
    </row>
    <row r="77" spans="2:14" ht="17" x14ac:dyDescent="0.25">
      <c r="B77" s="34" t="s">
        <v>112</v>
      </c>
      <c r="C77" s="35">
        <v>23</v>
      </c>
      <c r="D77" s="4" t="s">
        <v>113</v>
      </c>
      <c r="E77" s="39">
        <f t="shared" si="23"/>
        <v>1.3513513513513515</v>
      </c>
      <c r="F77" s="40">
        <v>0.05</v>
      </c>
      <c r="G77" s="41">
        <f>Матеріали!$I$5</f>
        <v>3.6999999999999998E-2</v>
      </c>
    </row>
    <row r="78" spans="2:14" ht="17" x14ac:dyDescent="0.25">
      <c r="B78" s="19" t="s">
        <v>114</v>
      </c>
      <c r="C78" s="2">
        <f>1/((1/C76)+SUM(E76:E81)+(1/C77))</f>
        <v>0.53880704037534966</v>
      </c>
      <c r="D78" s="4" t="s">
        <v>115</v>
      </c>
      <c r="E78" s="39">
        <f t="shared" si="23"/>
        <v>5.8823529411764705E-2</v>
      </c>
      <c r="F78" s="40">
        <v>0.01</v>
      </c>
      <c r="G78" s="41">
        <f>Матеріали!$I$6</f>
        <v>0.17</v>
      </c>
    </row>
    <row r="79" spans="2:14" ht="17" x14ac:dyDescent="0.25">
      <c r="B79" s="19" t="s">
        <v>116</v>
      </c>
      <c r="C79" s="2" cm="1">
        <f t="array" ref="C79">_xlfn.IFS(C78&gt;=0.8,0,AND(0.4&lt;=C78,C78&lt;0.8),0.05,C78&lt;0.4,0.1)</f>
        <v>0.05</v>
      </c>
      <c r="D79" s="4" t="s">
        <v>117</v>
      </c>
      <c r="E79" s="39" t="str">
        <f t="shared" si="23"/>
        <v/>
      </c>
      <c r="F79" s="40"/>
      <c r="G79" s="41"/>
    </row>
    <row r="80" spans="2:14" x14ac:dyDescent="0.2">
      <c r="B80" s="42" t="s">
        <v>118</v>
      </c>
      <c r="C80" s="2" t="s">
        <v>107</v>
      </c>
      <c r="D80" s="4" t="s">
        <v>119</v>
      </c>
      <c r="E80" s="39" t="str">
        <f t="shared" si="23"/>
        <v/>
      </c>
      <c r="F80" s="40"/>
      <c r="G80" s="41"/>
    </row>
    <row r="81" spans="2:7" ht="18" thickBot="1" x14ac:dyDescent="0.3">
      <c r="B81" s="43" t="s">
        <v>120</v>
      </c>
      <c r="C81" s="44">
        <f>ROUND(IF(C80="так",1/(C78+C79),1/C78),2)</f>
        <v>1.86</v>
      </c>
      <c r="D81" s="45" t="s">
        <v>121</v>
      </c>
      <c r="E81" s="46" t="str">
        <f t="shared" si="23"/>
        <v/>
      </c>
      <c r="F81" s="47"/>
      <c r="G81" s="48"/>
    </row>
    <row r="82" spans="2:7" ht="16" thickBot="1" x14ac:dyDescent="0.25"/>
    <row r="83" spans="2:7" x14ac:dyDescent="0.2">
      <c r="B83" s="168" t="str">
        <f>'Вхідні дані'!H8</f>
        <v>4-380-50</v>
      </c>
      <c r="C83" s="169"/>
      <c r="D83" s="169"/>
      <c r="E83" s="169"/>
      <c r="F83" s="169"/>
      <c r="G83" s="170"/>
    </row>
    <row r="84" spans="2:7" ht="16" thickBot="1" x14ac:dyDescent="0.25">
      <c r="B84" s="171"/>
      <c r="C84" s="172"/>
      <c r="D84" s="172"/>
      <c r="E84" s="172"/>
      <c r="F84" s="172"/>
      <c r="G84" s="173"/>
    </row>
    <row r="85" spans="2:7" ht="17" x14ac:dyDescent="0.25">
      <c r="B85" s="30" t="s">
        <v>106</v>
      </c>
      <c r="C85" s="31" t="s">
        <v>107</v>
      </c>
      <c r="D85" s="4"/>
      <c r="E85" s="4"/>
      <c r="F85" s="32" t="s">
        <v>108</v>
      </c>
      <c r="G85" s="33" t="s">
        <v>109</v>
      </c>
    </row>
    <row r="86" spans="2:7" ht="17" x14ac:dyDescent="0.25">
      <c r="B86" s="34" t="s">
        <v>110</v>
      </c>
      <c r="C86" s="35">
        <v>8.6999999999999993</v>
      </c>
      <c r="D86" s="4" t="s">
        <v>111</v>
      </c>
      <c r="E86" s="36">
        <f t="shared" ref="E86:E91" si="24">IFERROR(F86/G86,"")</f>
        <v>0.43678160919540232</v>
      </c>
      <c r="F86" s="37">
        <v>0.38</v>
      </c>
      <c r="G86" s="38">
        <f>Матеріали!$I$4</f>
        <v>0.87</v>
      </c>
    </row>
    <row r="87" spans="2:7" ht="17" x14ac:dyDescent="0.25">
      <c r="B87" s="34" t="s">
        <v>112</v>
      </c>
      <c r="C87" s="35">
        <v>23</v>
      </c>
      <c r="D87" s="4" t="s">
        <v>113</v>
      </c>
      <c r="E87" s="39">
        <f t="shared" si="24"/>
        <v>1.3513513513513515</v>
      </c>
      <c r="F87" s="40">
        <v>0.05</v>
      </c>
      <c r="G87" s="41">
        <f>Матеріали!$I$5</f>
        <v>3.6999999999999998E-2</v>
      </c>
    </row>
    <row r="88" spans="2:7" ht="17" x14ac:dyDescent="0.25">
      <c r="B88" s="19" t="s">
        <v>114</v>
      </c>
      <c r="C88" s="2">
        <f>1/((1/C86)+SUM(E86:E91)+(1/C87))</f>
        <v>0.49865928480926897</v>
      </c>
      <c r="D88" s="4" t="s">
        <v>115</v>
      </c>
      <c r="E88" s="39">
        <f t="shared" si="24"/>
        <v>5.8823529411764705E-2</v>
      </c>
      <c r="F88" s="40">
        <v>0.01</v>
      </c>
      <c r="G88" s="41">
        <f>Матеріали!$I$6</f>
        <v>0.17</v>
      </c>
    </row>
    <row r="89" spans="2:7" ht="17" x14ac:dyDescent="0.25">
      <c r="B89" s="19" t="s">
        <v>116</v>
      </c>
      <c r="C89" s="2" cm="1">
        <f t="array" ref="C89">_xlfn.IFS(C88&gt;=0.8,0,AND(0.4&lt;=C88,C88&lt;0.8),0.05,C88&lt;0.4,0.1)</f>
        <v>0.05</v>
      </c>
      <c r="D89" s="4" t="s">
        <v>117</v>
      </c>
      <c r="E89" s="39" t="str">
        <f t="shared" si="24"/>
        <v/>
      </c>
      <c r="F89" s="40"/>
      <c r="G89" s="41"/>
    </row>
    <row r="90" spans="2:7" x14ac:dyDescent="0.2">
      <c r="B90" s="42" t="s">
        <v>118</v>
      </c>
      <c r="C90" s="2" t="s">
        <v>107</v>
      </c>
      <c r="D90" s="4" t="s">
        <v>119</v>
      </c>
      <c r="E90" s="39" t="str">
        <f t="shared" si="24"/>
        <v/>
      </c>
      <c r="F90" s="40"/>
      <c r="G90" s="41"/>
    </row>
    <row r="91" spans="2:7" ht="18" thickBot="1" x14ac:dyDescent="0.3">
      <c r="B91" s="43" t="s">
        <v>120</v>
      </c>
      <c r="C91" s="44">
        <f>ROUND(IF(C90="так",1/(C88+C89),1/C88),2)</f>
        <v>2.0099999999999998</v>
      </c>
      <c r="D91" s="45" t="s">
        <v>121</v>
      </c>
      <c r="E91" s="46" t="str">
        <f t="shared" si="24"/>
        <v/>
      </c>
      <c r="F91" s="47"/>
      <c r="G91" s="48"/>
    </row>
    <row r="93" spans="2:7" ht="16" thickBot="1" x14ac:dyDescent="0.25"/>
    <row r="94" spans="2:7" x14ac:dyDescent="0.2">
      <c r="B94" s="168" t="s">
        <v>319</v>
      </c>
      <c r="C94" s="169"/>
      <c r="D94" s="169"/>
      <c r="E94" s="169"/>
      <c r="F94" s="169"/>
      <c r="G94" s="170"/>
    </row>
    <row r="95" spans="2:7" ht="16" thickBot="1" x14ac:dyDescent="0.25">
      <c r="B95" s="171"/>
      <c r="C95" s="172"/>
      <c r="D95" s="172"/>
      <c r="E95" s="172"/>
      <c r="F95" s="172"/>
      <c r="G95" s="173"/>
    </row>
    <row r="96" spans="2:7" ht="17" x14ac:dyDescent="0.25">
      <c r="B96" s="30" t="s">
        <v>106</v>
      </c>
      <c r="C96" s="31" t="s">
        <v>107</v>
      </c>
      <c r="D96" s="4"/>
      <c r="E96" s="4"/>
      <c r="F96" s="32" t="s">
        <v>108</v>
      </c>
      <c r="G96" s="33" t="s">
        <v>109</v>
      </c>
    </row>
    <row r="97" spans="2:7" ht="17" x14ac:dyDescent="0.25">
      <c r="B97" s="34" t="s">
        <v>110</v>
      </c>
      <c r="C97" s="35">
        <v>10</v>
      </c>
      <c r="D97" s="4" t="s">
        <v>111</v>
      </c>
      <c r="E97" s="36">
        <f t="shared" ref="E97:E102" si="25">IFERROR(F97/G97,"")</f>
        <v>0.10784313725490197</v>
      </c>
      <c r="F97" s="37">
        <v>0.22</v>
      </c>
      <c r="G97" s="41">
        <f>Матеріали!$I$7</f>
        <v>2.04</v>
      </c>
    </row>
    <row r="98" spans="2:7" ht="17" x14ac:dyDescent="0.25">
      <c r="B98" s="34" t="s">
        <v>112</v>
      </c>
      <c r="C98" s="35">
        <v>6</v>
      </c>
      <c r="D98" s="4" t="s">
        <v>113</v>
      </c>
      <c r="E98" s="39">
        <f t="shared" si="25"/>
        <v>0.19230769230769232</v>
      </c>
      <c r="F98" s="40">
        <v>0.1</v>
      </c>
      <c r="G98" s="41">
        <f>Матеріали!$I$8</f>
        <v>0.52</v>
      </c>
    </row>
    <row r="99" spans="2:7" ht="17" x14ac:dyDescent="0.25">
      <c r="B99" s="19" t="s">
        <v>114</v>
      </c>
      <c r="C99" s="2">
        <f>1/((1/C97)+SUM(E97:E102)+(1/C98))</f>
        <v>1.7642362959020756</v>
      </c>
      <c r="D99" s="4" t="s">
        <v>115</v>
      </c>
      <c r="E99" s="39" t="str">
        <f t="shared" si="25"/>
        <v/>
      </c>
      <c r="F99" s="40"/>
      <c r="G99" s="41"/>
    </row>
    <row r="100" spans="2:7" ht="17" x14ac:dyDescent="0.25">
      <c r="B100" s="19" t="s">
        <v>116</v>
      </c>
      <c r="C100" s="2" cm="1">
        <f t="array" ref="C100">_xlfn.IFS(C99&gt;=0.8,0,AND(0.4&lt;=C99,C99&lt;0.8),0.05,C99&lt;0.4,0.1)</f>
        <v>0</v>
      </c>
      <c r="D100" s="4" t="s">
        <v>117</v>
      </c>
      <c r="E100" s="39" t="str">
        <f t="shared" si="25"/>
        <v/>
      </c>
      <c r="F100" s="40"/>
      <c r="G100" s="41"/>
    </row>
    <row r="101" spans="2:7" x14ac:dyDescent="0.2">
      <c r="B101" s="42" t="s">
        <v>118</v>
      </c>
      <c r="C101" s="2" t="s">
        <v>107</v>
      </c>
      <c r="D101" s="4" t="s">
        <v>119</v>
      </c>
      <c r="E101" s="39" t="str">
        <f t="shared" si="25"/>
        <v/>
      </c>
      <c r="F101" s="40"/>
      <c r="G101" s="41"/>
    </row>
    <row r="102" spans="2:7" ht="18" thickBot="1" x14ac:dyDescent="0.3">
      <c r="B102" s="43" t="s">
        <v>120</v>
      </c>
      <c r="C102" s="44">
        <f>ROUND(IF(C101="так",1/(C99+C100),1/C99),2)</f>
        <v>0.56999999999999995</v>
      </c>
      <c r="D102" s="45" t="s">
        <v>121</v>
      </c>
      <c r="E102" s="46" t="str">
        <f t="shared" si="25"/>
        <v/>
      </c>
      <c r="F102" s="47"/>
      <c r="G102" s="48"/>
    </row>
    <row r="103" spans="2:7" ht="16" thickBot="1" x14ac:dyDescent="0.25"/>
    <row r="104" spans="2:7" x14ac:dyDescent="0.2">
      <c r="B104" s="168" t="s">
        <v>320</v>
      </c>
      <c r="C104" s="169"/>
      <c r="D104" s="169"/>
      <c r="E104" s="169"/>
      <c r="F104" s="169"/>
      <c r="G104" s="170"/>
    </row>
    <row r="105" spans="2:7" ht="16" thickBot="1" x14ac:dyDescent="0.25">
      <c r="B105" s="171"/>
      <c r="C105" s="172"/>
      <c r="D105" s="172"/>
      <c r="E105" s="172"/>
      <c r="F105" s="172"/>
      <c r="G105" s="173"/>
    </row>
    <row r="106" spans="2:7" ht="17" x14ac:dyDescent="0.25">
      <c r="B106" s="30" t="s">
        <v>106</v>
      </c>
      <c r="C106" s="31" t="s">
        <v>107</v>
      </c>
      <c r="D106" s="4"/>
      <c r="E106" s="4"/>
      <c r="F106" s="32" t="s">
        <v>108</v>
      </c>
      <c r="G106" s="33" t="s">
        <v>109</v>
      </c>
    </row>
    <row r="107" spans="2:7" ht="17" x14ac:dyDescent="0.25">
      <c r="B107" s="34" t="s">
        <v>110</v>
      </c>
      <c r="C107" s="35">
        <v>5.9</v>
      </c>
      <c r="D107" s="4" t="s">
        <v>111</v>
      </c>
      <c r="E107" s="36">
        <f t="shared" ref="E107:E112" si="26">IFERROR(F107/G107,"")</f>
        <v>3.5135135135135136</v>
      </c>
      <c r="F107" s="37">
        <v>0.13</v>
      </c>
      <c r="G107" s="38">
        <f>Матеріали!$I$5</f>
        <v>3.6999999999999998E-2</v>
      </c>
    </row>
    <row r="108" spans="2:7" ht="17" x14ac:dyDescent="0.25">
      <c r="B108" s="34" t="s">
        <v>112</v>
      </c>
      <c r="C108" s="35">
        <v>6</v>
      </c>
      <c r="D108" s="4" t="s">
        <v>113</v>
      </c>
      <c r="E108" s="39">
        <f t="shared" si="26"/>
        <v>0.10784313725490197</v>
      </c>
      <c r="F108" s="40">
        <v>0.22</v>
      </c>
      <c r="G108" s="41">
        <f>Матеріали!$I$7</f>
        <v>2.04</v>
      </c>
    </row>
    <row r="109" spans="2:7" ht="17" x14ac:dyDescent="0.25">
      <c r="B109" s="19" t="s">
        <v>114</v>
      </c>
      <c r="C109" s="2">
        <f>1/((1/C107)+SUM(E107:E112)+(1/C108))</f>
        <v>0.24587499067572083</v>
      </c>
      <c r="D109" s="4" t="s">
        <v>115</v>
      </c>
      <c r="E109" s="39">
        <f t="shared" si="26"/>
        <v>9.6153846153846159E-2</v>
      </c>
      <c r="F109" s="40">
        <v>0.05</v>
      </c>
      <c r="G109" s="41">
        <f>Матеріали!$I$8</f>
        <v>0.52</v>
      </c>
    </row>
    <row r="110" spans="2:7" ht="17" x14ac:dyDescent="0.25">
      <c r="B110" s="19" t="s">
        <v>116</v>
      </c>
      <c r="C110" s="2" cm="1">
        <f t="array" ref="C110">_xlfn.IFS(C109&gt;=0.8,0,AND(0.4&lt;=C109,C109&lt;0.8),0.05,C109&lt;0.4,0.1)</f>
        <v>0.1</v>
      </c>
      <c r="D110" s="4" t="s">
        <v>117</v>
      </c>
      <c r="E110" s="39">
        <f t="shared" si="26"/>
        <v>9.0909090909090905E-3</v>
      </c>
      <c r="F110" s="40">
        <v>2E-3</v>
      </c>
      <c r="G110" s="41">
        <f>Матеріали!$I$9</f>
        <v>0.22</v>
      </c>
    </row>
    <row r="111" spans="2:7" x14ac:dyDescent="0.2">
      <c r="B111" s="42" t="s">
        <v>118</v>
      </c>
      <c r="C111" s="2" t="s">
        <v>107</v>
      </c>
      <c r="D111" s="4" t="s">
        <v>119</v>
      </c>
      <c r="E111" s="39">
        <f t="shared" si="26"/>
        <v>4.3478260869565218E-3</v>
      </c>
      <c r="F111" s="40">
        <v>1E-3</v>
      </c>
      <c r="G111" s="41">
        <f>Матеріали!$I$10</f>
        <v>0.23</v>
      </c>
    </row>
    <row r="112" spans="2:7" ht="18" thickBot="1" x14ac:dyDescent="0.3">
      <c r="B112" s="43" t="s">
        <v>120</v>
      </c>
      <c r="C112" s="44">
        <f>ROUND(IF(C111="так",1/(C109+C110),1/C109),2)</f>
        <v>4.07</v>
      </c>
      <c r="D112" s="45" t="s">
        <v>121</v>
      </c>
      <c r="E112" s="46" t="str">
        <f t="shared" si="26"/>
        <v/>
      </c>
      <c r="F112" s="47"/>
      <c r="G112" s="48"/>
    </row>
  </sheetData>
  <mergeCells count="78">
    <mergeCell ref="I33:N34"/>
    <mergeCell ref="I43:N44"/>
    <mergeCell ref="I53:N54"/>
    <mergeCell ref="I63:N64"/>
    <mergeCell ref="K1:O1"/>
    <mergeCell ref="Q1:U1"/>
    <mergeCell ref="W1:AM1"/>
    <mergeCell ref="AO1:AY1"/>
    <mergeCell ref="AC2:AM2"/>
    <mergeCell ref="AO2:AY2"/>
    <mergeCell ref="AC3:AM3"/>
    <mergeCell ref="AO3:AY3"/>
    <mergeCell ref="AC4:AM4"/>
    <mergeCell ref="AO4:AY4"/>
    <mergeCell ref="AC5:AM5"/>
    <mergeCell ref="AO5:AY5"/>
    <mergeCell ref="AC6:AM6"/>
    <mergeCell ref="AO6:AY6"/>
    <mergeCell ref="AC7:AM7"/>
    <mergeCell ref="AO7:AY7"/>
    <mergeCell ref="AC8:AM8"/>
    <mergeCell ref="AO8:AY8"/>
    <mergeCell ref="B33:G34"/>
    <mergeCell ref="AC15:AM15"/>
    <mergeCell ref="AC16:AM16"/>
    <mergeCell ref="AC9:AM9"/>
    <mergeCell ref="AO9:AY9"/>
    <mergeCell ref="AC10:AM10"/>
    <mergeCell ref="AO10:AY10"/>
    <mergeCell ref="AC11:AM11"/>
    <mergeCell ref="AO11:AY11"/>
    <mergeCell ref="AC32:AM32"/>
    <mergeCell ref="AC33:AM33"/>
    <mergeCell ref="AC34:AM34"/>
    <mergeCell ref="AC22:AM22"/>
    <mergeCell ref="AC12:AM12"/>
    <mergeCell ref="AO12:AY12"/>
    <mergeCell ref="AC13:AM13"/>
    <mergeCell ref="AC14:AM14"/>
    <mergeCell ref="AC17:AM17"/>
    <mergeCell ref="AC18:AM18"/>
    <mergeCell ref="AC19:AM19"/>
    <mergeCell ref="AC20:AM20"/>
    <mergeCell ref="AC21:AM21"/>
    <mergeCell ref="B104:G105"/>
    <mergeCell ref="AC23:AM23"/>
    <mergeCell ref="AC24:AM24"/>
    <mergeCell ref="AC25:AM25"/>
    <mergeCell ref="AC26:AM26"/>
    <mergeCell ref="B43:G44"/>
    <mergeCell ref="B53:G54"/>
    <mergeCell ref="B63:G64"/>
    <mergeCell ref="B73:G74"/>
    <mergeCell ref="B83:G84"/>
    <mergeCell ref="B94:G95"/>
    <mergeCell ref="W28:AM28"/>
    <mergeCell ref="AC29:AM29"/>
    <mergeCell ref="AC30:AM30"/>
    <mergeCell ref="AC31:AM31"/>
    <mergeCell ref="AC35:AM35"/>
    <mergeCell ref="AC36:AM36"/>
    <mergeCell ref="AC37:AM37"/>
    <mergeCell ref="AC38:AM38"/>
    <mergeCell ref="AC39:AM39"/>
    <mergeCell ref="AC40:AM40"/>
    <mergeCell ref="AC41:AM41"/>
    <mergeCell ref="AC42:AM42"/>
    <mergeCell ref="AC43:AM43"/>
    <mergeCell ref="AC44:AM44"/>
    <mergeCell ref="AC50:AM50"/>
    <mergeCell ref="AC51:AM51"/>
    <mergeCell ref="AC52:AM52"/>
    <mergeCell ref="AC53:AM53"/>
    <mergeCell ref="AC45:AM45"/>
    <mergeCell ref="AC46:AM46"/>
    <mergeCell ref="AC47:AM47"/>
    <mergeCell ref="AC48:AM48"/>
    <mergeCell ref="AC49:AM49"/>
  </mergeCells>
  <dataValidations count="2">
    <dataValidation type="list" allowBlank="1" showInputMessage="1" showErrorMessage="1" sqref="C40 C50 C60 C70 C80 C90 C101 C111 J70 J40 J50 J60" xr:uid="{8A454730-3DF7-48F6-B666-DD16E9E8326D}">
      <formula1>$B$35:$C$35</formula1>
    </dataValidation>
    <dataValidation type="list" allowBlank="1" showInputMessage="1" showErrorMessage="1" sqref="AC3:AC26 AC30:AC53" xr:uid="{FF97878C-CE46-4819-9060-6CAA2689255E}">
      <formula1>$AO$2:$AO$12</formula1>
    </dataValidation>
  </dataValidations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D406-F7AA-4D57-AA56-544F18A98535}">
  <sheetPr codeName="Аркуш5">
    <tabColor theme="8"/>
  </sheetPr>
  <dimension ref="A1:AX41"/>
  <sheetViews>
    <sheetView topLeftCell="E1" zoomScale="134" zoomScaleNormal="100" workbookViewId="0">
      <selection activeCell="F2" sqref="F2"/>
    </sheetView>
  </sheetViews>
  <sheetFormatPr baseColWidth="10" defaultColWidth="8.83203125" defaultRowHeight="15" x14ac:dyDescent="0.2"/>
  <cols>
    <col min="2" max="2" width="12.83203125" bestFit="1" customWidth="1"/>
    <col min="7" max="7" width="12.83203125" bestFit="1" customWidth="1"/>
    <col min="10" max="10" width="9.5" bestFit="1" customWidth="1"/>
  </cols>
  <sheetData>
    <row r="1" spans="1:50" ht="18" thickBot="1" x14ac:dyDescent="0.3">
      <c r="A1" s="4"/>
      <c r="B1" s="4"/>
      <c r="C1" s="5" t="s">
        <v>65</v>
      </c>
      <c r="D1" s="4" t="s">
        <v>66</v>
      </c>
      <c r="E1" s="4" t="s">
        <v>67</v>
      </c>
      <c r="F1" s="4" t="s">
        <v>68</v>
      </c>
      <c r="G1" s="4" t="s">
        <v>451</v>
      </c>
      <c r="H1" s="4" t="s">
        <v>447</v>
      </c>
      <c r="I1" s="4" t="s">
        <v>448</v>
      </c>
      <c r="J1" s="4" t="s">
        <v>465</v>
      </c>
      <c r="K1" s="4" t="s">
        <v>461</v>
      </c>
      <c r="L1" s="4" t="s">
        <v>464</v>
      </c>
      <c r="M1" s="4" t="s">
        <v>462</v>
      </c>
      <c r="N1" s="4" t="s">
        <v>463</v>
      </c>
      <c r="AQ1" s="199" t="s">
        <v>497</v>
      </c>
      <c r="AR1" s="200"/>
      <c r="AS1" s="203" t="s">
        <v>513</v>
      </c>
      <c r="AT1" s="204"/>
      <c r="AU1" s="204"/>
      <c r="AV1" s="204"/>
      <c r="AW1" s="204"/>
      <c r="AX1" s="205"/>
    </row>
    <row r="2" spans="1:50" ht="18" thickBot="1" x14ac:dyDescent="0.3">
      <c r="A2" s="4" t="s">
        <v>124</v>
      </c>
      <c r="B2" s="55">
        <f>$F$2*(C2-D2)*E2</f>
        <v>3453115.9771011998</v>
      </c>
      <c r="C2" s="4">
        <f>Qtr!C2</f>
        <v>19</v>
      </c>
      <c r="D2" s="4">
        <f>Qtr!D2</f>
        <v>-5.9</v>
      </c>
      <c r="E2" s="4">
        <f>Qtr!E2</f>
        <v>744</v>
      </c>
      <c r="F2" s="55">
        <f>0.336*(G4)</f>
        <v>186.39698455657037</v>
      </c>
      <c r="G2" s="55"/>
      <c r="H2" s="55">
        <v>1</v>
      </c>
      <c r="I2">
        <f>IF(J2*3.6&lt;H4*I4*J4,H4*I4*J4,J2*3.6)</f>
        <v>1664.2587906836638</v>
      </c>
      <c r="J2">
        <f>K2*L2+M2*N2</f>
        <v>0</v>
      </c>
      <c r="K2" s="136">
        <v>0</v>
      </c>
      <c r="L2" s="136">
        <v>0</v>
      </c>
      <c r="M2" s="75">
        <v>0</v>
      </c>
      <c r="N2" s="75">
        <v>0</v>
      </c>
      <c r="AQ2" s="201"/>
      <c r="AR2" s="202"/>
      <c r="AS2" s="206" t="s">
        <v>498</v>
      </c>
      <c r="AT2" s="207"/>
      <c r="AU2" s="207" t="s">
        <v>499</v>
      </c>
      <c r="AV2" s="207"/>
      <c r="AW2" s="207" t="s">
        <v>500</v>
      </c>
      <c r="AX2" s="208"/>
    </row>
    <row r="3" spans="1:50" ht="17" x14ac:dyDescent="0.25">
      <c r="A3" s="4" t="s">
        <v>125</v>
      </c>
      <c r="B3" s="55">
        <f>$F$2*(C3-D3)*E3</f>
        <v>3018736.4442905691</v>
      </c>
      <c r="C3" s="4">
        <f>Qtr!C3</f>
        <v>19</v>
      </c>
      <c r="D3" s="4">
        <f>Qtr!D3</f>
        <v>-5.0999999999999996</v>
      </c>
      <c r="E3" s="4">
        <f>Qtr!E3</f>
        <v>672</v>
      </c>
      <c r="G3" s="4" t="s">
        <v>449</v>
      </c>
      <c r="H3" t="s">
        <v>452</v>
      </c>
      <c r="I3" t="s">
        <v>454</v>
      </c>
      <c r="J3" s="135" t="s">
        <v>455</v>
      </c>
      <c r="K3" t="s">
        <v>456</v>
      </c>
      <c r="L3" s="134"/>
      <c r="AQ3" s="209" t="s">
        <v>501</v>
      </c>
      <c r="AR3" s="210"/>
      <c r="AS3" s="209">
        <v>0.75</v>
      </c>
      <c r="AT3" s="211"/>
      <c r="AU3" s="211">
        <v>0.5</v>
      </c>
      <c r="AV3" s="211"/>
      <c r="AW3" s="211">
        <v>0.4</v>
      </c>
      <c r="AX3" s="212"/>
    </row>
    <row r="4" spans="1:50" ht="17" x14ac:dyDescent="0.25">
      <c r="A4" s="4" t="s">
        <v>126</v>
      </c>
      <c r="B4" s="55">
        <f>$F$2*(C4-D4)*E4</f>
        <v>2634907.7736916789</v>
      </c>
      <c r="C4" s="4">
        <f>Qtr!C4</f>
        <v>19</v>
      </c>
      <c r="D4" s="4">
        <f>Qtr!D4</f>
        <v>0</v>
      </c>
      <c r="E4" s="4">
        <f>Qtr!E4</f>
        <v>744</v>
      </c>
      <c r="G4">
        <f>H4*I4*J4*K4/168</f>
        <v>554.75293022788799</v>
      </c>
      <c r="H4">
        <f>SUM(I6:O6)/(I4*J4)</f>
        <v>0.11264941050055258</v>
      </c>
      <c r="I4">
        <f>areasAndVolumes[[#Totals],[Загальний об''єм]]</f>
        <v>17380.93</v>
      </c>
      <c r="J4">
        <v>0.85</v>
      </c>
      <c r="K4">
        <f>VLOOKUP(L4,AI5:AJ7,2,FALSE)</f>
        <v>56</v>
      </c>
      <c r="L4" s="213" t="s">
        <v>457</v>
      </c>
      <c r="M4" s="213"/>
      <c r="N4" s="213"/>
      <c r="O4" s="213"/>
      <c r="P4" s="213"/>
      <c r="Q4" s="213"/>
      <c r="R4" s="213"/>
      <c r="S4" s="213"/>
      <c r="T4" s="213"/>
      <c r="U4" s="213"/>
      <c r="AQ4" s="196">
        <v>10</v>
      </c>
      <c r="AR4" s="197"/>
      <c r="AS4" s="196">
        <v>1</v>
      </c>
      <c r="AT4" s="191"/>
      <c r="AU4" s="191">
        <v>0.65</v>
      </c>
      <c r="AV4" s="191"/>
      <c r="AW4" s="191">
        <v>0.4</v>
      </c>
      <c r="AX4" s="192"/>
    </row>
    <row r="5" spans="1:50" ht="17" x14ac:dyDescent="0.25">
      <c r="A5" s="4" t="s">
        <v>127</v>
      </c>
      <c r="B5" s="55">
        <f t="shared" ref="B5:B13" si="0">$F$2*(C5-D5)*E5</f>
        <v>1342058.2888073067</v>
      </c>
      <c r="C5" s="4">
        <f>Qtr!C5</f>
        <v>19</v>
      </c>
      <c r="D5" s="4">
        <f>Qtr!D5</f>
        <v>9</v>
      </c>
      <c r="E5" s="4">
        <f>Qtr!E5</f>
        <v>720</v>
      </c>
      <c r="I5" t="s">
        <v>466</v>
      </c>
      <c r="J5" t="s">
        <v>467</v>
      </c>
      <c r="K5" t="s">
        <v>296</v>
      </c>
      <c r="L5" t="s">
        <v>468</v>
      </c>
      <c r="M5" t="s">
        <v>469</v>
      </c>
      <c r="N5" t="s">
        <v>470</v>
      </c>
      <c r="O5" t="s">
        <v>477</v>
      </c>
      <c r="P5" t="s">
        <v>496</v>
      </c>
      <c r="AI5" s="83" t="s">
        <v>457</v>
      </c>
      <c r="AJ5" s="83">
        <f>168-Qint!O15</f>
        <v>56</v>
      </c>
      <c r="AK5" t="s">
        <v>472</v>
      </c>
      <c r="AL5">
        <v>50</v>
      </c>
      <c r="AM5" t="s">
        <v>478</v>
      </c>
      <c r="AN5">
        <v>1.3</v>
      </c>
      <c r="AQ5" s="196">
        <v>20</v>
      </c>
      <c r="AR5" s="197"/>
      <c r="AS5" s="196">
        <v>1.25</v>
      </c>
      <c r="AT5" s="191"/>
      <c r="AU5" s="191">
        <v>0.85</v>
      </c>
      <c r="AV5" s="191"/>
      <c r="AW5" s="191">
        <v>0.55000000000000004</v>
      </c>
      <c r="AX5" s="192"/>
    </row>
    <row r="6" spans="1:50" ht="17" x14ac:dyDescent="0.25">
      <c r="A6" s="4" t="s">
        <v>128</v>
      </c>
      <c r="B6" s="55">
        <f t="shared" si="0"/>
        <v>485377.74778530927</v>
      </c>
      <c r="C6" s="4">
        <f>Qtr!C6</f>
        <v>19</v>
      </c>
      <c r="D6" s="4">
        <f>Qtr!D6</f>
        <v>15.5</v>
      </c>
      <c r="E6" s="4">
        <f>Qtr!E6</f>
        <v>744</v>
      </c>
      <c r="H6" t="s">
        <v>471</v>
      </c>
      <c r="I6">
        <f>I7*(($I$8*IF($I$9+I14*I11&gt;=0,$I$9+I14*I11,-($I$9+I14*I11)))/100)^(2/3)</f>
        <v>776.86312285068527</v>
      </c>
      <c r="J6">
        <f t="shared" ref="J6:P6" si="1">J7*(($I$8*IF($I$9+J14*J11&gt;=0,$I$9+J14*J11,-($I$9+J14*J11)))/100)^(2/3)</f>
        <v>0</v>
      </c>
      <c r="K6">
        <f t="shared" si="1"/>
        <v>297.76337370512778</v>
      </c>
      <c r="L6">
        <f t="shared" si="1"/>
        <v>0</v>
      </c>
      <c r="M6">
        <f t="shared" si="1"/>
        <v>589.63229412785086</v>
      </c>
      <c r="N6">
        <f t="shared" si="1"/>
        <v>0</v>
      </c>
      <c r="O6">
        <f t="shared" si="1"/>
        <v>0</v>
      </c>
      <c r="P6">
        <f t="shared" si="1"/>
        <v>0</v>
      </c>
      <c r="AI6" s="83" t="s">
        <v>458</v>
      </c>
      <c r="AJ6" s="83">
        <v>168</v>
      </c>
      <c r="AK6" t="s">
        <v>473</v>
      </c>
      <c r="AL6">
        <v>27</v>
      </c>
      <c r="AM6" t="s">
        <v>479</v>
      </c>
      <c r="AN6">
        <v>1.2</v>
      </c>
      <c r="AQ6" s="196">
        <v>40</v>
      </c>
      <c r="AR6" s="197"/>
      <c r="AS6" s="196">
        <v>1.5</v>
      </c>
      <c r="AT6" s="191"/>
      <c r="AU6" s="191">
        <v>1.1000000000000001</v>
      </c>
      <c r="AV6" s="191"/>
      <c r="AW6" s="191">
        <v>0.8</v>
      </c>
      <c r="AX6" s="192"/>
    </row>
    <row r="7" spans="1:50" ht="17" x14ac:dyDescent="0.25">
      <c r="A7" s="4" t="s">
        <v>129</v>
      </c>
      <c r="B7" s="55">
        <f t="shared" si="0"/>
        <v>13420.582888073259</v>
      </c>
      <c r="C7" s="4">
        <f>Qtr!C7</f>
        <v>19</v>
      </c>
      <c r="D7" s="4">
        <f>Qtr!D7</f>
        <v>18.899999999999999</v>
      </c>
      <c r="E7" s="4">
        <f>Qtr!E7</f>
        <v>720</v>
      </c>
      <c r="H7" t="s">
        <v>476</v>
      </c>
      <c r="I7">
        <f>VLOOKUP($Q$7,$AK$5:$AL$8,2,FALSE)*windowsToEnviroment[[#Totals],[пн]]</f>
        <v>1012.0200000000001</v>
      </c>
      <c r="J7">
        <v>0</v>
      </c>
      <c r="K7">
        <f>VLOOKUP($Q$7,$AK$5:$AL$8,2,FALSE)*windowsToEnviroment[[#Totals],[сх]]</f>
        <v>254.70000000000002</v>
      </c>
      <c r="L7">
        <v>0</v>
      </c>
      <c r="M7">
        <f>VLOOKUP($Q$7,$AK$5:$AL$8,2,FALSE)*windowsToEnviroment[[#Totals],[пд]]</f>
        <v>670.68000000000018</v>
      </c>
      <c r="N7">
        <v>0</v>
      </c>
      <c r="O7">
        <f>VLOOKUP($Q$7,$AK$5:$AL$8,2,FALSE)*windowsToEnviroment[[#Totals],[зх]]</f>
        <v>0</v>
      </c>
      <c r="P7">
        <v>0</v>
      </c>
      <c r="Q7" s="213" t="s">
        <v>475</v>
      </c>
      <c r="R7" s="213"/>
      <c r="AI7" s="83" t="s">
        <v>459</v>
      </c>
      <c r="AJ7" s="83">
        <f>168-Qint!O15</f>
        <v>56</v>
      </c>
      <c r="AK7" t="s">
        <v>474</v>
      </c>
      <c r="AL7">
        <v>9</v>
      </c>
      <c r="AM7" t="s">
        <v>480</v>
      </c>
      <c r="AN7">
        <v>1.1000000000000001</v>
      </c>
      <c r="AQ7" s="196">
        <v>60</v>
      </c>
      <c r="AR7" s="197"/>
      <c r="AS7" s="196">
        <v>1.7</v>
      </c>
      <c r="AT7" s="191"/>
      <c r="AU7" s="191">
        <v>1.3</v>
      </c>
      <c r="AV7" s="191"/>
      <c r="AW7" s="191">
        <v>1</v>
      </c>
      <c r="AX7" s="192"/>
    </row>
    <row r="8" spans="1:50" ht="17" x14ac:dyDescent="0.25">
      <c r="A8" s="4" t="s">
        <v>130</v>
      </c>
      <c r="B8" s="55">
        <f t="shared" si="0"/>
        <v>-235754.90606715012</v>
      </c>
      <c r="C8" s="4">
        <f>Qtr!C8</f>
        <v>19</v>
      </c>
      <c r="D8" s="4">
        <f>Qtr!D8</f>
        <v>20.7</v>
      </c>
      <c r="E8" s="4">
        <f>Qtr!E8</f>
        <v>744</v>
      </c>
      <c r="H8" t="s">
        <v>482</v>
      </c>
      <c r="I8">
        <f>VLOOKUP($Q$8,$AM$5:$AN$8,2,FALSE)</f>
        <v>1.1000000000000001</v>
      </c>
      <c r="Q8" s="213" t="s">
        <v>480</v>
      </c>
      <c r="R8" s="213"/>
      <c r="S8" s="213"/>
      <c r="T8" s="213"/>
      <c r="U8" s="213"/>
      <c r="V8" s="213"/>
      <c r="W8" s="213"/>
      <c r="X8" s="213"/>
      <c r="Y8" s="213"/>
      <c r="Z8" s="213"/>
      <c r="AA8" s="213"/>
      <c r="AB8" s="213"/>
      <c r="AC8" s="213"/>
      <c r="AK8" t="s">
        <v>475</v>
      </c>
      <c r="AL8">
        <v>3</v>
      </c>
      <c r="AM8" t="s">
        <v>481</v>
      </c>
      <c r="AN8">
        <v>1.05</v>
      </c>
      <c r="AQ8" s="196">
        <v>80</v>
      </c>
      <c r="AR8" s="197"/>
      <c r="AS8" s="196">
        <v>1.85</v>
      </c>
      <c r="AT8" s="191"/>
      <c r="AU8" s="191">
        <v>1.45</v>
      </c>
      <c r="AV8" s="191"/>
      <c r="AW8" s="191">
        <v>1.1499999999999999</v>
      </c>
      <c r="AX8" s="192"/>
    </row>
    <row r="9" spans="1:50" ht="17" x14ac:dyDescent="0.25">
      <c r="A9" s="4" t="s">
        <v>131</v>
      </c>
      <c r="B9" s="55">
        <f t="shared" si="0"/>
        <v>-97075.54955706175</v>
      </c>
      <c r="C9" s="4">
        <f>Qtr!C9</f>
        <v>19</v>
      </c>
      <c r="D9" s="4">
        <f>Qtr!D9</f>
        <v>19.7</v>
      </c>
      <c r="E9" s="4">
        <f>Qtr!E9</f>
        <v>744</v>
      </c>
      <c r="H9" s="107" t="s">
        <v>483</v>
      </c>
      <c r="I9">
        <f>0.5*K9*(Qve!$I$10-Qve!$M$10)</f>
        <v>11.641581889605161</v>
      </c>
      <c r="J9" t="s">
        <v>502</v>
      </c>
      <c r="K9" s="75">
        <f>areasAndVolumes[[#Totals],[Висота]]</f>
        <v>26.7</v>
      </c>
      <c r="AQ9" s="196">
        <v>100</v>
      </c>
      <c r="AR9" s="197"/>
      <c r="AS9" s="196">
        <v>2</v>
      </c>
      <c r="AT9" s="191"/>
      <c r="AU9" s="191">
        <v>1.6</v>
      </c>
      <c r="AV9" s="191"/>
      <c r="AW9" s="191">
        <v>1.25</v>
      </c>
      <c r="AX9" s="192"/>
    </row>
    <row r="10" spans="1:50" ht="17" x14ac:dyDescent="0.25">
      <c r="A10" s="4" t="s">
        <v>132</v>
      </c>
      <c r="B10" s="55">
        <f t="shared" si="0"/>
        <v>657608.56151558028</v>
      </c>
      <c r="C10" s="4">
        <f>Qtr!C10</f>
        <v>19</v>
      </c>
      <c r="D10" s="4">
        <f>Qtr!D10</f>
        <v>14.1</v>
      </c>
      <c r="E10" s="4">
        <f>Qtr!E10</f>
        <v>720</v>
      </c>
      <c r="H10" s="107" t="s">
        <v>484</v>
      </c>
      <c r="I10">
        <f>3463/(273+K10)</f>
        <v>12.731617647058824</v>
      </c>
      <c r="J10" s="5" t="s">
        <v>486</v>
      </c>
      <c r="K10" s="75">
        <v>-1</v>
      </c>
      <c r="L10" s="107" t="s">
        <v>485</v>
      </c>
      <c r="M10">
        <f>3463/(273+O10)</f>
        <v>11.859589041095891</v>
      </c>
      <c r="N10" s="5" t="s">
        <v>65</v>
      </c>
      <c r="O10" s="75">
        <v>19</v>
      </c>
      <c r="AQ10" s="196">
        <v>150</v>
      </c>
      <c r="AR10" s="197"/>
      <c r="AS10" s="196">
        <v>2.25</v>
      </c>
      <c r="AT10" s="191"/>
      <c r="AU10" s="191">
        <v>1.9</v>
      </c>
      <c r="AV10" s="191"/>
      <c r="AW10" s="191">
        <v>1.55</v>
      </c>
      <c r="AX10" s="192"/>
    </row>
    <row r="11" spans="1:50" ht="17" x14ac:dyDescent="0.25">
      <c r="A11" s="4" t="s">
        <v>133</v>
      </c>
      <c r="B11" s="55">
        <f t="shared" si="0"/>
        <v>1594812.5998660161</v>
      </c>
      <c r="C11" s="4">
        <f>Qtr!C11</f>
        <v>19</v>
      </c>
      <c r="D11" s="4">
        <f>Qtr!D11</f>
        <v>7.5</v>
      </c>
      <c r="E11" s="4">
        <f>Qtr!E11</f>
        <v>744</v>
      </c>
      <c r="H11" s="107" t="s">
        <v>493</v>
      </c>
      <c r="I11">
        <f t="shared" ref="I11:P11" si="2">0.03*$I$10*$I$13*(I12^2)</f>
        <v>6.1875661764705887</v>
      </c>
      <c r="J11">
        <f t="shared" si="2"/>
        <v>5.390057647058824</v>
      </c>
      <c r="K11">
        <f t="shared" si="2"/>
        <v>6.7497944117647073</v>
      </c>
      <c r="L11">
        <f t="shared" si="2"/>
        <v>5.390057647058824</v>
      </c>
      <c r="M11">
        <f t="shared" si="2"/>
        <v>5.9156188235294129</v>
      </c>
      <c r="N11">
        <f t="shared" si="2"/>
        <v>6.4656247058823517</v>
      </c>
      <c r="O11">
        <f t="shared" si="2"/>
        <v>6.4656247058823517</v>
      </c>
      <c r="P11">
        <f t="shared" si="2"/>
        <v>5.390057647058824</v>
      </c>
      <c r="AQ11" s="196">
        <v>200</v>
      </c>
      <c r="AR11" s="197"/>
      <c r="AS11" s="196">
        <v>2.4500000000000002</v>
      </c>
      <c r="AT11" s="191"/>
      <c r="AU11" s="191">
        <v>2.1</v>
      </c>
      <c r="AV11" s="191"/>
      <c r="AW11" s="191">
        <v>1.8</v>
      </c>
      <c r="AX11" s="192"/>
    </row>
    <row r="12" spans="1:50" ht="17" x14ac:dyDescent="0.25">
      <c r="A12" s="4" t="s">
        <v>134</v>
      </c>
      <c r="B12" s="55">
        <f t="shared" si="0"/>
        <v>2415704.9198531518</v>
      </c>
      <c r="C12" s="4">
        <f>Qtr!C12</f>
        <v>19</v>
      </c>
      <c r="D12" s="4">
        <f>Qtr!D12</f>
        <v>1</v>
      </c>
      <c r="E12" s="4">
        <f>Qtr!E12</f>
        <v>720</v>
      </c>
      <c r="H12" s="107" t="s">
        <v>494</v>
      </c>
      <c r="I12" s="75">
        <v>4.5</v>
      </c>
      <c r="J12" s="75">
        <v>4.2</v>
      </c>
      <c r="K12" s="75">
        <v>4.7</v>
      </c>
      <c r="L12" s="75">
        <v>4.2</v>
      </c>
      <c r="M12" s="75">
        <v>4.4000000000000004</v>
      </c>
      <c r="N12" s="75">
        <v>4.5999999999999996</v>
      </c>
      <c r="O12" s="75">
        <v>4.5999999999999996</v>
      </c>
      <c r="P12" s="75">
        <v>4.2</v>
      </c>
      <c r="AQ12" s="196">
        <v>250</v>
      </c>
      <c r="AR12" s="197"/>
      <c r="AS12" s="196">
        <v>2.65</v>
      </c>
      <c r="AT12" s="191"/>
      <c r="AU12" s="191">
        <v>2.2999999999999998</v>
      </c>
      <c r="AV12" s="191"/>
      <c r="AW12" s="191">
        <v>2</v>
      </c>
      <c r="AX12" s="192"/>
    </row>
    <row r="13" spans="1:50" ht="17" x14ac:dyDescent="0.25">
      <c r="A13" s="4" t="s">
        <v>135</v>
      </c>
      <c r="B13" s="55">
        <f t="shared" si="0"/>
        <v>3148021.3927790052</v>
      </c>
      <c r="C13" s="4">
        <f>Qtr!C13</f>
        <v>19</v>
      </c>
      <c r="D13" s="4">
        <f>Qtr!D13</f>
        <v>-3.7</v>
      </c>
      <c r="E13" s="4">
        <f>Qtr!E13</f>
        <v>744</v>
      </c>
      <c r="H13" s="107" t="s">
        <v>495</v>
      </c>
      <c r="I13" s="75">
        <f>$AW$6</f>
        <v>0.8</v>
      </c>
      <c r="AQ13" s="196">
        <v>300</v>
      </c>
      <c r="AR13" s="197"/>
      <c r="AS13" s="196">
        <v>2.75</v>
      </c>
      <c r="AT13" s="191"/>
      <c r="AU13" s="191">
        <v>2.5</v>
      </c>
      <c r="AV13" s="191"/>
      <c r="AW13" s="191">
        <v>2.2000000000000002</v>
      </c>
      <c r="AX13" s="192"/>
    </row>
    <row r="14" spans="1:50" ht="18" thickBot="1" x14ac:dyDescent="0.3">
      <c r="H14" s="107" t="s">
        <v>509</v>
      </c>
      <c r="I14" s="75">
        <v>8</v>
      </c>
      <c r="J14" s="75">
        <v>8.1999999999999993</v>
      </c>
      <c r="K14" s="75">
        <v>15.3</v>
      </c>
      <c r="L14" s="75">
        <v>12.5</v>
      </c>
      <c r="M14" s="75">
        <v>10.7</v>
      </c>
      <c r="N14" s="75">
        <v>15.8</v>
      </c>
      <c r="O14" s="75">
        <v>18.899999999999999</v>
      </c>
      <c r="P14" s="75">
        <v>10.6</v>
      </c>
      <c r="AQ14" s="193">
        <v>350</v>
      </c>
      <c r="AR14" s="198"/>
      <c r="AS14" s="193">
        <v>2.75</v>
      </c>
      <c r="AT14" s="194"/>
      <c r="AU14" s="194">
        <v>2.75</v>
      </c>
      <c r="AV14" s="194"/>
      <c r="AW14" s="194">
        <v>2.35</v>
      </c>
      <c r="AX14" s="195"/>
    </row>
    <row r="15" spans="1:50" x14ac:dyDescent="0.2">
      <c r="C15" s="4"/>
      <c r="D15" s="4"/>
    </row>
    <row r="16" spans="1:50" x14ac:dyDescent="0.2">
      <c r="O16" t="s">
        <v>460</v>
      </c>
      <c r="AQ16" t="s">
        <v>498</v>
      </c>
      <c r="AR16" t="s">
        <v>506</v>
      </c>
      <c r="AU16" t="s">
        <v>503</v>
      </c>
    </row>
    <row r="17" spans="1:47" ht="17" x14ac:dyDescent="0.25">
      <c r="A17" s="4"/>
      <c r="B17" s="4"/>
      <c r="C17" s="5" t="s">
        <v>65</v>
      </c>
      <c r="D17" s="4" t="s">
        <v>66</v>
      </c>
      <c r="E17" s="4" t="s">
        <v>67</v>
      </c>
      <c r="F17" s="4" t="s">
        <v>68</v>
      </c>
      <c r="G17" s="4" t="s">
        <v>448</v>
      </c>
      <c r="H17" s="4" t="s">
        <v>447</v>
      </c>
      <c r="I17" s="4" t="s">
        <v>448</v>
      </c>
      <c r="J17" s="4" t="s">
        <v>465</v>
      </c>
      <c r="K17" s="4" t="s">
        <v>461</v>
      </c>
      <c r="L17" s="4" t="s">
        <v>464</v>
      </c>
      <c r="M17" s="4" t="s">
        <v>462</v>
      </c>
      <c r="N17" s="4" t="s">
        <v>463</v>
      </c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1"/>
      <c r="AM17" s="131"/>
      <c r="AN17" s="131"/>
      <c r="AO17" s="131"/>
      <c r="AQ17" t="s">
        <v>499</v>
      </c>
      <c r="AR17" t="s">
        <v>507</v>
      </c>
      <c r="AU17" t="s">
        <v>504</v>
      </c>
    </row>
    <row r="18" spans="1:47" ht="17" x14ac:dyDescent="0.25">
      <c r="A18" s="4" t="s">
        <v>124</v>
      </c>
      <c r="B18" s="55">
        <f>$F$18*(C18-D18)*E18</f>
        <v>3525927.4101132089</v>
      </c>
      <c r="C18" s="4">
        <f>Qtr!C18</f>
        <v>24</v>
      </c>
      <c r="D18" s="4">
        <f>Qtr!D18</f>
        <v>-4.7</v>
      </c>
      <c r="E18" s="4">
        <f>Qtr!E18</f>
        <v>744</v>
      </c>
      <c r="F18" s="55">
        <f>0.336*(G20)</f>
        <v>165.12716880751981</v>
      </c>
      <c r="G18" s="55">
        <f>I18*Qint!$O$15/168</f>
        <v>982.89981433047501</v>
      </c>
      <c r="H18" s="55">
        <v>1</v>
      </c>
      <c r="I18">
        <f>IF(J18*3.6&lt;H20*I20*J20,H20*I20*J20,J18*3.6)</f>
        <v>1474.3497214957126</v>
      </c>
      <c r="J18">
        <f>K18*L18+M18*N18</f>
        <v>0</v>
      </c>
      <c r="K18" s="136">
        <f>K2</f>
        <v>0</v>
      </c>
      <c r="L18" s="136">
        <f>L2</f>
        <v>0</v>
      </c>
      <c r="M18" s="75">
        <f>M2</f>
        <v>0</v>
      </c>
      <c r="N18" s="75">
        <f>N2</f>
        <v>0</v>
      </c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Q18" t="s">
        <v>500</v>
      </c>
      <c r="AR18" t="s">
        <v>508</v>
      </c>
      <c r="AU18" t="s">
        <v>505</v>
      </c>
    </row>
    <row r="19" spans="1:47" ht="17" x14ac:dyDescent="0.25">
      <c r="A19" s="4" t="s">
        <v>125</v>
      </c>
      <c r="B19" s="55">
        <f>$F$18*(C19-D19)*E19</f>
        <v>3084839.7167945625</v>
      </c>
      <c r="C19" s="4">
        <f>Qtr!C19</f>
        <v>24</v>
      </c>
      <c r="D19" s="4">
        <f>Qtr!D19</f>
        <v>-3.8</v>
      </c>
      <c r="E19" s="4">
        <f>Qtr!E19</f>
        <v>672</v>
      </c>
      <c r="G19" s="4" t="s">
        <v>449</v>
      </c>
      <c r="H19" t="s">
        <v>453</v>
      </c>
      <c r="I19" t="s">
        <v>454</v>
      </c>
      <c r="J19" s="135" t="s">
        <v>455</v>
      </c>
      <c r="K19" t="s">
        <v>492</v>
      </c>
      <c r="L19" s="134"/>
    </row>
    <row r="20" spans="1:47" ht="17" x14ac:dyDescent="0.25">
      <c r="A20" s="4" t="s">
        <v>126</v>
      </c>
      <c r="B20" s="55">
        <f>$F$18*(C20-D20)*E20</f>
        <v>2813370.6512749991</v>
      </c>
      <c r="C20" s="4">
        <f>Qtr!C20</f>
        <v>24</v>
      </c>
      <c r="D20" s="4">
        <f>Qtr!D20</f>
        <v>1.1000000000000001</v>
      </c>
      <c r="E20" s="4">
        <f>Qtr!E20</f>
        <v>744</v>
      </c>
      <c r="G20">
        <f>H20*I20*J20*K20/168</f>
        <v>491.44990716523751</v>
      </c>
      <c r="H20">
        <f>SUM(I22:O22)/(I20*J20)</f>
        <v>9.9794952520526989E-2</v>
      </c>
      <c r="I20">
        <f>areasAndVolumes[[#Totals],[Загальний об''єм]]</f>
        <v>17380.93</v>
      </c>
      <c r="J20">
        <v>0.85</v>
      </c>
      <c r="K20">
        <f>VLOOKUP(L20,AI21:AJ23,2,FALSE)</f>
        <v>56</v>
      </c>
      <c r="L20" s="213" t="s">
        <v>457</v>
      </c>
      <c r="M20" s="213"/>
      <c r="N20" s="213"/>
      <c r="O20" s="213"/>
      <c r="P20" s="213"/>
      <c r="Q20" s="213"/>
      <c r="R20" s="213"/>
      <c r="S20" s="213"/>
      <c r="T20" s="213"/>
      <c r="U20" s="213"/>
    </row>
    <row r="21" spans="1:47" ht="17" x14ac:dyDescent="0.25">
      <c r="A21" s="4" t="s">
        <v>127</v>
      </c>
      <c r="B21" s="55">
        <f t="shared" ref="B21:B27" si="3">$F$18*(C21-D21)*E21</f>
        <v>1712038.4861963654</v>
      </c>
      <c r="C21" s="4">
        <f>Qtr!C21</f>
        <v>24</v>
      </c>
      <c r="D21" s="4">
        <f>Qtr!D21</f>
        <v>9.6</v>
      </c>
      <c r="E21" s="4">
        <f>Qtr!E21</f>
        <v>720</v>
      </c>
      <c r="I21" t="s">
        <v>466</v>
      </c>
      <c r="J21" t="s">
        <v>467</v>
      </c>
      <c r="K21" t="s">
        <v>296</v>
      </c>
      <c r="L21" t="s">
        <v>468</v>
      </c>
      <c r="M21" t="s">
        <v>469</v>
      </c>
      <c r="N21" t="s">
        <v>470</v>
      </c>
      <c r="O21" t="s">
        <v>477</v>
      </c>
      <c r="P21" t="s">
        <v>496</v>
      </c>
      <c r="AI21" s="83" t="s">
        <v>457</v>
      </c>
      <c r="AJ21" s="83">
        <f>168-Qint!O15</f>
        <v>56</v>
      </c>
      <c r="AK21" t="s">
        <v>472</v>
      </c>
      <c r="AL21">
        <v>50</v>
      </c>
      <c r="AM21" t="s">
        <v>478</v>
      </c>
      <c r="AN21">
        <v>1.3</v>
      </c>
    </row>
    <row r="22" spans="1:47" ht="17" x14ac:dyDescent="0.25">
      <c r="A22" s="4" t="s">
        <v>128</v>
      </c>
      <c r="B22" s="55">
        <f t="shared" si="3"/>
        <v>982836.90874235786</v>
      </c>
      <c r="C22" s="4">
        <f>Qtr!C22</f>
        <v>24</v>
      </c>
      <c r="D22" s="4">
        <f>Qtr!D22</f>
        <v>16</v>
      </c>
      <c r="E22" s="4">
        <f>Qtr!E22</f>
        <v>744</v>
      </c>
      <c r="H22" t="s">
        <v>487</v>
      </c>
      <c r="I22">
        <f>I23*(($I$24*IF($I$25+I30*I27&gt;=0,$I$25+I30*I27,-($I$25+I30*I27)))/100)^(2/3)</f>
        <v>906.4995615611308</v>
      </c>
      <c r="J22">
        <f t="shared" ref="J22:P22" si="4">J23*(($I$24*IF($I$25+J30*J27&gt;=0,$I$25+J30*J27,-($I$25+J30*J27)))/100)^(2/3)</f>
        <v>0</v>
      </c>
      <c r="K22">
        <f t="shared" si="4"/>
        <v>238.6966488373416</v>
      </c>
      <c r="L22">
        <f t="shared" si="4"/>
        <v>0</v>
      </c>
      <c r="M22">
        <f t="shared" si="4"/>
        <v>329.15351109724014</v>
      </c>
      <c r="N22">
        <f t="shared" si="4"/>
        <v>0</v>
      </c>
      <c r="O22">
        <f t="shared" si="4"/>
        <v>0</v>
      </c>
      <c r="P22">
        <f t="shared" si="4"/>
        <v>0</v>
      </c>
      <c r="AI22" s="83" t="s">
        <v>458</v>
      </c>
      <c r="AJ22" s="83">
        <v>168</v>
      </c>
      <c r="AK22" t="s">
        <v>473</v>
      </c>
      <c r="AL22">
        <v>27</v>
      </c>
      <c r="AM22" t="s">
        <v>479</v>
      </c>
      <c r="AN22">
        <v>1.2</v>
      </c>
    </row>
    <row r="23" spans="1:47" ht="17" x14ac:dyDescent="0.25">
      <c r="A23" s="4" t="s">
        <v>129</v>
      </c>
      <c r="B23" s="55">
        <f t="shared" si="3"/>
        <v>523122.8707822226</v>
      </c>
      <c r="C23" s="4">
        <f>Qtr!C23</f>
        <v>24</v>
      </c>
      <c r="D23" s="4">
        <f>Qtr!D23</f>
        <v>19.600000000000001</v>
      </c>
      <c r="E23" s="4">
        <f>Qtr!E23</f>
        <v>720</v>
      </c>
      <c r="H23" t="s">
        <v>476</v>
      </c>
      <c r="I23">
        <f>VLOOKUP($Q$23,$AK$21:$AL$24,2,FALSE)*windowsToEnviroment[[#Totals],[пн]]</f>
        <v>1012.0200000000001</v>
      </c>
      <c r="J23">
        <v>0</v>
      </c>
      <c r="K23">
        <f>VLOOKUP($Q$23,$AK$21:$AL$24,2,FALSE)*windowsToEnviroment[[#Totals],[сх]]</f>
        <v>254.70000000000002</v>
      </c>
      <c r="L23">
        <v>0</v>
      </c>
      <c r="M23">
        <f>VLOOKUP($Q$23,$AK$21:$AL$24,2,FALSE)*windowsToEnviroment[[#Totals],[пд]]</f>
        <v>670.68000000000018</v>
      </c>
      <c r="N23">
        <v>0</v>
      </c>
      <c r="O23">
        <f>VLOOKUP($Q$23,$AK$21:$AL$24,2,FALSE)*windowsToEnviroment[[#Totals],[зх]]</f>
        <v>0</v>
      </c>
      <c r="P23">
        <v>0</v>
      </c>
      <c r="Q23" s="213" t="s">
        <v>475</v>
      </c>
      <c r="R23" s="213"/>
      <c r="AI23" s="83" t="s">
        <v>459</v>
      </c>
      <c r="AJ23" s="83">
        <f>168-Qint!O15</f>
        <v>56</v>
      </c>
      <c r="AK23" t="s">
        <v>474</v>
      </c>
      <c r="AL23">
        <v>9</v>
      </c>
      <c r="AM23" t="s">
        <v>480</v>
      </c>
      <c r="AN23">
        <v>1.1000000000000001</v>
      </c>
    </row>
    <row r="24" spans="1:47" ht="17" x14ac:dyDescent="0.25">
      <c r="A24" s="4" t="s">
        <v>130</v>
      </c>
      <c r="B24" s="55">
        <f t="shared" si="3"/>
        <v>294851.07262270723</v>
      </c>
      <c r="C24" s="4">
        <f>Qtr!C24</f>
        <v>24</v>
      </c>
      <c r="D24" s="4">
        <f>Qtr!D24</f>
        <v>21.6</v>
      </c>
      <c r="E24" s="4">
        <f>Qtr!E24</f>
        <v>744</v>
      </c>
      <c r="H24" t="s">
        <v>482</v>
      </c>
      <c r="I24">
        <f>VLOOKUP($Q$24,$AM$21:$AN$24,2,FALSE)</f>
        <v>1.1000000000000001</v>
      </c>
      <c r="Q24" s="213" t="s">
        <v>480</v>
      </c>
      <c r="R24" s="213"/>
      <c r="S24" s="213"/>
      <c r="T24" s="213"/>
      <c r="U24" s="213"/>
      <c r="V24" s="213"/>
      <c r="W24" s="213"/>
      <c r="X24" s="213"/>
      <c r="Y24" s="213"/>
      <c r="Z24" s="213"/>
      <c r="AA24" s="213"/>
      <c r="AB24" s="213"/>
      <c r="AC24" s="213"/>
      <c r="AK24" t="s">
        <v>475</v>
      </c>
      <c r="AL24">
        <v>3</v>
      </c>
      <c r="AM24" t="s">
        <v>481</v>
      </c>
      <c r="AN24">
        <v>1.05</v>
      </c>
    </row>
    <row r="25" spans="1:47" ht="17" x14ac:dyDescent="0.25">
      <c r="A25" s="4" t="s">
        <v>131</v>
      </c>
      <c r="B25" s="55">
        <f t="shared" si="3"/>
        <v>405420.22485622275</v>
      </c>
      <c r="C25" s="4">
        <f>Qtr!C25</f>
        <v>24</v>
      </c>
      <c r="D25" s="4">
        <f>Qtr!D25</f>
        <v>20.7</v>
      </c>
      <c r="E25" s="4">
        <f>Qtr!E25</f>
        <v>744</v>
      </c>
      <c r="H25" s="107" t="s">
        <v>483</v>
      </c>
      <c r="I25">
        <f>0.5*K25*(Qve!$I$10-Qve!$M$10)</f>
        <v>11.641581889605161</v>
      </c>
      <c r="J25" t="s">
        <v>502</v>
      </c>
      <c r="K25" s="75">
        <f>areasAndVolumes[[#Totals],[Висота]]</f>
        <v>26.7</v>
      </c>
    </row>
    <row r="26" spans="1:47" ht="17" x14ac:dyDescent="0.25">
      <c r="A26" s="4" t="s">
        <v>132</v>
      </c>
      <c r="B26" s="55">
        <f t="shared" si="3"/>
        <v>1022467.4292561626</v>
      </c>
      <c r="C26" s="4">
        <f>Qtr!C26</f>
        <v>24</v>
      </c>
      <c r="D26" s="4">
        <f>Qtr!D26</f>
        <v>15.4</v>
      </c>
      <c r="E26" s="4">
        <f>Qtr!E26</f>
        <v>720</v>
      </c>
      <c r="H26" s="107" t="s">
        <v>488</v>
      </c>
      <c r="I26">
        <f>3463/(273+K26)</f>
        <v>11.782919360326643</v>
      </c>
      <c r="J26" s="5" t="s">
        <v>489</v>
      </c>
      <c r="K26" s="75">
        <v>20.9</v>
      </c>
      <c r="L26" s="107" t="s">
        <v>490</v>
      </c>
      <c r="M26">
        <f>3463/(273+O26)</f>
        <v>11.659932659932659</v>
      </c>
      <c r="N26" s="5" t="s">
        <v>491</v>
      </c>
      <c r="O26" s="75">
        <f>C18</f>
        <v>24</v>
      </c>
    </row>
    <row r="27" spans="1:47" ht="17" x14ac:dyDescent="0.25">
      <c r="A27" s="4" t="s">
        <v>133</v>
      </c>
      <c r="B27" s="55">
        <f t="shared" si="3"/>
        <v>1891961.0493290389</v>
      </c>
      <c r="C27" s="4">
        <f>Qtr!C27</f>
        <v>24</v>
      </c>
      <c r="D27" s="4">
        <f>Qtr!D27</f>
        <v>8.6</v>
      </c>
      <c r="E27" s="4">
        <f>Qtr!E27</f>
        <v>744</v>
      </c>
      <c r="H27" s="107" t="s">
        <v>512</v>
      </c>
      <c r="I27">
        <f>0.03*$I$26*$I$29*(I28^2)</f>
        <v>3.8713959850289217</v>
      </c>
      <c r="J27">
        <f t="shared" ref="J27:P27" si="5">0.03*$I$26*$I$29*(J28^2)</f>
        <v>4.7537009867301796</v>
      </c>
      <c r="K27">
        <f t="shared" si="5"/>
        <v>4.988416740387887</v>
      </c>
      <c r="L27">
        <f t="shared" si="5"/>
        <v>4.5246410343654304</v>
      </c>
      <c r="M27">
        <f t="shared" si="5"/>
        <v>3.2690531473290232</v>
      </c>
      <c r="N27">
        <f t="shared" si="5"/>
        <v>4.3012368832936367</v>
      </c>
      <c r="O27">
        <f t="shared" si="5"/>
        <v>4.3012368832936367</v>
      </c>
      <c r="P27">
        <f t="shared" si="5"/>
        <v>3.664959237835999</v>
      </c>
      <c r="AB27" s="4"/>
      <c r="AC27" s="4"/>
      <c r="AD27" s="4"/>
      <c r="AE27" s="4"/>
      <c r="AF27" s="4"/>
      <c r="AG27" s="4"/>
      <c r="AH27" s="4"/>
      <c r="AI27" s="4"/>
      <c r="AJ27" s="4"/>
      <c r="AK27" s="132"/>
      <c r="AL27" s="132"/>
    </row>
    <row r="28" spans="1:47" ht="17" x14ac:dyDescent="0.25">
      <c r="A28" s="4" t="s">
        <v>134</v>
      </c>
      <c r="B28" s="55">
        <f t="shared" ref="B28" si="6">$F$18*(C28-D28)*E28</f>
        <v>2591836.0416028309</v>
      </c>
      <c r="C28" s="4">
        <f>Qtr!C28</f>
        <v>24</v>
      </c>
      <c r="D28" s="4">
        <f>Qtr!D28</f>
        <v>2.2000000000000002</v>
      </c>
      <c r="E28" s="4">
        <f>Qtr!E28</f>
        <v>720</v>
      </c>
      <c r="H28" s="107" t="s">
        <v>511</v>
      </c>
      <c r="I28" s="75">
        <v>3.7</v>
      </c>
      <c r="J28" s="75">
        <v>4.0999999999999996</v>
      </c>
      <c r="K28" s="75">
        <v>4.2</v>
      </c>
      <c r="L28" s="75">
        <v>4</v>
      </c>
      <c r="M28" s="75">
        <v>3.4</v>
      </c>
      <c r="N28" s="75">
        <v>3.9</v>
      </c>
      <c r="O28" s="75">
        <v>3.9</v>
      </c>
      <c r="P28" s="75">
        <v>3.6</v>
      </c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</row>
    <row r="29" spans="1:47" ht="17" x14ac:dyDescent="0.25">
      <c r="A29" s="4" t="s">
        <v>135</v>
      </c>
      <c r="B29" s="55">
        <f>$F$18*(C29-D29)*E29</f>
        <v>3255647.2602090607</v>
      </c>
      <c r="C29" s="4">
        <f>Qtr!C29</f>
        <v>24</v>
      </c>
      <c r="D29" s="4">
        <f>Qtr!D29</f>
        <v>-2.5</v>
      </c>
      <c r="E29" s="4">
        <f>Qtr!E29</f>
        <v>744</v>
      </c>
      <c r="H29" s="107" t="s">
        <v>495</v>
      </c>
      <c r="I29" s="75">
        <f>$AW$6</f>
        <v>0.8</v>
      </c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</row>
    <row r="30" spans="1:47" ht="17" x14ac:dyDescent="0.25">
      <c r="H30" s="107" t="s">
        <v>510</v>
      </c>
      <c r="I30" s="75">
        <v>16.899999999999999</v>
      </c>
      <c r="J30" s="75">
        <v>14.5</v>
      </c>
      <c r="K30" s="75">
        <v>14.2</v>
      </c>
      <c r="L30" s="75">
        <v>8.8000000000000007</v>
      </c>
      <c r="M30" s="75">
        <v>6</v>
      </c>
      <c r="N30" s="75">
        <v>7.4</v>
      </c>
      <c r="O30" s="75">
        <v>16.399999999999999</v>
      </c>
      <c r="P30" s="75">
        <v>15.8</v>
      </c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</row>
    <row r="31" spans="1:47" x14ac:dyDescent="0.2"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</row>
    <row r="32" spans="1:47" x14ac:dyDescent="0.2">
      <c r="AB32" s="133"/>
      <c r="AC32" s="133"/>
      <c r="AD32" s="133"/>
      <c r="AE32" s="133"/>
      <c r="AF32" s="133"/>
      <c r="AG32" s="133"/>
      <c r="AH32" s="133"/>
      <c r="AI32" s="133"/>
      <c r="AJ32" s="133"/>
      <c r="AK32" s="133"/>
      <c r="AL32" s="133"/>
    </row>
    <row r="33" spans="28:38" x14ac:dyDescent="0.2"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</row>
    <row r="34" spans="28:38" x14ac:dyDescent="0.2">
      <c r="AB34" s="133"/>
      <c r="AC34" s="133"/>
      <c r="AD34" s="133"/>
      <c r="AE34" s="133"/>
      <c r="AF34" s="133"/>
      <c r="AG34" s="133"/>
      <c r="AH34" s="133"/>
      <c r="AI34" s="133"/>
      <c r="AJ34" s="133"/>
      <c r="AK34" s="133"/>
      <c r="AL34" s="133"/>
    </row>
    <row r="35" spans="28:38" x14ac:dyDescent="0.2"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</row>
    <row r="36" spans="28:38" x14ac:dyDescent="0.2"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</row>
    <row r="37" spans="28:38" x14ac:dyDescent="0.2"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</row>
    <row r="38" spans="28:38" x14ac:dyDescent="0.2">
      <c r="AB38" s="133"/>
      <c r="AC38" s="133"/>
      <c r="AD38" s="133"/>
      <c r="AE38" s="133"/>
      <c r="AF38" s="133"/>
      <c r="AG38" s="133"/>
      <c r="AH38" s="133"/>
      <c r="AI38" s="133"/>
      <c r="AJ38" s="133"/>
      <c r="AK38" s="133"/>
      <c r="AL38" s="133"/>
    </row>
    <row r="39" spans="28:38" x14ac:dyDescent="0.2">
      <c r="AB39" s="133"/>
      <c r="AC39" s="133"/>
      <c r="AD39" s="133"/>
      <c r="AE39" s="133"/>
      <c r="AF39" s="133"/>
      <c r="AG39" s="133"/>
      <c r="AH39" s="133"/>
      <c r="AI39" s="133"/>
      <c r="AJ39" s="133"/>
      <c r="AK39" s="133"/>
      <c r="AL39" s="133"/>
    </row>
    <row r="40" spans="28:38" x14ac:dyDescent="0.2">
      <c r="AB40" s="133"/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</row>
    <row r="41" spans="28:38" x14ac:dyDescent="0.2">
      <c r="AB41" s="133"/>
      <c r="AC41" s="133"/>
      <c r="AD41" s="133"/>
      <c r="AE41" s="133"/>
      <c r="AF41" s="133"/>
      <c r="AG41" s="133"/>
      <c r="AH41" s="133"/>
      <c r="AI41" s="133"/>
      <c r="AJ41" s="133"/>
      <c r="AK41" s="133"/>
      <c r="AL41" s="133"/>
    </row>
  </sheetData>
  <mergeCells count="59">
    <mergeCell ref="L20:U20"/>
    <mergeCell ref="Q7:R7"/>
    <mergeCell ref="Q8:AC8"/>
    <mergeCell ref="Q23:R23"/>
    <mergeCell ref="Q24:AC24"/>
    <mergeCell ref="AQ3:AR3"/>
    <mergeCell ref="AS3:AT3"/>
    <mergeCell ref="AU3:AV3"/>
    <mergeCell ref="AW3:AX3"/>
    <mergeCell ref="L4:U4"/>
    <mergeCell ref="AQ1:AR2"/>
    <mergeCell ref="AS1:AX1"/>
    <mergeCell ref="AS2:AT2"/>
    <mergeCell ref="AU2:AV2"/>
    <mergeCell ref="AW2:AX2"/>
    <mergeCell ref="AQ12:AR12"/>
    <mergeCell ref="AQ13:AR13"/>
    <mergeCell ref="AQ14:AR14"/>
    <mergeCell ref="AS4:AT4"/>
    <mergeCell ref="AS7:AT7"/>
    <mergeCell ref="AS10:AT10"/>
    <mergeCell ref="AS13:AT13"/>
    <mergeCell ref="AQ4:AR4"/>
    <mergeCell ref="AQ5:AR5"/>
    <mergeCell ref="AQ6:AR6"/>
    <mergeCell ref="AQ7:AR7"/>
    <mergeCell ref="AQ8:AR8"/>
    <mergeCell ref="AQ9:AR9"/>
    <mergeCell ref="AS6:AT6"/>
    <mergeCell ref="AS12:AT12"/>
    <mergeCell ref="AU6:AV6"/>
    <mergeCell ref="AW6:AX6"/>
    <mergeCell ref="AQ10:AR10"/>
    <mergeCell ref="AQ11:AR11"/>
    <mergeCell ref="AU4:AV4"/>
    <mergeCell ref="AW4:AX4"/>
    <mergeCell ref="AS5:AT5"/>
    <mergeCell ref="AU5:AV5"/>
    <mergeCell ref="AW5:AX5"/>
    <mergeCell ref="AU12:AV12"/>
    <mergeCell ref="AW12:AX12"/>
    <mergeCell ref="AU7:AV7"/>
    <mergeCell ref="AW7:AX7"/>
    <mergeCell ref="AS8:AT8"/>
    <mergeCell ref="AU8:AV8"/>
    <mergeCell ref="AW8:AX8"/>
    <mergeCell ref="AS9:AT9"/>
    <mergeCell ref="AU9:AV9"/>
    <mergeCell ref="AW9:AX9"/>
    <mergeCell ref="AU10:AV10"/>
    <mergeCell ref="AW10:AX10"/>
    <mergeCell ref="AS11:AT11"/>
    <mergeCell ref="AU11:AV11"/>
    <mergeCell ref="AW11:AX11"/>
    <mergeCell ref="AU13:AV13"/>
    <mergeCell ref="AW13:AX13"/>
    <mergeCell ref="AS14:AT14"/>
    <mergeCell ref="AU14:AV14"/>
    <mergeCell ref="AW14:AX14"/>
  </mergeCells>
  <phoneticPr fontId="5" type="noConversion"/>
  <dataValidations count="6">
    <dataValidation type="list" allowBlank="1" showInputMessage="1" showErrorMessage="1" sqref="L4" xr:uid="{A27D5716-0231-4719-88CC-B0653F483890}">
      <formula1>$AI$5:$AI$7</formula1>
    </dataValidation>
    <dataValidation type="list" allowBlank="1" showInputMessage="1" showErrorMessage="1" sqref="Q7" xr:uid="{06DFEC1E-BB29-42B9-A034-AD2AB612D641}">
      <formula1>$AK$5:$AK$8</formula1>
    </dataValidation>
    <dataValidation type="list" allowBlank="1" showInputMessage="1" showErrorMessage="1" sqref="Q8" xr:uid="{8DB3AB73-4232-4680-A547-C3C4C55E9CDC}">
      <formula1>$AM$5:$AM$8</formula1>
    </dataValidation>
    <dataValidation type="list" allowBlank="1" showInputMessage="1" showErrorMessage="1" sqref="Q23:R23" xr:uid="{82450A4B-EA26-45D1-AF78-C10E259DD911}">
      <formula1>$AK$21:$AK$24</formula1>
    </dataValidation>
    <dataValidation type="list" allowBlank="1" showInputMessage="1" showErrorMessage="1" sqref="Q24:AC24" xr:uid="{07041D57-FC06-4D0F-AC2A-34D311ABFE18}">
      <formula1>$AM$21:$AM$24</formula1>
    </dataValidation>
    <dataValidation type="list" allowBlank="1" showInputMessage="1" showErrorMessage="1" sqref="L20:U20" xr:uid="{D40E187D-6510-411A-998E-86010D4E5E4C}">
      <formula1>$AI$21:$AI$23</formula1>
    </dataValidation>
  </dataValidations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8351-41AA-4E68-AEEE-5F80336BB177}">
  <sheetPr codeName="Аркуш6">
    <tabColor theme="8"/>
  </sheetPr>
  <dimension ref="A1:Z31"/>
  <sheetViews>
    <sheetView topLeftCell="B1" zoomScale="125" workbookViewId="0">
      <selection activeCell="H15" sqref="H15:N15"/>
    </sheetView>
  </sheetViews>
  <sheetFormatPr baseColWidth="10" defaultColWidth="8.83203125" defaultRowHeight="15" x14ac:dyDescent="0.2"/>
  <cols>
    <col min="2" max="2" width="13.6640625" bestFit="1" customWidth="1"/>
  </cols>
  <sheetData>
    <row r="1" spans="1:20" ht="17" x14ac:dyDescent="0.25">
      <c r="A1" s="4"/>
      <c r="B1" s="4"/>
      <c r="C1" s="4" t="s">
        <v>67</v>
      </c>
      <c r="D1" s="4" t="s">
        <v>445</v>
      </c>
      <c r="E1" s="4" t="s">
        <v>136</v>
      </c>
      <c r="F1" s="4" t="s">
        <v>446</v>
      </c>
      <c r="H1" s="199" t="s">
        <v>137</v>
      </c>
      <c r="I1" s="216"/>
      <c r="J1" s="216"/>
      <c r="K1" s="216"/>
      <c r="L1" s="216"/>
      <c r="M1" s="216"/>
      <c r="N1" s="200"/>
      <c r="O1" s="252" t="s">
        <v>138</v>
      </c>
      <c r="P1" s="253"/>
      <c r="Q1" s="254"/>
      <c r="R1" s="258" t="s">
        <v>139</v>
      </c>
      <c r="S1" s="242" t="s">
        <v>140</v>
      </c>
      <c r="T1" s="244" t="s">
        <v>141</v>
      </c>
    </row>
    <row r="2" spans="1:20" ht="18" thickBot="1" x14ac:dyDescent="0.3">
      <c r="A2" s="4" t="s">
        <v>142</v>
      </c>
      <c r="B2" s="55">
        <f>($O$15/168)*((D2-$O$31)/D2)*SUM($R$15*$E$2,$S$15*$E$2,$T$15*$E$2)*C2+F2</f>
        <v>16855689.024000004</v>
      </c>
      <c r="C2" s="4">
        <v>744</v>
      </c>
      <c r="D2">
        <f>C2/24</f>
        <v>31</v>
      </c>
      <c r="E2" s="55">
        <f>areasAndVolumes[[#Totals],[Загальна площа]]</f>
        <v>5859.18</v>
      </c>
      <c r="F2" s="55"/>
      <c r="H2" s="201"/>
      <c r="I2" s="217"/>
      <c r="J2" s="217"/>
      <c r="K2" s="217"/>
      <c r="L2" s="217"/>
      <c r="M2" s="217"/>
      <c r="N2" s="202"/>
      <c r="O2" s="255"/>
      <c r="P2" s="256"/>
      <c r="Q2" s="257"/>
      <c r="R2" s="259"/>
      <c r="S2" s="243"/>
      <c r="T2" s="245"/>
    </row>
    <row r="3" spans="1:20" ht="17" x14ac:dyDescent="0.25">
      <c r="A3" s="4" t="s">
        <v>143</v>
      </c>
      <c r="B3" s="55">
        <f>($O$15/168)*((D3-$P$31)/D3)*SUM($R$15*$E$2,$S$15*$E$2,$T$15*$E$2)*C3+F3</f>
        <v>15224493.312000003</v>
      </c>
      <c r="C3" s="4">
        <v>672</v>
      </c>
      <c r="D3">
        <f t="shared" ref="D3:D13" si="0">C3/24</f>
        <v>28</v>
      </c>
      <c r="E3" s="55"/>
      <c r="F3" s="55"/>
      <c r="H3" s="246" t="s">
        <v>144</v>
      </c>
      <c r="I3" s="247"/>
      <c r="J3" s="247"/>
      <c r="K3" s="247"/>
      <c r="L3" s="247"/>
      <c r="M3" s="247"/>
      <c r="N3" s="248"/>
      <c r="O3" s="249">
        <v>112</v>
      </c>
      <c r="P3" s="250"/>
      <c r="Q3" s="251"/>
      <c r="R3" s="56">
        <v>1.2</v>
      </c>
      <c r="S3" s="57">
        <v>2</v>
      </c>
      <c r="T3" s="58">
        <v>2</v>
      </c>
    </row>
    <row r="4" spans="1:20" ht="17" x14ac:dyDescent="0.25">
      <c r="A4" s="4" t="s">
        <v>145</v>
      </c>
      <c r="B4" s="55">
        <f>($O$15/168)*((D4-$Q$31)/D4)*SUM($R$15*$E$2,$S$15*$E$2,$T$15*$E$2)*C4+F4</f>
        <v>16855689.024000004</v>
      </c>
      <c r="C4" s="4">
        <v>744</v>
      </c>
      <c r="D4">
        <f t="shared" si="0"/>
        <v>31</v>
      </c>
      <c r="E4" s="55"/>
      <c r="F4" s="55"/>
      <c r="H4" s="179" t="s">
        <v>146</v>
      </c>
      <c r="I4" s="180"/>
      <c r="J4" s="180"/>
      <c r="K4" s="180"/>
      <c r="L4" s="180"/>
      <c r="M4" s="180"/>
      <c r="N4" s="233"/>
      <c r="O4" s="234">
        <v>112</v>
      </c>
      <c r="P4" s="235"/>
      <c r="Q4" s="236"/>
      <c r="R4" s="59">
        <v>1.8</v>
      </c>
      <c r="S4" s="60">
        <v>2</v>
      </c>
      <c r="T4" s="61">
        <v>2</v>
      </c>
    </row>
    <row r="5" spans="1:20" ht="17" x14ac:dyDescent="0.25">
      <c r="A5" s="4" t="s">
        <v>147</v>
      </c>
      <c r="B5" s="55">
        <f>($O$15/168)*((D5-$R$31)/D5)*SUM($R$15*$E$2,$S$15*$E$2,$T$15*$E$2)*C5+F5</f>
        <v>16311957.120000003</v>
      </c>
      <c r="C5" s="4">
        <v>720</v>
      </c>
      <c r="D5">
        <f t="shared" si="0"/>
        <v>30</v>
      </c>
      <c r="E5" s="55"/>
      <c r="F5" s="55"/>
      <c r="H5" s="179" t="s">
        <v>148</v>
      </c>
      <c r="I5" s="180"/>
      <c r="J5" s="180"/>
      <c r="K5" s="180"/>
      <c r="L5" s="180"/>
      <c r="M5" s="180"/>
      <c r="N5" s="233"/>
      <c r="O5" s="234">
        <v>50</v>
      </c>
      <c r="P5" s="235"/>
      <c r="Q5" s="236"/>
      <c r="R5" s="59">
        <v>4</v>
      </c>
      <c r="S5" s="60">
        <v>7</v>
      </c>
      <c r="T5" s="61">
        <v>6</v>
      </c>
    </row>
    <row r="6" spans="1:20" ht="17" x14ac:dyDescent="0.25">
      <c r="A6" s="4" t="s">
        <v>149</v>
      </c>
      <c r="B6" s="55">
        <f>($O$15/168)*((D6-$S$31)/D6)*SUM($R$15*$E$2,$S$15*$E$2,$T$15*$E$2)*C6+F6</f>
        <v>16855689.024000004</v>
      </c>
      <c r="C6" s="4">
        <v>744</v>
      </c>
      <c r="D6">
        <f t="shared" si="0"/>
        <v>31</v>
      </c>
      <c r="E6" s="55"/>
      <c r="F6" s="55"/>
      <c r="H6" s="179" t="s">
        <v>150</v>
      </c>
      <c r="I6" s="180"/>
      <c r="J6" s="180"/>
      <c r="K6" s="180"/>
      <c r="L6" s="180"/>
      <c r="M6" s="180"/>
      <c r="N6" s="233"/>
      <c r="O6" s="234">
        <v>50</v>
      </c>
      <c r="P6" s="235"/>
      <c r="Q6" s="236"/>
      <c r="R6" s="59">
        <v>7</v>
      </c>
      <c r="S6" s="60">
        <v>7</v>
      </c>
      <c r="T6" s="61">
        <v>6</v>
      </c>
    </row>
    <row r="7" spans="1:20" ht="17" x14ac:dyDescent="0.25">
      <c r="A7" s="4" t="s">
        <v>151</v>
      </c>
      <c r="B7" s="55">
        <f>($O$15/168)*((D7-$T$31)/D7)*SUM($R$15*$E$2,$S$15*$E$2,$T$15*$E$2)*C7+F7</f>
        <v>16311957.120000003</v>
      </c>
      <c r="C7" s="4">
        <v>720</v>
      </c>
      <c r="D7">
        <f t="shared" si="0"/>
        <v>30</v>
      </c>
      <c r="E7" s="55"/>
      <c r="F7" s="55"/>
      <c r="H7" s="179" t="s">
        <v>152</v>
      </c>
      <c r="I7" s="180"/>
      <c r="J7" s="180"/>
      <c r="K7" s="180"/>
      <c r="L7" s="180"/>
      <c r="M7" s="180"/>
      <c r="N7" s="233"/>
      <c r="O7" s="234">
        <v>50</v>
      </c>
      <c r="P7" s="235"/>
      <c r="Q7" s="236"/>
      <c r="R7" s="59">
        <v>7</v>
      </c>
      <c r="S7" s="60">
        <v>7</v>
      </c>
      <c r="T7" s="61">
        <v>3</v>
      </c>
    </row>
    <row r="8" spans="1:20" ht="17" x14ac:dyDescent="0.25">
      <c r="A8" s="4" t="s">
        <v>153</v>
      </c>
      <c r="B8" s="55">
        <f>($O$15/168)*((D8-$U$31)/D8)*SUM($R$15*$E$2,$S$15*$E$2,$T$15*$E$2)*C8+F8</f>
        <v>16855689.024000004</v>
      </c>
      <c r="C8" s="4">
        <v>744</v>
      </c>
      <c r="D8">
        <f t="shared" si="0"/>
        <v>31</v>
      </c>
      <c r="E8" s="55"/>
      <c r="F8" s="55"/>
      <c r="H8" s="179" t="s">
        <v>154</v>
      </c>
      <c r="I8" s="180"/>
      <c r="J8" s="180"/>
      <c r="K8" s="180"/>
      <c r="L8" s="180"/>
      <c r="M8" s="180"/>
      <c r="N8" s="233"/>
      <c r="O8" s="234">
        <v>168</v>
      </c>
      <c r="P8" s="235"/>
      <c r="Q8" s="236"/>
      <c r="R8" s="59">
        <v>2.7</v>
      </c>
      <c r="S8" s="60">
        <v>7</v>
      </c>
      <c r="T8" s="61">
        <v>6</v>
      </c>
    </row>
    <row r="9" spans="1:20" ht="17" x14ac:dyDescent="0.25">
      <c r="A9" s="4" t="s">
        <v>155</v>
      </c>
      <c r="B9" s="55">
        <f>($O$15/168)*((D9-$V$31)/D9)*SUM($R$15*$E$2,$S$15*$E$2,$T$15*$E$2)*C9+F9</f>
        <v>16855689.024000004</v>
      </c>
      <c r="C9" s="4">
        <v>744</v>
      </c>
      <c r="D9">
        <f t="shared" si="0"/>
        <v>31</v>
      </c>
      <c r="E9" s="55"/>
      <c r="F9" s="55"/>
      <c r="H9" s="179" t="s">
        <v>156</v>
      </c>
      <c r="I9" s="180"/>
      <c r="J9" s="180"/>
      <c r="K9" s="180"/>
      <c r="L9" s="180"/>
      <c r="M9" s="180"/>
      <c r="N9" s="233"/>
      <c r="O9" s="234">
        <v>168</v>
      </c>
      <c r="P9" s="235"/>
      <c r="Q9" s="236"/>
      <c r="R9" s="59">
        <v>4</v>
      </c>
      <c r="S9" s="60">
        <v>8</v>
      </c>
      <c r="T9" s="61">
        <v>2</v>
      </c>
    </row>
    <row r="10" spans="1:20" ht="17" x14ac:dyDescent="0.25">
      <c r="A10" s="4" t="s">
        <v>157</v>
      </c>
      <c r="B10" s="55">
        <f>($O$15/168)*((D10-$W$31)/D10)*SUM($R$15*$E$2,$S$15*$E$2,$T$15*$E$2)*C10+F10</f>
        <v>16311957.120000003</v>
      </c>
      <c r="C10" s="4">
        <v>720</v>
      </c>
      <c r="D10">
        <f t="shared" si="0"/>
        <v>30</v>
      </c>
      <c r="E10" s="55"/>
      <c r="F10" s="55"/>
      <c r="H10" s="179" t="s">
        <v>158</v>
      </c>
      <c r="I10" s="180"/>
      <c r="J10" s="180"/>
      <c r="K10" s="180"/>
      <c r="L10" s="180"/>
      <c r="M10" s="180"/>
      <c r="N10" s="233"/>
      <c r="O10" s="234">
        <v>84</v>
      </c>
      <c r="P10" s="235"/>
      <c r="Q10" s="236"/>
      <c r="R10" s="59">
        <v>5</v>
      </c>
      <c r="S10" s="60">
        <v>8</v>
      </c>
      <c r="T10" s="61">
        <v>4</v>
      </c>
    </row>
    <row r="11" spans="1:20" ht="17" x14ac:dyDescent="0.25">
      <c r="A11" s="4" t="s">
        <v>159</v>
      </c>
      <c r="B11" s="55">
        <f>($O$15/168)*((D11-$X$31)/D11)*SUM($R$15*$E$2,$S$15*$E$2,$T$15*$E$2)*C11+F11</f>
        <v>16855689.024000004</v>
      </c>
      <c r="C11" s="4">
        <v>744</v>
      </c>
      <c r="D11">
        <f t="shared" si="0"/>
        <v>31</v>
      </c>
      <c r="E11" s="55"/>
      <c r="F11" s="55"/>
      <c r="H11" s="179" t="s">
        <v>160</v>
      </c>
      <c r="I11" s="180"/>
      <c r="J11" s="180"/>
      <c r="K11" s="180"/>
      <c r="L11" s="180"/>
      <c r="M11" s="180"/>
      <c r="N11" s="233"/>
      <c r="O11" s="234">
        <v>84</v>
      </c>
      <c r="P11" s="235"/>
      <c r="Q11" s="236"/>
      <c r="R11" s="59">
        <v>5</v>
      </c>
      <c r="S11" s="60">
        <v>8</v>
      </c>
      <c r="T11" s="61">
        <v>1</v>
      </c>
    </row>
    <row r="12" spans="1:20" ht="17" x14ac:dyDescent="0.25">
      <c r="A12" s="4" t="s">
        <v>161</v>
      </c>
      <c r="B12" s="55">
        <f>($O$15/168)*((D12-$Y$31)/D12)*SUM($R$15*$E$2,$S$15*$E$2,$T$15*$E$2)*C12+F12</f>
        <v>16311957.120000003</v>
      </c>
      <c r="C12" s="4">
        <v>720</v>
      </c>
      <c r="D12">
        <f t="shared" si="0"/>
        <v>30</v>
      </c>
      <c r="E12" s="55"/>
      <c r="F12" s="55"/>
      <c r="H12" s="179" t="s">
        <v>162</v>
      </c>
      <c r="I12" s="180"/>
      <c r="J12" s="180"/>
      <c r="K12" s="180"/>
      <c r="L12" s="180"/>
      <c r="M12" s="180"/>
      <c r="N12" s="233"/>
      <c r="O12" s="234">
        <v>84</v>
      </c>
      <c r="P12" s="235"/>
      <c r="Q12" s="236"/>
      <c r="R12" s="59">
        <v>7</v>
      </c>
      <c r="S12" s="60">
        <v>12</v>
      </c>
      <c r="T12" s="61">
        <v>2</v>
      </c>
    </row>
    <row r="13" spans="1:20" ht="17" x14ac:dyDescent="0.25">
      <c r="A13" s="4" t="s">
        <v>163</v>
      </c>
      <c r="B13" s="55">
        <f>($O$15/168)*((D13-$Z$31)/D13)*SUM($R$15*$E$2,$S$15*$E$2,$T$15*$E$2)*C13+F13</f>
        <v>16855689.024000004</v>
      </c>
      <c r="C13" s="4">
        <v>744</v>
      </c>
      <c r="D13">
        <f t="shared" si="0"/>
        <v>31</v>
      </c>
      <c r="E13" s="55"/>
      <c r="F13" s="55"/>
      <c r="H13" s="179" t="s">
        <v>164</v>
      </c>
      <c r="I13" s="180"/>
      <c r="J13" s="180"/>
      <c r="K13" s="180"/>
      <c r="L13" s="180"/>
      <c r="M13" s="180"/>
      <c r="N13" s="233"/>
      <c r="O13" s="234">
        <v>56</v>
      </c>
      <c r="P13" s="235"/>
      <c r="Q13" s="236"/>
      <c r="R13" s="59">
        <v>5</v>
      </c>
      <c r="S13" s="60">
        <v>8</v>
      </c>
      <c r="T13" s="61">
        <v>2</v>
      </c>
    </row>
    <row r="14" spans="1:20" ht="16" thickBot="1" x14ac:dyDescent="0.25">
      <c r="H14" s="237" t="s">
        <v>165</v>
      </c>
      <c r="I14" s="238"/>
      <c r="J14" s="238"/>
      <c r="K14" s="238"/>
      <c r="L14" s="238"/>
      <c r="M14" s="238"/>
      <c r="N14" s="176"/>
      <c r="O14" s="239">
        <v>60</v>
      </c>
      <c r="P14" s="240"/>
      <c r="Q14" s="241"/>
      <c r="R14" s="62">
        <v>3</v>
      </c>
      <c r="S14" s="63">
        <v>7</v>
      </c>
      <c r="T14" s="64">
        <v>2</v>
      </c>
    </row>
    <row r="15" spans="1:20" ht="16" thickBot="1" x14ac:dyDescent="0.25">
      <c r="H15" s="224" t="s">
        <v>146</v>
      </c>
      <c r="I15" s="225"/>
      <c r="J15" s="225"/>
      <c r="K15" s="225"/>
      <c r="L15" s="225"/>
      <c r="M15" s="225"/>
      <c r="N15" s="232"/>
      <c r="O15" s="206">
        <f>VLOOKUP(H15,H3:T14,8,FALSE)</f>
        <v>112</v>
      </c>
      <c r="P15" s="207"/>
      <c r="Q15" s="208"/>
      <c r="R15" s="65">
        <f>VLOOKUP(H15,H3:T14,11,FALSE)</f>
        <v>1.8</v>
      </c>
      <c r="S15" s="66">
        <f>VLOOKUP(H15,H3:T14,12,FALSE)</f>
        <v>2</v>
      </c>
      <c r="T15" s="67">
        <f>VLOOKUP(H15,H3:T14,13,FALSE)</f>
        <v>2</v>
      </c>
    </row>
    <row r="16" spans="1:20" ht="16" thickBot="1" x14ac:dyDescent="0.25"/>
    <row r="17" spans="8:26" x14ac:dyDescent="0.2">
      <c r="H17" s="199" t="s">
        <v>137</v>
      </c>
      <c r="I17" s="216"/>
      <c r="J17" s="216"/>
      <c r="K17" s="216"/>
      <c r="L17" s="216"/>
      <c r="M17" s="216"/>
      <c r="N17" s="214"/>
      <c r="O17" s="227" t="s">
        <v>433</v>
      </c>
      <c r="P17" s="216" t="s">
        <v>434</v>
      </c>
      <c r="Q17" s="216" t="s">
        <v>435</v>
      </c>
      <c r="R17" s="216" t="s">
        <v>436</v>
      </c>
      <c r="S17" s="216" t="s">
        <v>437</v>
      </c>
      <c r="T17" s="216" t="s">
        <v>438</v>
      </c>
      <c r="U17" s="216" t="s">
        <v>439</v>
      </c>
      <c r="V17" s="216" t="s">
        <v>440</v>
      </c>
      <c r="W17" s="216" t="s">
        <v>441</v>
      </c>
      <c r="X17" s="216" t="s">
        <v>442</v>
      </c>
      <c r="Y17" s="216" t="s">
        <v>443</v>
      </c>
      <c r="Z17" s="214" t="s">
        <v>444</v>
      </c>
    </row>
    <row r="18" spans="8:26" ht="16" thickBot="1" x14ac:dyDescent="0.25">
      <c r="H18" s="201"/>
      <c r="I18" s="217"/>
      <c r="J18" s="217"/>
      <c r="K18" s="217"/>
      <c r="L18" s="217"/>
      <c r="M18" s="217"/>
      <c r="N18" s="215"/>
      <c r="O18" s="228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5"/>
    </row>
    <row r="19" spans="8:26" x14ac:dyDescent="0.2">
      <c r="H19" s="229" t="s">
        <v>144</v>
      </c>
      <c r="I19" s="230"/>
      <c r="J19" s="230"/>
      <c r="K19" s="230"/>
      <c r="L19" s="230"/>
      <c r="M19" s="230"/>
      <c r="N19" s="231"/>
      <c r="O19" s="124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8"/>
    </row>
    <row r="20" spans="8:26" x14ac:dyDescent="0.2">
      <c r="H20" s="218" t="s">
        <v>146</v>
      </c>
      <c r="I20" s="219"/>
      <c r="J20" s="219"/>
      <c r="K20" s="219"/>
      <c r="L20" s="219"/>
      <c r="M20" s="219"/>
      <c r="N20" s="220"/>
      <c r="O20" s="125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81"/>
    </row>
    <row r="21" spans="8:26" x14ac:dyDescent="0.2">
      <c r="H21" s="218" t="s">
        <v>148</v>
      </c>
      <c r="I21" s="219"/>
      <c r="J21" s="219"/>
      <c r="K21" s="219"/>
      <c r="L21" s="219"/>
      <c r="M21" s="219"/>
      <c r="N21" s="220"/>
      <c r="O21" s="125">
        <v>2</v>
      </c>
      <c r="P21" s="120"/>
      <c r="Q21" s="120"/>
      <c r="R21" s="120">
        <v>1</v>
      </c>
      <c r="S21" s="120">
        <v>3</v>
      </c>
      <c r="T21" s="120">
        <v>2</v>
      </c>
      <c r="U21" s="120"/>
      <c r="V21" s="120">
        <v>1</v>
      </c>
      <c r="W21" s="120"/>
      <c r="X21" s="120">
        <v>1</v>
      </c>
      <c r="Y21" s="120"/>
      <c r="Z21" s="81">
        <v>1</v>
      </c>
    </row>
    <row r="22" spans="8:26" x14ac:dyDescent="0.2">
      <c r="H22" s="218" t="s">
        <v>150</v>
      </c>
      <c r="I22" s="219"/>
      <c r="J22" s="219"/>
      <c r="K22" s="219"/>
      <c r="L22" s="219"/>
      <c r="M22" s="219"/>
      <c r="N22" s="220"/>
      <c r="O22" s="125">
        <v>2</v>
      </c>
      <c r="P22" s="120"/>
      <c r="Q22" s="120">
        <v>1</v>
      </c>
      <c r="R22" s="120">
        <v>1</v>
      </c>
      <c r="S22" s="120">
        <v>3</v>
      </c>
      <c r="T22" s="120">
        <v>2</v>
      </c>
      <c r="U22" s="120">
        <v>22</v>
      </c>
      <c r="V22" s="120">
        <v>22</v>
      </c>
      <c r="W22" s="120"/>
      <c r="X22" s="120">
        <v>1</v>
      </c>
      <c r="Y22" s="120"/>
      <c r="Z22" s="81">
        <v>1</v>
      </c>
    </row>
    <row r="23" spans="8:26" x14ac:dyDescent="0.2">
      <c r="H23" s="218" t="s">
        <v>152</v>
      </c>
      <c r="I23" s="219"/>
      <c r="J23" s="219"/>
      <c r="K23" s="219"/>
      <c r="L23" s="219"/>
      <c r="M23" s="219"/>
      <c r="N23" s="220"/>
      <c r="O23" s="125">
        <v>2</v>
      </c>
      <c r="P23" s="120"/>
      <c r="Q23" s="120">
        <v>1</v>
      </c>
      <c r="R23" s="120">
        <v>1</v>
      </c>
      <c r="S23" s="120">
        <v>3</v>
      </c>
      <c r="T23" s="120">
        <v>2</v>
      </c>
      <c r="U23" s="120">
        <v>22</v>
      </c>
      <c r="V23" s="120">
        <v>22</v>
      </c>
      <c r="W23" s="120"/>
      <c r="X23" s="120">
        <v>1</v>
      </c>
      <c r="Y23" s="120"/>
      <c r="Z23" s="81">
        <v>1</v>
      </c>
    </row>
    <row r="24" spans="8:26" x14ac:dyDescent="0.2">
      <c r="H24" s="218" t="s">
        <v>154</v>
      </c>
      <c r="I24" s="219"/>
      <c r="J24" s="219"/>
      <c r="K24" s="219"/>
      <c r="L24" s="219"/>
      <c r="M24" s="219"/>
      <c r="N24" s="220"/>
      <c r="O24" s="125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81"/>
    </row>
    <row r="25" spans="8:26" x14ac:dyDescent="0.2">
      <c r="H25" s="218" t="s">
        <v>156</v>
      </c>
      <c r="I25" s="219"/>
      <c r="J25" s="219"/>
      <c r="K25" s="219"/>
      <c r="L25" s="219"/>
      <c r="M25" s="219"/>
      <c r="N25" s="220"/>
      <c r="O25" s="125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81"/>
    </row>
    <row r="26" spans="8:26" x14ac:dyDescent="0.2">
      <c r="H26" s="218" t="s">
        <v>158</v>
      </c>
      <c r="I26" s="219"/>
      <c r="J26" s="219"/>
      <c r="K26" s="219"/>
      <c r="L26" s="219"/>
      <c r="M26" s="219"/>
      <c r="N26" s="220"/>
      <c r="O26" s="125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81"/>
    </row>
    <row r="27" spans="8:26" x14ac:dyDescent="0.2">
      <c r="H27" s="218" t="s">
        <v>160</v>
      </c>
      <c r="I27" s="219"/>
      <c r="J27" s="219"/>
      <c r="K27" s="219"/>
      <c r="L27" s="219"/>
      <c r="M27" s="219"/>
      <c r="N27" s="220"/>
      <c r="O27" s="125">
        <v>2</v>
      </c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81"/>
    </row>
    <row r="28" spans="8:26" x14ac:dyDescent="0.2">
      <c r="H28" s="218" t="s">
        <v>162</v>
      </c>
      <c r="I28" s="219"/>
      <c r="J28" s="219"/>
      <c r="K28" s="219"/>
      <c r="L28" s="219"/>
      <c r="M28" s="219"/>
      <c r="N28" s="220"/>
      <c r="O28" s="125">
        <v>1</v>
      </c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81"/>
    </row>
    <row r="29" spans="8:26" x14ac:dyDescent="0.2">
      <c r="H29" s="218" t="s">
        <v>164</v>
      </c>
      <c r="I29" s="219"/>
      <c r="J29" s="219"/>
      <c r="K29" s="219"/>
      <c r="L29" s="219"/>
      <c r="M29" s="219"/>
      <c r="N29" s="220"/>
      <c r="O29" s="125">
        <v>1</v>
      </c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81"/>
    </row>
    <row r="30" spans="8:26" ht="16" thickBot="1" x14ac:dyDescent="0.25">
      <c r="H30" s="221" t="s">
        <v>165</v>
      </c>
      <c r="I30" s="222"/>
      <c r="J30" s="222"/>
      <c r="K30" s="222"/>
      <c r="L30" s="222"/>
      <c r="M30" s="222"/>
      <c r="N30" s="223"/>
      <c r="O30" s="126">
        <v>2</v>
      </c>
      <c r="P30" s="22"/>
      <c r="Q30" s="22">
        <v>1</v>
      </c>
      <c r="R30" s="22">
        <v>1</v>
      </c>
      <c r="S30" s="22">
        <v>3</v>
      </c>
      <c r="T30" s="22">
        <v>2</v>
      </c>
      <c r="U30" s="22"/>
      <c r="V30" s="22">
        <v>1</v>
      </c>
      <c r="W30" s="22"/>
      <c r="X30" s="22">
        <v>1</v>
      </c>
      <c r="Y30" s="22"/>
      <c r="Z30" s="129">
        <v>1</v>
      </c>
    </row>
    <row r="31" spans="8:26" ht="16" thickBot="1" x14ac:dyDescent="0.25">
      <c r="H31" s="224" t="s">
        <v>146</v>
      </c>
      <c r="I31" s="225"/>
      <c r="J31" s="225"/>
      <c r="K31" s="225"/>
      <c r="L31" s="225"/>
      <c r="M31" s="225"/>
      <c r="N31" s="226"/>
      <c r="O31" s="127">
        <f>VLOOKUP($H$31,$H$19:$Z$30,8,FALSE)</f>
        <v>0</v>
      </c>
      <c r="P31" s="122">
        <f>VLOOKUP($H$31,$H$19:$Z$30,9,FALSE)</f>
        <v>0</v>
      </c>
      <c r="Q31" s="122">
        <f>VLOOKUP($H$31,$H$19:$Z$30,10,FALSE)</f>
        <v>0</v>
      </c>
      <c r="R31" s="122">
        <f>VLOOKUP($H$31,$H$19:$Z$30,11,FALSE)</f>
        <v>0</v>
      </c>
      <c r="S31" s="122">
        <f>VLOOKUP($H$31,$H$19:$Z$30,12,FALSE)</f>
        <v>0</v>
      </c>
      <c r="T31" s="122">
        <f>VLOOKUP($H$31,$H$19:$Z$30,13,FALSE)</f>
        <v>0</v>
      </c>
      <c r="U31" s="122">
        <f>VLOOKUP($H$31,$H$19:$Z$30,14,FALSE)</f>
        <v>0</v>
      </c>
      <c r="V31" s="122">
        <f>VLOOKUP($H$31,$H$19:$Z$30,15,FALSE)</f>
        <v>0</v>
      </c>
      <c r="W31" s="122">
        <f>VLOOKUP($H$31,$H$19:$Z$30,16,FALSE)</f>
        <v>0</v>
      </c>
      <c r="X31" s="122">
        <f>VLOOKUP($H$31,$H$19:$Z$30,17,FALSE)</f>
        <v>0</v>
      </c>
      <c r="Y31" s="122">
        <f>VLOOKUP($H$31,$H$19:$Z$30,18,FALSE)</f>
        <v>0</v>
      </c>
      <c r="Z31" s="123">
        <f>VLOOKUP($H$31,$H$19:$Z$30,19,FALSE)</f>
        <v>0</v>
      </c>
    </row>
  </sheetData>
  <mergeCells count="57">
    <mergeCell ref="S1:S2"/>
    <mergeCell ref="T1:T2"/>
    <mergeCell ref="H4:N4"/>
    <mergeCell ref="O4:Q4"/>
    <mergeCell ref="H5:N5"/>
    <mergeCell ref="O5:Q5"/>
    <mergeCell ref="H3:N3"/>
    <mergeCell ref="O3:Q3"/>
    <mergeCell ref="H1:N2"/>
    <mergeCell ref="O1:Q2"/>
    <mergeCell ref="R1:R2"/>
    <mergeCell ref="H6:N6"/>
    <mergeCell ref="O6:Q6"/>
    <mergeCell ref="H7:N7"/>
    <mergeCell ref="O7:Q7"/>
    <mergeCell ref="H8:N8"/>
    <mergeCell ref="O8:Q8"/>
    <mergeCell ref="H9:N9"/>
    <mergeCell ref="O9:Q9"/>
    <mergeCell ref="H10:N10"/>
    <mergeCell ref="O10:Q10"/>
    <mergeCell ref="H11:N11"/>
    <mergeCell ref="O11:Q11"/>
    <mergeCell ref="H15:N15"/>
    <mergeCell ref="O15:Q15"/>
    <mergeCell ref="H12:N12"/>
    <mergeCell ref="O12:Q12"/>
    <mergeCell ref="H13:N13"/>
    <mergeCell ref="O13:Q13"/>
    <mergeCell ref="H14:N14"/>
    <mergeCell ref="O14:Q14"/>
    <mergeCell ref="H28:N28"/>
    <mergeCell ref="H29:N29"/>
    <mergeCell ref="H30:N30"/>
    <mergeCell ref="H31:N31"/>
    <mergeCell ref="O17:O18"/>
    <mergeCell ref="H23:N23"/>
    <mergeCell ref="H24:N24"/>
    <mergeCell ref="H25:N25"/>
    <mergeCell ref="H26:N26"/>
    <mergeCell ref="H27:N27"/>
    <mergeCell ref="H17:N18"/>
    <mergeCell ref="H19:N19"/>
    <mergeCell ref="H20:N20"/>
    <mergeCell ref="H21:N21"/>
    <mergeCell ref="H22:N22"/>
    <mergeCell ref="P17:P18"/>
    <mergeCell ref="Q17:Q18"/>
    <mergeCell ref="R17:R18"/>
    <mergeCell ref="S17:S18"/>
    <mergeCell ref="T17:T18"/>
    <mergeCell ref="Z17:Z18"/>
    <mergeCell ref="U17:U18"/>
    <mergeCell ref="V17:V18"/>
    <mergeCell ref="W17:W18"/>
    <mergeCell ref="X17:X18"/>
    <mergeCell ref="Y17:Y18"/>
  </mergeCells>
  <phoneticPr fontId="5" type="noConversion"/>
  <dataValidations count="2">
    <dataValidation type="list" allowBlank="1" showInputMessage="1" showErrorMessage="1" promptTitle="Призначення будівлі" prompt="Виберіть один з варіантів" sqref="H15:N15" xr:uid="{04D4CB48-EE36-4901-9278-031B60D6110B}">
      <formula1>$H$3:$H$14</formula1>
    </dataValidation>
    <dataValidation type="list" allowBlank="1" showInputMessage="1" showErrorMessage="1" promptTitle="Призначення будівлі" prompt="Виберіть один з варіантів" sqref="H31:N31" xr:uid="{EA0D9928-92D2-4362-8CC9-E7D549898EA5}">
      <formula1>$H$19:$H$30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9966-10E1-46E5-947B-8F222025B294}">
  <sheetPr codeName="Аркуш7">
    <tabColor theme="8"/>
  </sheetPr>
  <dimension ref="A1:AJ59"/>
  <sheetViews>
    <sheetView zoomScale="140" workbookViewId="0">
      <selection activeCell="D26" sqref="D26:K26"/>
    </sheetView>
  </sheetViews>
  <sheetFormatPr baseColWidth="10" defaultColWidth="8.83203125" defaultRowHeight="15" x14ac:dyDescent="0.2"/>
  <cols>
    <col min="2" max="2" width="11.5" bestFit="1" customWidth="1"/>
  </cols>
  <sheetData>
    <row r="1" spans="1:36" ht="16" thickBot="1" x14ac:dyDescent="0.25">
      <c r="N1" s="279" t="s">
        <v>166</v>
      </c>
      <c r="O1" s="280"/>
      <c r="P1" s="280"/>
      <c r="Q1" s="280"/>
      <c r="R1" s="280"/>
      <c r="S1" s="280"/>
      <c r="T1" s="280"/>
      <c r="U1" s="280"/>
      <c r="V1" s="280"/>
      <c r="W1" s="280"/>
      <c r="X1" s="281" t="s">
        <v>167</v>
      </c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3"/>
    </row>
    <row r="2" spans="1:36" ht="18" thickBot="1" x14ac:dyDescent="0.3">
      <c r="A2" s="4"/>
      <c r="B2" s="4"/>
      <c r="C2" s="4" t="s">
        <v>67</v>
      </c>
      <c r="D2" s="137" t="s">
        <v>168</v>
      </c>
      <c r="E2" s="138" t="s">
        <v>169</v>
      </c>
      <c r="F2" s="138" t="s">
        <v>170</v>
      </c>
      <c r="G2" s="138" t="s">
        <v>171</v>
      </c>
      <c r="H2" s="138" t="s">
        <v>172</v>
      </c>
      <c r="I2" s="138" t="s">
        <v>173</v>
      </c>
      <c r="J2" s="138" t="s">
        <v>174</v>
      </c>
      <c r="K2" s="138" t="s">
        <v>175</v>
      </c>
      <c r="L2" s="139" t="s">
        <v>176</v>
      </c>
      <c r="M2" s="140" t="s">
        <v>177</v>
      </c>
      <c r="N2" s="71" t="s">
        <v>178</v>
      </c>
      <c r="O2" s="72" t="s">
        <v>179</v>
      </c>
      <c r="P2" s="72" t="s">
        <v>180</v>
      </c>
      <c r="Q2" s="72" t="s">
        <v>181</v>
      </c>
      <c r="R2" s="72" t="s">
        <v>182</v>
      </c>
      <c r="S2" s="72" t="s">
        <v>183</v>
      </c>
      <c r="T2" s="72" t="s">
        <v>184</v>
      </c>
      <c r="U2" s="72" t="s">
        <v>185</v>
      </c>
      <c r="V2" s="71" t="s">
        <v>186</v>
      </c>
      <c r="W2" s="73" t="s">
        <v>187</v>
      </c>
      <c r="X2" s="137" t="s">
        <v>188</v>
      </c>
      <c r="Y2" s="138" t="s">
        <v>189</v>
      </c>
      <c r="Z2" s="138" t="s">
        <v>190</v>
      </c>
      <c r="AA2" s="138" t="s">
        <v>191</v>
      </c>
      <c r="AB2" s="138" t="s">
        <v>192</v>
      </c>
      <c r="AC2" s="138" t="s">
        <v>193</v>
      </c>
      <c r="AD2" s="138" t="s">
        <v>194</v>
      </c>
      <c r="AE2" s="138" t="s">
        <v>195</v>
      </c>
      <c r="AF2" s="139" t="s">
        <v>196</v>
      </c>
      <c r="AG2" s="68" t="s">
        <v>197</v>
      </c>
      <c r="AH2" s="69" t="s">
        <v>198</v>
      </c>
      <c r="AI2" s="69" t="s">
        <v>199</v>
      </c>
      <c r="AJ2" s="70" t="s">
        <v>200</v>
      </c>
    </row>
    <row r="3" spans="1:36" ht="17" x14ac:dyDescent="0.25">
      <c r="A3" s="4" t="s">
        <v>201</v>
      </c>
      <c r="B3" s="55">
        <f>M3*C3</f>
        <v>4866972.5875680009</v>
      </c>
      <c r="C3" s="4">
        <v>744</v>
      </c>
      <c r="D3" s="74">
        <v>12</v>
      </c>
      <c r="E3" s="75">
        <v>12</v>
      </c>
      <c r="F3" s="75">
        <v>19</v>
      </c>
      <c r="G3" s="75">
        <v>34</v>
      </c>
      <c r="H3" s="8">
        <v>44</v>
      </c>
      <c r="I3" s="8">
        <v>35</v>
      </c>
      <c r="J3" s="8">
        <v>20</v>
      </c>
      <c r="K3" s="8">
        <v>13</v>
      </c>
      <c r="L3" s="76">
        <v>29</v>
      </c>
      <c r="M3" s="19">
        <f>SUM(N3:U3)</f>
        <v>6541.6298220000008</v>
      </c>
      <c r="N3" s="71">
        <f>1*$V$3*D3</f>
        <v>1708.6945680000003</v>
      </c>
      <c r="O3" s="72">
        <f>1*$V$5*E3</f>
        <v>0</v>
      </c>
      <c r="P3" s="72">
        <f>1*$V$7*F3</f>
        <v>680.88951000000009</v>
      </c>
      <c r="Q3" s="72">
        <f>1*$V$9*G3</f>
        <v>0</v>
      </c>
      <c r="R3" s="72">
        <f>1*$V$11*H3</f>
        <v>4152.0457440000009</v>
      </c>
      <c r="S3" s="72">
        <f>1*$V$13*I3</f>
        <v>0</v>
      </c>
      <c r="T3" s="72">
        <f>1*$V$15*J3</f>
        <v>0</v>
      </c>
      <c r="U3" s="73">
        <f>1*$V$17*K3</f>
        <v>0</v>
      </c>
      <c r="V3" s="77">
        <f>1*(0.9*$L$26)*(1-0.3)*W3</f>
        <v>142.39121400000002</v>
      </c>
      <c r="W3" s="78">
        <f>windowsToEnviroment[[#Totals],[пн]]</f>
        <v>337.34000000000003</v>
      </c>
      <c r="X3">
        <f>1*$AG$3*D3-0.5*$AJ$3</f>
        <v>0</v>
      </c>
      <c r="Y3">
        <f t="shared" ref="Y3:Y14" si="0">1*$AG$5*E3-0.5*$AJ$5</f>
        <v>0</v>
      </c>
      <c r="Z3">
        <f t="shared" ref="Z3:Z14" si="1">1*$AG$7*F3-0.5*$AJ$7</f>
        <v>0</v>
      </c>
      <c r="AA3">
        <f t="shared" ref="AA3:AA14" si="2">1*$AG$9*G3-0.5*$AJ$9</f>
        <v>0</v>
      </c>
      <c r="AB3">
        <f t="shared" ref="AB3:AB14" si="3">1*$AG$11*H3-0.5*$AJ$11</f>
        <v>0</v>
      </c>
      <c r="AC3">
        <f t="shared" ref="AC3:AC14" si="4">1*$AG$13*I3-0.5*$AJ$13</f>
        <v>0</v>
      </c>
      <c r="AD3">
        <f t="shared" ref="AD3:AD14" si="5">1*$AG$15*J3-0.5*$AJ$15</f>
        <v>0</v>
      </c>
      <c r="AE3">
        <f t="shared" ref="AE3:AE14" si="6">1*$AG$17*K3-0.5*$AJ$17</f>
        <v>0</v>
      </c>
      <c r="AF3" s="3">
        <f t="shared" ref="AF3:AF14" si="7">1*$AG$19*L3-1*$AJ$19</f>
        <v>0</v>
      </c>
      <c r="AG3" s="79">
        <f>$K$56*0.043*AI3*AH3</f>
        <v>0</v>
      </c>
      <c r="AH3" s="80">
        <v>0</v>
      </c>
      <c r="AI3" s="80">
        <f>Qtr!$C$48</f>
        <v>0.21240080962231461</v>
      </c>
      <c r="AJ3" s="81">
        <f>0.043*AI3*AH3*(5*$L$56)*11</f>
        <v>0</v>
      </c>
    </row>
    <row r="4" spans="1:36" ht="17" x14ac:dyDescent="0.25">
      <c r="A4" s="4" t="s">
        <v>202</v>
      </c>
      <c r="B4" s="55">
        <f>M4*C4</f>
        <v>7919416.6974720024</v>
      </c>
      <c r="C4" s="4">
        <v>672</v>
      </c>
      <c r="D4" s="74">
        <v>24</v>
      </c>
      <c r="E4" s="75">
        <v>26</v>
      </c>
      <c r="F4" s="75">
        <v>36</v>
      </c>
      <c r="G4" s="75">
        <v>60</v>
      </c>
      <c r="H4" s="8">
        <v>75</v>
      </c>
      <c r="I4" s="8">
        <v>63</v>
      </c>
      <c r="J4" s="8">
        <v>40</v>
      </c>
      <c r="K4" s="8">
        <v>26</v>
      </c>
      <c r="L4" s="76">
        <v>62</v>
      </c>
      <c r="M4" s="19">
        <f t="shared" ref="M4:M14" si="8">SUM(N4:U4)+SUM(X4:AF4)</f>
        <v>11784.846276000004</v>
      </c>
      <c r="N4" s="82">
        <f>1*$V$3*D4</f>
        <v>3417.3891360000007</v>
      </c>
      <c r="O4" s="83">
        <f>1*$V$5*E4</f>
        <v>0</v>
      </c>
      <c r="P4" s="83">
        <f>1*$V$7*F4</f>
        <v>1290.1064400000002</v>
      </c>
      <c r="Q4" s="83">
        <f>1*$V$9*G4</f>
        <v>0</v>
      </c>
      <c r="R4" s="83">
        <f>1*$V$11*H4</f>
        <v>7077.3507000000027</v>
      </c>
      <c r="S4" s="83">
        <f>1*$V$13*I4</f>
        <v>0</v>
      </c>
      <c r="T4" s="83">
        <f>1*$V$15*J4</f>
        <v>0</v>
      </c>
      <c r="U4" s="84">
        <f>1*$V$17*K4</f>
        <v>0</v>
      </c>
      <c r="V4" s="82" t="s">
        <v>203</v>
      </c>
      <c r="W4" s="84" t="s">
        <v>204</v>
      </c>
      <c r="X4">
        <f t="shared" ref="X4:X14" si="9">1*$AG$3*D4-0.5*$AJ$3</f>
        <v>0</v>
      </c>
      <c r="Y4">
        <f t="shared" si="0"/>
        <v>0</v>
      </c>
      <c r="Z4">
        <f t="shared" si="1"/>
        <v>0</v>
      </c>
      <c r="AA4">
        <f t="shared" si="2"/>
        <v>0</v>
      </c>
      <c r="AB4">
        <f t="shared" si="3"/>
        <v>0</v>
      </c>
      <c r="AC4">
        <f t="shared" si="4"/>
        <v>0</v>
      </c>
      <c r="AD4">
        <f t="shared" si="5"/>
        <v>0</v>
      </c>
      <c r="AE4">
        <f t="shared" si="6"/>
        <v>0</v>
      </c>
      <c r="AF4" s="3">
        <f t="shared" si="7"/>
        <v>0</v>
      </c>
      <c r="AG4" s="19" t="s">
        <v>205</v>
      </c>
      <c r="AH4" t="s">
        <v>206</v>
      </c>
      <c r="AI4" t="s">
        <v>199</v>
      </c>
      <c r="AJ4" s="85" t="s">
        <v>207</v>
      </c>
    </row>
    <row r="5" spans="1:36" ht="17" x14ac:dyDescent="0.25">
      <c r="A5" s="4" t="s">
        <v>208</v>
      </c>
      <c r="B5" s="55">
        <f t="shared" ref="B5:B14" si="10">M5*C5</f>
        <v>11905831.009296002</v>
      </c>
      <c r="C5" s="4">
        <v>744</v>
      </c>
      <c r="D5" s="74">
        <v>33</v>
      </c>
      <c r="E5" s="75">
        <v>40</v>
      </c>
      <c r="F5" s="75">
        <v>60</v>
      </c>
      <c r="G5" s="75">
        <v>83</v>
      </c>
      <c r="H5" s="8">
        <v>97</v>
      </c>
      <c r="I5" s="8">
        <v>87</v>
      </c>
      <c r="J5" s="8">
        <v>63</v>
      </c>
      <c r="K5" s="8">
        <v>40</v>
      </c>
      <c r="L5" s="76">
        <v>105</v>
      </c>
      <c r="M5" s="19">
        <f t="shared" si="8"/>
        <v>16002.461034000004</v>
      </c>
      <c r="N5" s="82">
        <f t="shared" ref="N5:N14" si="11">1*$V$3*D5</f>
        <v>4698.9100620000008</v>
      </c>
      <c r="O5" s="83">
        <f t="shared" ref="O5:O14" si="12">1*$V$5*E5</f>
        <v>0</v>
      </c>
      <c r="P5" s="83">
        <f t="shared" ref="P5:P14" si="13">1*$V$7*F5</f>
        <v>2150.1774000000005</v>
      </c>
      <c r="Q5" s="83">
        <f t="shared" ref="Q5:Q14" si="14">1*$V$9*G5</f>
        <v>0</v>
      </c>
      <c r="R5" s="83">
        <f t="shared" ref="R5:R14" si="15">1*$V$11*H5</f>
        <v>9153.3735720000022</v>
      </c>
      <c r="S5" s="83">
        <f t="shared" ref="S5:S14" si="16">1*$V$13*I5</f>
        <v>0</v>
      </c>
      <c r="T5" s="83">
        <f t="shared" ref="T5:T14" si="17">1*$V$15*J5</f>
        <v>0</v>
      </c>
      <c r="U5" s="84">
        <f t="shared" ref="U5:U14" si="18">1*$V$17*K5</f>
        <v>0</v>
      </c>
      <c r="V5" s="77">
        <f>1*(0.9*$L$26)*(1-0.3)*W5</f>
        <v>0</v>
      </c>
      <c r="W5" s="78">
        <v>0</v>
      </c>
      <c r="X5">
        <f t="shared" si="9"/>
        <v>0</v>
      </c>
      <c r="Y5">
        <f t="shared" si="0"/>
        <v>0</v>
      </c>
      <c r="Z5">
        <f t="shared" si="1"/>
        <v>0</v>
      </c>
      <c r="AA5">
        <f t="shared" si="2"/>
        <v>0</v>
      </c>
      <c r="AB5">
        <f t="shared" si="3"/>
        <v>0</v>
      </c>
      <c r="AC5">
        <f t="shared" si="4"/>
        <v>0</v>
      </c>
      <c r="AD5">
        <f t="shared" si="5"/>
        <v>0</v>
      </c>
      <c r="AE5">
        <f t="shared" si="6"/>
        <v>0</v>
      </c>
      <c r="AF5" s="3">
        <f t="shared" si="7"/>
        <v>0</v>
      </c>
      <c r="AG5" s="79">
        <f>$K$56*0.043*AI5*AH5</f>
        <v>0</v>
      </c>
      <c r="AH5" s="80">
        <v>0</v>
      </c>
      <c r="AI5" s="80">
        <v>0</v>
      </c>
      <c r="AJ5" s="81">
        <f>0.043*AI5*AH5*(5*$L$56)*11</f>
        <v>0</v>
      </c>
    </row>
    <row r="6" spans="1:36" ht="17" x14ac:dyDescent="0.25">
      <c r="A6" s="4" t="s">
        <v>209</v>
      </c>
      <c r="B6" s="55">
        <f t="shared" si="10"/>
        <v>12678746.693760002</v>
      </c>
      <c r="C6" s="4">
        <v>720</v>
      </c>
      <c r="D6" s="74">
        <v>39</v>
      </c>
      <c r="E6" s="75">
        <v>54</v>
      </c>
      <c r="F6" s="75">
        <v>81</v>
      </c>
      <c r="G6" s="75">
        <v>96</v>
      </c>
      <c r="H6" s="8">
        <v>97</v>
      </c>
      <c r="I6" s="8">
        <v>93</v>
      </c>
      <c r="J6" s="8">
        <v>77</v>
      </c>
      <c r="K6" s="8">
        <v>54</v>
      </c>
      <c r="L6" s="76">
        <v>155</v>
      </c>
      <c r="M6" s="19">
        <f t="shared" si="8"/>
        <v>17609.370408000002</v>
      </c>
      <c r="N6" s="82">
        <f t="shared" si="11"/>
        <v>5553.2573460000003</v>
      </c>
      <c r="O6" s="83">
        <f t="shared" si="12"/>
        <v>0</v>
      </c>
      <c r="P6" s="83">
        <f t="shared" si="13"/>
        <v>2902.7394900000004</v>
      </c>
      <c r="Q6" s="83">
        <f t="shared" si="14"/>
        <v>0</v>
      </c>
      <c r="R6" s="83">
        <f t="shared" si="15"/>
        <v>9153.3735720000022</v>
      </c>
      <c r="S6" s="83">
        <f t="shared" si="16"/>
        <v>0</v>
      </c>
      <c r="T6" s="83">
        <f t="shared" si="17"/>
        <v>0</v>
      </c>
      <c r="U6" s="84">
        <f t="shared" si="18"/>
        <v>0</v>
      </c>
      <c r="V6" s="82" t="s">
        <v>210</v>
      </c>
      <c r="W6" s="84" t="s">
        <v>211</v>
      </c>
      <c r="X6">
        <f t="shared" si="9"/>
        <v>0</v>
      </c>
      <c r="Y6">
        <f t="shared" si="0"/>
        <v>0</v>
      </c>
      <c r="Z6">
        <f t="shared" si="1"/>
        <v>0</v>
      </c>
      <c r="AA6">
        <f t="shared" si="2"/>
        <v>0</v>
      </c>
      <c r="AB6">
        <f t="shared" si="3"/>
        <v>0</v>
      </c>
      <c r="AC6">
        <f t="shared" si="4"/>
        <v>0</v>
      </c>
      <c r="AD6">
        <f t="shared" si="5"/>
        <v>0</v>
      </c>
      <c r="AE6">
        <f t="shared" si="6"/>
        <v>0</v>
      </c>
      <c r="AF6" s="3">
        <f t="shared" si="7"/>
        <v>0</v>
      </c>
      <c r="AG6" s="19" t="s">
        <v>212</v>
      </c>
      <c r="AH6" t="s">
        <v>213</v>
      </c>
      <c r="AI6" t="s">
        <v>199</v>
      </c>
      <c r="AJ6" s="85" t="s">
        <v>214</v>
      </c>
    </row>
    <row r="7" spans="1:36" ht="17" x14ac:dyDescent="0.25">
      <c r="A7" s="4" t="s">
        <v>215</v>
      </c>
      <c r="B7" s="55">
        <f t="shared" si="10"/>
        <v>16016796.765648004</v>
      </c>
      <c r="C7" s="4">
        <v>744</v>
      </c>
      <c r="D7" s="74">
        <v>56</v>
      </c>
      <c r="E7" s="75">
        <v>81</v>
      </c>
      <c r="F7" s="75">
        <v>107</v>
      </c>
      <c r="G7" s="75">
        <v>113</v>
      </c>
      <c r="H7" s="8">
        <v>103</v>
      </c>
      <c r="I7" s="8">
        <v>110</v>
      </c>
      <c r="J7" s="8">
        <v>101</v>
      </c>
      <c r="K7" s="8">
        <v>78</v>
      </c>
      <c r="L7" s="76">
        <v>216</v>
      </c>
      <c r="M7" s="19">
        <f t="shared" si="8"/>
        <v>21527.952642000004</v>
      </c>
      <c r="N7" s="82">
        <f t="shared" si="11"/>
        <v>7973.9079840000013</v>
      </c>
      <c r="O7" s="83">
        <f t="shared" si="12"/>
        <v>0</v>
      </c>
      <c r="P7" s="83">
        <f t="shared" si="13"/>
        <v>3834.4830300000008</v>
      </c>
      <c r="Q7" s="83">
        <f t="shared" si="14"/>
        <v>0</v>
      </c>
      <c r="R7" s="83">
        <f t="shared" si="15"/>
        <v>9719.5616280000031</v>
      </c>
      <c r="S7" s="83">
        <f t="shared" si="16"/>
        <v>0</v>
      </c>
      <c r="T7" s="83">
        <f t="shared" si="17"/>
        <v>0</v>
      </c>
      <c r="U7" s="84">
        <f t="shared" si="18"/>
        <v>0</v>
      </c>
      <c r="V7" s="77">
        <f>1*(0.9*$L$26)*(1-0.3)*W7</f>
        <v>35.836290000000005</v>
      </c>
      <c r="W7" s="78">
        <f>windowsToEnviroment[[#Totals],[сх]]</f>
        <v>84.9</v>
      </c>
      <c r="X7">
        <f t="shared" si="9"/>
        <v>0</v>
      </c>
      <c r="Y7">
        <f t="shared" si="0"/>
        <v>0</v>
      </c>
      <c r="Z7">
        <f t="shared" si="1"/>
        <v>0</v>
      </c>
      <c r="AA7">
        <f t="shared" si="2"/>
        <v>0</v>
      </c>
      <c r="AB7">
        <f t="shared" si="3"/>
        <v>0</v>
      </c>
      <c r="AC7">
        <f t="shared" si="4"/>
        <v>0</v>
      </c>
      <c r="AD7">
        <f t="shared" si="5"/>
        <v>0</v>
      </c>
      <c r="AE7">
        <f t="shared" si="6"/>
        <v>0</v>
      </c>
      <c r="AF7" s="3">
        <f t="shared" si="7"/>
        <v>0</v>
      </c>
      <c r="AG7" s="79">
        <f>$K$56*0.043*AI7*AH7</f>
        <v>0</v>
      </c>
      <c r="AH7" s="80">
        <v>0</v>
      </c>
      <c r="AI7" s="80">
        <f>Qtr!$C$48</f>
        <v>0.21240080962231461</v>
      </c>
      <c r="AJ7" s="81">
        <f>0.043*AI7*AH7*(5*$L$56)*11</f>
        <v>0</v>
      </c>
    </row>
    <row r="8" spans="1:36" ht="17" x14ac:dyDescent="0.25">
      <c r="A8" s="4" t="s">
        <v>216</v>
      </c>
      <c r="B8" s="55">
        <f t="shared" si="10"/>
        <v>16119060.924960002</v>
      </c>
      <c r="C8" s="4">
        <v>720</v>
      </c>
      <c r="D8" s="74">
        <v>64</v>
      </c>
      <c r="E8" s="75">
        <v>89</v>
      </c>
      <c r="F8" s="75">
        <v>115</v>
      </c>
      <c r="G8" s="75">
        <v>112</v>
      </c>
      <c r="H8" s="8">
        <v>97</v>
      </c>
      <c r="I8" s="8">
        <v>108</v>
      </c>
      <c r="J8" s="8">
        <v>107</v>
      </c>
      <c r="K8" s="8">
        <v>87</v>
      </c>
      <c r="L8" s="76">
        <v>234</v>
      </c>
      <c r="M8" s="19">
        <f t="shared" si="8"/>
        <v>22387.584618000004</v>
      </c>
      <c r="N8" s="82">
        <f t="shared" si="11"/>
        <v>9113.0376960000012</v>
      </c>
      <c r="O8" s="83">
        <f t="shared" si="12"/>
        <v>0</v>
      </c>
      <c r="P8" s="83">
        <f t="shared" si="13"/>
        <v>4121.1733500000009</v>
      </c>
      <c r="Q8" s="83">
        <f t="shared" si="14"/>
        <v>0</v>
      </c>
      <c r="R8" s="83">
        <f t="shared" si="15"/>
        <v>9153.3735720000022</v>
      </c>
      <c r="S8" s="83">
        <f t="shared" si="16"/>
        <v>0</v>
      </c>
      <c r="T8" s="83">
        <f t="shared" si="17"/>
        <v>0</v>
      </c>
      <c r="U8" s="84">
        <f t="shared" si="18"/>
        <v>0</v>
      </c>
      <c r="V8" s="82" t="s">
        <v>217</v>
      </c>
      <c r="W8" s="84" t="s">
        <v>218</v>
      </c>
      <c r="X8">
        <f t="shared" si="9"/>
        <v>0</v>
      </c>
      <c r="Y8">
        <f t="shared" si="0"/>
        <v>0</v>
      </c>
      <c r="Z8">
        <f t="shared" si="1"/>
        <v>0</v>
      </c>
      <c r="AA8">
        <f t="shared" si="2"/>
        <v>0</v>
      </c>
      <c r="AB8">
        <f t="shared" si="3"/>
        <v>0</v>
      </c>
      <c r="AC8">
        <f t="shared" si="4"/>
        <v>0</v>
      </c>
      <c r="AD8">
        <f t="shared" si="5"/>
        <v>0</v>
      </c>
      <c r="AE8">
        <f t="shared" si="6"/>
        <v>0</v>
      </c>
      <c r="AF8" s="3">
        <f t="shared" si="7"/>
        <v>0</v>
      </c>
      <c r="AG8" s="19" t="s">
        <v>219</v>
      </c>
      <c r="AH8" t="s">
        <v>220</v>
      </c>
      <c r="AI8" t="s">
        <v>199</v>
      </c>
      <c r="AJ8" s="85" t="s">
        <v>221</v>
      </c>
    </row>
    <row r="9" spans="1:36" ht="17" x14ac:dyDescent="0.25">
      <c r="A9" s="4" t="s">
        <v>222</v>
      </c>
      <c r="B9" s="55">
        <f t="shared" si="10"/>
        <v>16389904.260240003</v>
      </c>
      <c r="C9" s="4">
        <v>744</v>
      </c>
      <c r="D9" s="74">
        <v>60</v>
      </c>
      <c r="E9" s="75">
        <v>85</v>
      </c>
      <c r="F9" s="75">
        <v>113</v>
      </c>
      <c r="G9" s="75">
        <v>114</v>
      </c>
      <c r="H9" s="8">
        <v>100</v>
      </c>
      <c r="I9" s="8">
        <v>110</v>
      </c>
      <c r="J9" s="8">
        <v>109</v>
      </c>
      <c r="K9" s="8">
        <v>83</v>
      </c>
      <c r="L9" s="76">
        <v>227</v>
      </c>
      <c r="M9" s="19">
        <f t="shared" si="8"/>
        <v>22029.441210000005</v>
      </c>
      <c r="N9" s="82">
        <f t="shared" si="11"/>
        <v>8543.4728400000004</v>
      </c>
      <c r="O9" s="83">
        <f t="shared" si="12"/>
        <v>0</v>
      </c>
      <c r="P9" s="83">
        <f t="shared" si="13"/>
        <v>4049.5007700000006</v>
      </c>
      <c r="Q9" s="83">
        <f t="shared" si="14"/>
        <v>0</v>
      </c>
      <c r="R9" s="83">
        <f t="shared" si="15"/>
        <v>9436.4676000000036</v>
      </c>
      <c r="S9" s="83">
        <f t="shared" si="16"/>
        <v>0</v>
      </c>
      <c r="T9" s="83">
        <f t="shared" si="17"/>
        <v>0</v>
      </c>
      <c r="U9" s="84">
        <f t="shared" si="18"/>
        <v>0</v>
      </c>
      <c r="V9" s="77">
        <f>1*(0.9*$L$26)*(1-0.3)*W9</f>
        <v>0</v>
      </c>
      <c r="W9" s="78">
        <v>0</v>
      </c>
      <c r="X9">
        <f t="shared" si="9"/>
        <v>0</v>
      </c>
      <c r="Y9">
        <f t="shared" si="0"/>
        <v>0</v>
      </c>
      <c r="Z9">
        <f t="shared" si="1"/>
        <v>0</v>
      </c>
      <c r="AA9">
        <f t="shared" si="2"/>
        <v>0</v>
      </c>
      <c r="AB9">
        <f t="shared" si="3"/>
        <v>0</v>
      </c>
      <c r="AC9">
        <f t="shared" si="4"/>
        <v>0</v>
      </c>
      <c r="AD9">
        <f t="shared" si="5"/>
        <v>0</v>
      </c>
      <c r="AE9">
        <f t="shared" si="6"/>
        <v>0</v>
      </c>
      <c r="AF9" s="3">
        <f t="shared" si="7"/>
        <v>0</v>
      </c>
      <c r="AG9" s="79">
        <f>$K$56*0.043*AI9*AH9</f>
        <v>0</v>
      </c>
      <c r="AH9" s="80">
        <v>0</v>
      </c>
      <c r="AI9" s="86">
        <v>0</v>
      </c>
      <c r="AJ9" s="81">
        <f>0.043*AI9*AH9*(5*$L$56)*11</f>
        <v>0</v>
      </c>
    </row>
    <row r="10" spans="1:36" ht="17" x14ac:dyDescent="0.25">
      <c r="A10" s="4" t="s">
        <v>223</v>
      </c>
      <c r="B10" s="55">
        <f t="shared" si="10"/>
        <v>15190758.479232004</v>
      </c>
      <c r="C10" s="4">
        <v>744</v>
      </c>
      <c r="D10" s="74">
        <v>44</v>
      </c>
      <c r="E10" s="75">
        <v>68</v>
      </c>
      <c r="F10" s="75">
        <v>100</v>
      </c>
      <c r="G10" s="75">
        <v>116</v>
      </c>
      <c r="H10" s="8">
        <v>112</v>
      </c>
      <c r="I10" s="8">
        <v>115</v>
      </c>
      <c r="J10" s="8">
        <v>95</v>
      </c>
      <c r="K10" s="8">
        <v>66</v>
      </c>
      <c r="L10" s="76">
        <v>196</v>
      </c>
      <c r="M10" s="19">
        <f t="shared" si="8"/>
        <v>20417.686128000005</v>
      </c>
      <c r="N10" s="82">
        <f t="shared" si="11"/>
        <v>6265.2134160000005</v>
      </c>
      <c r="O10" s="83">
        <f t="shared" si="12"/>
        <v>0</v>
      </c>
      <c r="P10" s="83">
        <f t="shared" si="13"/>
        <v>3583.6290000000004</v>
      </c>
      <c r="Q10" s="83">
        <f t="shared" si="14"/>
        <v>0</v>
      </c>
      <c r="R10" s="83">
        <f t="shared" si="15"/>
        <v>10568.843712000004</v>
      </c>
      <c r="S10" s="83">
        <f t="shared" si="16"/>
        <v>0</v>
      </c>
      <c r="T10" s="83">
        <f t="shared" si="17"/>
        <v>0</v>
      </c>
      <c r="U10" s="84">
        <f t="shared" si="18"/>
        <v>0</v>
      </c>
      <c r="V10" s="82" t="s">
        <v>224</v>
      </c>
      <c r="W10" s="84" t="s">
        <v>225</v>
      </c>
      <c r="X10">
        <f t="shared" si="9"/>
        <v>0</v>
      </c>
      <c r="Y10">
        <f t="shared" si="0"/>
        <v>0</v>
      </c>
      <c r="Z10">
        <f t="shared" si="1"/>
        <v>0</v>
      </c>
      <c r="AA10">
        <f t="shared" si="2"/>
        <v>0</v>
      </c>
      <c r="AB10">
        <f t="shared" si="3"/>
        <v>0</v>
      </c>
      <c r="AC10">
        <f t="shared" si="4"/>
        <v>0</v>
      </c>
      <c r="AD10">
        <f t="shared" si="5"/>
        <v>0</v>
      </c>
      <c r="AE10">
        <f t="shared" si="6"/>
        <v>0</v>
      </c>
      <c r="AF10" s="3">
        <f t="shared" si="7"/>
        <v>0</v>
      </c>
      <c r="AG10" s="19" t="s">
        <v>226</v>
      </c>
      <c r="AH10" t="s">
        <v>227</v>
      </c>
      <c r="AI10" t="s">
        <v>199</v>
      </c>
      <c r="AJ10" s="85" t="s">
        <v>228</v>
      </c>
    </row>
    <row r="11" spans="1:36" ht="17" x14ac:dyDescent="0.25">
      <c r="A11" s="4" t="s">
        <v>229</v>
      </c>
      <c r="B11" s="55">
        <f t="shared" si="10"/>
        <v>12509078.702400004</v>
      </c>
      <c r="C11" s="4">
        <v>720</v>
      </c>
      <c r="D11" s="74">
        <v>28</v>
      </c>
      <c r="E11" s="75">
        <v>42</v>
      </c>
      <c r="F11" s="75">
        <v>76</v>
      </c>
      <c r="G11" s="75">
        <v>101</v>
      </c>
      <c r="H11" s="8">
        <v>113</v>
      </c>
      <c r="I11" s="8">
        <v>129</v>
      </c>
      <c r="J11" s="8">
        <v>72</v>
      </c>
      <c r="K11" s="8">
        <v>42</v>
      </c>
      <c r="L11" s="76">
        <v>140</v>
      </c>
      <c r="M11" s="19">
        <f t="shared" si="8"/>
        <v>17373.720420000005</v>
      </c>
      <c r="N11" s="82">
        <f t="shared" si="11"/>
        <v>3986.9539920000007</v>
      </c>
      <c r="O11" s="83">
        <f t="shared" si="12"/>
        <v>0</v>
      </c>
      <c r="P11" s="83">
        <f t="shared" si="13"/>
        <v>2723.5580400000003</v>
      </c>
      <c r="Q11" s="83">
        <f t="shared" si="14"/>
        <v>0</v>
      </c>
      <c r="R11" s="83">
        <f t="shared" si="15"/>
        <v>10663.208388000003</v>
      </c>
      <c r="S11" s="83">
        <f t="shared" si="16"/>
        <v>0</v>
      </c>
      <c r="T11" s="83">
        <f t="shared" si="17"/>
        <v>0</v>
      </c>
      <c r="U11" s="84">
        <f t="shared" si="18"/>
        <v>0</v>
      </c>
      <c r="V11" s="77">
        <f>1*(0.9*$L$26)*(1-0.3)*W11</f>
        <v>94.364676000000031</v>
      </c>
      <c r="W11" s="78">
        <f>windowsToEnviroment[[#Totals],[пд]]</f>
        <v>223.56000000000006</v>
      </c>
      <c r="X11">
        <f t="shared" si="9"/>
        <v>0</v>
      </c>
      <c r="Y11">
        <f t="shared" si="0"/>
        <v>0</v>
      </c>
      <c r="Z11">
        <f t="shared" si="1"/>
        <v>0</v>
      </c>
      <c r="AA11">
        <f t="shared" si="2"/>
        <v>0</v>
      </c>
      <c r="AB11">
        <f t="shared" si="3"/>
        <v>0</v>
      </c>
      <c r="AC11">
        <f t="shared" si="4"/>
        <v>0</v>
      </c>
      <c r="AD11">
        <f t="shared" si="5"/>
        <v>0</v>
      </c>
      <c r="AE11">
        <f t="shared" si="6"/>
        <v>0</v>
      </c>
      <c r="AF11" s="3">
        <f t="shared" si="7"/>
        <v>0</v>
      </c>
      <c r="AG11" s="79">
        <f>$K$56*0.043*AI11*AH11</f>
        <v>0</v>
      </c>
      <c r="AH11" s="80">
        <v>0</v>
      </c>
      <c r="AI11" s="80">
        <f>Qtr!$C$48</f>
        <v>0.21240080962231461</v>
      </c>
      <c r="AJ11" s="81">
        <f>0.043*AI11*AH11*(5*$L$56)*11</f>
        <v>0</v>
      </c>
    </row>
    <row r="12" spans="1:36" ht="17" x14ac:dyDescent="0.25">
      <c r="A12" s="4" t="s">
        <v>230</v>
      </c>
      <c r="B12" s="55">
        <f t="shared" si="10"/>
        <v>9134752.2759360019</v>
      </c>
      <c r="C12" s="4">
        <v>744</v>
      </c>
      <c r="D12" s="74">
        <v>18</v>
      </c>
      <c r="E12" s="75">
        <v>21</v>
      </c>
      <c r="F12" s="75">
        <v>42</v>
      </c>
      <c r="G12" s="75">
        <v>71</v>
      </c>
      <c r="H12" s="8">
        <v>87</v>
      </c>
      <c r="I12" s="8">
        <v>69</v>
      </c>
      <c r="J12" s="8">
        <v>40</v>
      </c>
      <c r="K12" s="8">
        <v>21</v>
      </c>
      <c r="L12" s="76">
        <v>75</v>
      </c>
      <c r="M12" s="19">
        <f t="shared" si="8"/>
        <v>12277.892844000004</v>
      </c>
      <c r="N12" s="82">
        <f t="shared" si="11"/>
        <v>2563.0418520000003</v>
      </c>
      <c r="O12" s="83">
        <f t="shared" si="12"/>
        <v>0</v>
      </c>
      <c r="P12" s="83">
        <f t="shared" si="13"/>
        <v>1505.1241800000003</v>
      </c>
      <c r="Q12" s="83">
        <f t="shared" si="14"/>
        <v>0</v>
      </c>
      <c r="R12" s="83">
        <f t="shared" si="15"/>
        <v>8209.7268120000026</v>
      </c>
      <c r="S12" s="83">
        <f t="shared" si="16"/>
        <v>0</v>
      </c>
      <c r="T12" s="83">
        <f t="shared" si="17"/>
        <v>0</v>
      </c>
      <c r="U12" s="84">
        <f t="shared" si="18"/>
        <v>0</v>
      </c>
      <c r="V12" s="82" t="s">
        <v>231</v>
      </c>
      <c r="W12" s="84" t="s">
        <v>232</v>
      </c>
      <c r="X12">
        <f t="shared" si="9"/>
        <v>0</v>
      </c>
      <c r="Y12">
        <f t="shared" si="0"/>
        <v>0</v>
      </c>
      <c r="Z12">
        <f t="shared" si="1"/>
        <v>0</v>
      </c>
      <c r="AA12">
        <f t="shared" si="2"/>
        <v>0</v>
      </c>
      <c r="AB12">
        <f t="shared" si="3"/>
        <v>0</v>
      </c>
      <c r="AC12">
        <f t="shared" si="4"/>
        <v>0</v>
      </c>
      <c r="AD12">
        <f t="shared" si="5"/>
        <v>0</v>
      </c>
      <c r="AE12">
        <f t="shared" si="6"/>
        <v>0</v>
      </c>
      <c r="AF12" s="3">
        <f t="shared" si="7"/>
        <v>0</v>
      </c>
      <c r="AG12" s="19" t="s">
        <v>233</v>
      </c>
      <c r="AH12" t="s">
        <v>234</v>
      </c>
      <c r="AI12" t="s">
        <v>199</v>
      </c>
      <c r="AJ12" s="85" t="s">
        <v>235</v>
      </c>
    </row>
    <row r="13" spans="1:36" ht="17" x14ac:dyDescent="0.25">
      <c r="A13" s="4" t="s">
        <v>236</v>
      </c>
      <c r="B13" s="55">
        <f t="shared" si="10"/>
        <v>4640815.2571200011</v>
      </c>
      <c r="C13" s="4">
        <v>720</v>
      </c>
      <c r="D13" s="74">
        <v>10</v>
      </c>
      <c r="E13" s="75">
        <v>11</v>
      </c>
      <c r="F13" s="75">
        <v>19</v>
      </c>
      <c r="G13" s="75">
        <v>79</v>
      </c>
      <c r="H13" s="8">
        <v>46</v>
      </c>
      <c r="I13" s="8">
        <v>36</v>
      </c>
      <c r="J13" s="8">
        <v>19</v>
      </c>
      <c r="K13" s="8">
        <v>11</v>
      </c>
      <c r="L13" s="76">
        <v>32</v>
      </c>
      <c r="M13" s="19">
        <f t="shared" si="8"/>
        <v>6445.5767460000015</v>
      </c>
      <c r="N13" s="82">
        <f t="shared" si="11"/>
        <v>1423.9121400000001</v>
      </c>
      <c r="O13" s="83">
        <f t="shared" si="12"/>
        <v>0</v>
      </c>
      <c r="P13" s="83">
        <f t="shared" si="13"/>
        <v>680.88951000000009</v>
      </c>
      <c r="Q13" s="83">
        <f t="shared" si="14"/>
        <v>0</v>
      </c>
      <c r="R13" s="83">
        <f t="shared" si="15"/>
        <v>4340.7750960000012</v>
      </c>
      <c r="S13" s="83">
        <f t="shared" si="16"/>
        <v>0</v>
      </c>
      <c r="T13" s="83">
        <f t="shared" si="17"/>
        <v>0</v>
      </c>
      <c r="U13" s="84">
        <f t="shared" si="18"/>
        <v>0</v>
      </c>
      <c r="V13" s="77">
        <f>1*(0.9*$L$26)*(1-0.3)*W13</f>
        <v>0</v>
      </c>
      <c r="W13" s="78">
        <v>0</v>
      </c>
      <c r="X13">
        <f t="shared" si="9"/>
        <v>0</v>
      </c>
      <c r="Y13">
        <f t="shared" si="0"/>
        <v>0</v>
      </c>
      <c r="Z13">
        <f t="shared" si="1"/>
        <v>0</v>
      </c>
      <c r="AA13">
        <f t="shared" si="2"/>
        <v>0</v>
      </c>
      <c r="AB13">
        <f t="shared" si="3"/>
        <v>0</v>
      </c>
      <c r="AC13">
        <f t="shared" si="4"/>
        <v>0</v>
      </c>
      <c r="AD13">
        <f t="shared" si="5"/>
        <v>0</v>
      </c>
      <c r="AE13">
        <f t="shared" si="6"/>
        <v>0</v>
      </c>
      <c r="AF13" s="3">
        <f t="shared" si="7"/>
        <v>0</v>
      </c>
      <c r="AG13" s="79">
        <f>$K$56*0.043*AI13*AH13</f>
        <v>0</v>
      </c>
      <c r="AH13" s="80">
        <v>0</v>
      </c>
      <c r="AI13" s="86">
        <v>0</v>
      </c>
      <c r="AJ13" s="81">
        <f>0.043*AI13*AH13*(5*$L$56)*11</f>
        <v>0</v>
      </c>
    </row>
    <row r="14" spans="1:36" ht="18" thickBot="1" x14ac:dyDescent="0.3">
      <c r="A14" s="4" t="s">
        <v>237</v>
      </c>
      <c r="B14" s="55">
        <f t="shared" si="10"/>
        <v>3924393.1665120008</v>
      </c>
      <c r="C14" s="4">
        <v>744</v>
      </c>
      <c r="D14" s="87">
        <v>9</v>
      </c>
      <c r="E14" s="88">
        <v>9</v>
      </c>
      <c r="F14" s="88">
        <v>14</v>
      </c>
      <c r="G14" s="88">
        <v>29</v>
      </c>
      <c r="H14" s="89">
        <v>37</v>
      </c>
      <c r="I14" s="89">
        <v>29</v>
      </c>
      <c r="J14" s="89">
        <v>15</v>
      </c>
      <c r="K14" s="89">
        <v>9</v>
      </c>
      <c r="L14" s="90">
        <v>22</v>
      </c>
      <c r="M14" s="49">
        <f t="shared" si="8"/>
        <v>5274.7219980000009</v>
      </c>
      <c r="N14" s="91">
        <f t="shared" si="11"/>
        <v>1281.5209260000001</v>
      </c>
      <c r="O14" s="92">
        <f t="shared" si="12"/>
        <v>0</v>
      </c>
      <c r="P14" s="92">
        <f t="shared" si="13"/>
        <v>501.70806000000005</v>
      </c>
      <c r="Q14" s="92">
        <f t="shared" si="14"/>
        <v>0</v>
      </c>
      <c r="R14" s="92">
        <f t="shared" si="15"/>
        <v>3491.4930120000013</v>
      </c>
      <c r="S14" s="92">
        <f t="shared" si="16"/>
        <v>0</v>
      </c>
      <c r="T14" s="92">
        <f t="shared" si="17"/>
        <v>0</v>
      </c>
      <c r="U14" s="93">
        <f t="shared" si="18"/>
        <v>0</v>
      </c>
      <c r="V14" s="82" t="s">
        <v>238</v>
      </c>
      <c r="W14" s="84" t="s">
        <v>239</v>
      </c>
      <c r="X14" s="54">
        <f t="shared" si="9"/>
        <v>0</v>
      </c>
      <c r="Y14" s="54">
        <f t="shared" si="0"/>
        <v>0</v>
      </c>
      <c r="Z14" s="54">
        <f t="shared" si="1"/>
        <v>0</v>
      </c>
      <c r="AA14" s="54">
        <f t="shared" si="2"/>
        <v>0</v>
      </c>
      <c r="AB14" s="54">
        <f t="shared" si="3"/>
        <v>0</v>
      </c>
      <c r="AC14" s="54">
        <f t="shared" si="4"/>
        <v>0</v>
      </c>
      <c r="AD14" s="54">
        <f t="shared" si="5"/>
        <v>0</v>
      </c>
      <c r="AE14" s="54">
        <f t="shared" si="6"/>
        <v>0</v>
      </c>
      <c r="AF14" s="94">
        <f t="shared" si="7"/>
        <v>0</v>
      </c>
      <c r="AG14" s="19" t="s">
        <v>240</v>
      </c>
      <c r="AH14" t="s">
        <v>241</v>
      </c>
      <c r="AI14" t="s">
        <v>199</v>
      </c>
      <c r="AJ14" s="85" t="s">
        <v>242</v>
      </c>
    </row>
    <row r="15" spans="1:36" ht="16" thickBot="1" x14ac:dyDescent="0.25">
      <c r="N15" s="83"/>
      <c r="O15" s="83"/>
      <c r="P15" s="83"/>
      <c r="Q15" s="83"/>
      <c r="R15" s="83"/>
      <c r="S15" s="83"/>
      <c r="T15" s="83"/>
      <c r="U15" s="83"/>
      <c r="V15" s="77">
        <f>1*(0.9*$L$26)*(1-0.3)*W15</f>
        <v>0</v>
      </c>
      <c r="W15" s="78">
        <f>windowsToEnviroment[[#Totals],[зх]]</f>
        <v>0</v>
      </c>
      <c r="AG15" s="79">
        <f>$K$56*0.043*AI15*AH15</f>
        <v>0</v>
      </c>
      <c r="AH15" s="80">
        <v>0</v>
      </c>
      <c r="AI15" s="80">
        <f>Qtr!$C$48</f>
        <v>0.21240080962231461</v>
      </c>
      <c r="AJ15" s="81">
        <f>0.043*AI15*AH15*(5*$L$56)*11</f>
        <v>0</v>
      </c>
    </row>
    <row r="16" spans="1:36" ht="18" customHeight="1" x14ac:dyDescent="0.25">
      <c r="B16" s="4"/>
      <c r="D16" s="284" t="s">
        <v>243</v>
      </c>
      <c r="E16" s="285"/>
      <c r="F16" s="285"/>
      <c r="G16" s="285"/>
      <c r="H16" s="285"/>
      <c r="I16" s="285"/>
      <c r="J16" s="285"/>
      <c r="K16" s="286"/>
      <c r="L16" s="290" t="s">
        <v>244</v>
      </c>
      <c r="U16" s="83"/>
      <c r="V16" s="82" t="s">
        <v>245</v>
      </c>
      <c r="W16" s="84" t="s">
        <v>246</v>
      </c>
      <c r="AG16" s="19" t="s">
        <v>247</v>
      </c>
      <c r="AH16" t="s">
        <v>248</v>
      </c>
      <c r="AI16" t="s">
        <v>199</v>
      </c>
      <c r="AJ16" s="85" t="s">
        <v>249</v>
      </c>
    </row>
    <row r="17" spans="4:36" ht="16" thickBot="1" x14ac:dyDescent="0.25">
      <c r="D17" s="287"/>
      <c r="E17" s="288"/>
      <c r="F17" s="288"/>
      <c r="G17" s="288"/>
      <c r="H17" s="288"/>
      <c r="I17" s="288"/>
      <c r="J17" s="288"/>
      <c r="K17" s="289"/>
      <c r="L17" s="291"/>
      <c r="V17" s="96">
        <f>1*(0.9*$L$26)*(1-0.3)*W17</f>
        <v>0</v>
      </c>
      <c r="W17" s="97">
        <v>0</v>
      </c>
      <c r="AG17" s="79">
        <f>$K$56*0.043*AI17*AH17</f>
        <v>0</v>
      </c>
      <c r="AH17" s="80">
        <v>0</v>
      </c>
      <c r="AI17" s="86">
        <v>0</v>
      </c>
      <c r="AJ17" s="81">
        <f>0.043*AI17*AH17*(5*$L$56)*11</f>
        <v>0</v>
      </c>
    </row>
    <row r="18" spans="4:36" ht="17" x14ac:dyDescent="0.25">
      <c r="D18" s="246" t="s">
        <v>250</v>
      </c>
      <c r="E18" s="247"/>
      <c r="F18" s="247"/>
      <c r="G18" s="247"/>
      <c r="H18" s="247"/>
      <c r="I18" s="247"/>
      <c r="J18" s="247"/>
      <c r="K18" s="248"/>
      <c r="L18" s="98">
        <v>0.85</v>
      </c>
      <c r="AG18" s="19" t="s">
        <v>251</v>
      </c>
      <c r="AH18" t="s">
        <v>252</v>
      </c>
      <c r="AI18" t="s">
        <v>199</v>
      </c>
      <c r="AJ18" s="85" t="s">
        <v>253</v>
      </c>
    </row>
    <row r="19" spans="4:36" ht="16" thickBot="1" x14ac:dyDescent="0.25">
      <c r="D19" s="179" t="s">
        <v>254</v>
      </c>
      <c r="E19" s="180"/>
      <c r="F19" s="180"/>
      <c r="G19" s="180"/>
      <c r="H19" s="180"/>
      <c r="I19" s="180"/>
      <c r="J19" s="180"/>
      <c r="K19" s="233"/>
      <c r="L19" s="99">
        <v>0.75</v>
      </c>
      <c r="AG19" s="100">
        <f>$K$58*0.043*AI19*AH19</f>
        <v>0</v>
      </c>
      <c r="AH19" s="101">
        <v>0</v>
      </c>
      <c r="AI19" s="102">
        <v>0</v>
      </c>
      <c r="AJ19" s="103">
        <f>0.043*AI19*AH19*(5*$L$58)*11</f>
        <v>0</v>
      </c>
    </row>
    <row r="20" spans="4:36" x14ac:dyDescent="0.2">
      <c r="D20" s="179" t="s">
        <v>255</v>
      </c>
      <c r="E20" s="180"/>
      <c r="F20" s="180"/>
      <c r="G20" s="180"/>
      <c r="H20" s="180"/>
      <c r="I20" s="180"/>
      <c r="J20" s="180"/>
      <c r="K20" s="233"/>
      <c r="L20" s="99">
        <v>0.67</v>
      </c>
    </row>
    <row r="21" spans="4:36" x14ac:dyDescent="0.2">
      <c r="D21" s="292" t="s">
        <v>256</v>
      </c>
      <c r="E21" s="293"/>
      <c r="F21" s="293"/>
      <c r="G21" s="293"/>
      <c r="H21" s="293"/>
      <c r="I21" s="293"/>
      <c r="J21" s="293"/>
      <c r="K21" s="294"/>
      <c r="L21" s="99">
        <v>0.7</v>
      </c>
    </row>
    <row r="22" spans="4:36" x14ac:dyDescent="0.2">
      <c r="D22" s="179" t="s">
        <v>257</v>
      </c>
      <c r="E22" s="180"/>
      <c r="F22" s="180"/>
      <c r="G22" s="180"/>
      <c r="H22" s="180"/>
      <c r="I22" s="180"/>
      <c r="J22" s="180"/>
      <c r="K22" s="233"/>
      <c r="L22" s="99">
        <v>0.57999999999999996</v>
      </c>
    </row>
    <row r="23" spans="4:36" x14ac:dyDescent="0.2">
      <c r="D23" s="179" t="s">
        <v>258</v>
      </c>
      <c r="E23" s="180"/>
      <c r="F23" s="180"/>
      <c r="G23" s="180"/>
      <c r="H23" s="180"/>
      <c r="I23" s="180"/>
      <c r="J23" s="180"/>
      <c r="K23" s="233"/>
      <c r="L23" s="99">
        <v>0.5</v>
      </c>
    </row>
    <row r="24" spans="4:36" x14ac:dyDescent="0.2">
      <c r="D24" s="179" t="s">
        <v>259</v>
      </c>
      <c r="E24" s="180"/>
      <c r="F24" s="180"/>
      <c r="G24" s="180"/>
      <c r="H24" s="180"/>
      <c r="I24" s="180"/>
      <c r="J24" s="180"/>
      <c r="K24" s="233"/>
      <c r="L24" s="99">
        <v>0.9</v>
      </c>
    </row>
    <row r="25" spans="4:36" ht="16" thickBot="1" x14ac:dyDescent="0.25">
      <c r="D25" s="237" t="s">
        <v>260</v>
      </c>
      <c r="E25" s="238"/>
      <c r="F25" s="238"/>
      <c r="G25" s="238"/>
      <c r="H25" s="238"/>
      <c r="I25" s="238"/>
      <c r="J25" s="238"/>
      <c r="K25" s="176"/>
      <c r="L25" s="104">
        <v>0.83</v>
      </c>
    </row>
    <row r="26" spans="4:36" ht="16" thickBot="1" x14ac:dyDescent="0.25">
      <c r="D26" s="268" t="s">
        <v>255</v>
      </c>
      <c r="E26" s="269"/>
      <c r="F26" s="269"/>
      <c r="G26" s="269"/>
      <c r="H26" s="269"/>
      <c r="I26" s="269"/>
      <c r="J26" s="269"/>
      <c r="K26" s="270"/>
      <c r="L26" s="66">
        <f>VLOOKUP(D26,D18:L25,9,FALSE)</f>
        <v>0.67</v>
      </c>
    </row>
    <row r="27" spans="4:36" ht="16" thickBot="1" x14ac:dyDescent="0.25"/>
    <row r="28" spans="4:36" ht="15" customHeight="1" x14ac:dyDescent="0.2">
      <c r="D28" s="271" t="s">
        <v>261</v>
      </c>
      <c r="E28" s="272"/>
      <c r="F28" s="272"/>
      <c r="G28" s="272"/>
      <c r="H28" s="272"/>
      <c r="I28" s="272"/>
      <c r="J28" s="272"/>
      <c r="K28" s="260" t="s">
        <v>262</v>
      </c>
      <c r="L28" s="260" t="s">
        <v>263</v>
      </c>
    </row>
    <row r="29" spans="4:36" ht="15" customHeight="1" x14ac:dyDescent="0.2">
      <c r="D29" s="273"/>
      <c r="E29" s="274"/>
      <c r="F29" s="274"/>
      <c r="G29" s="274"/>
      <c r="H29" s="274"/>
      <c r="I29" s="274"/>
      <c r="J29" s="274"/>
      <c r="K29" s="275"/>
      <c r="L29" s="275"/>
    </row>
    <row r="30" spans="4:36" ht="16" thickBot="1" x14ac:dyDescent="0.25">
      <c r="D30" s="273"/>
      <c r="E30" s="274"/>
      <c r="F30" s="274"/>
      <c r="G30" s="274"/>
      <c r="H30" s="274"/>
      <c r="I30" s="274"/>
      <c r="J30" s="274"/>
      <c r="K30" s="275"/>
      <c r="L30" s="275"/>
    </row>
    <row r="31" spans="4:36" x14ac:dyDescent="0.2">
      <c r="D31" s="276" t="s">
        <v>264</v>
      </c>
      <c r="E31" s="277"/>
      <c r="F31" s="277"/>
      <c r="G31" s="277"/>
      <c r="H31" s="277"/>
      <c r="I31" s="277"/>
      <c r="J31" s="278"/>
      <c r="K31" s="95">
        <v>0.1</v>
      </c>
      <c r="L31" s="95">
        <v>0.06</v>
      </c>
    </row>
    <row r="32" spans="4:36" x14ac:dyDescent="0.2">
      <c r="D32" s="179" t="s">
        <v>265</v>
      </c>
      <c r="E32" s="180"/>
      <c r="F32" s="180"/>
      <c r="G32" s="180"/>
      <c r="H32" s="180"/>
      <c r="I32" s="180"/>
      <c r="J32" s="233"/>
      <c r="K32" s="105">
        <v>0.65</v>
      </c>
      <c r="L32" s="105">
        <v>0.96</v>
      </c>
    </row>
    <row r="33" spans="4:12" x14ac:dyDescent="0.2">
      <c r="D33" s="179" t="s">
        <v>266</v>
      </c>
      <c r="E33" s="180"/>
      <c r="F33" s="180"/>
      <c r="G33" s="180"/>
      <c r="H33" s="180"/>
      <c r="I33" s="180"/>
      <c r="J33" s="233"/>
      <c r="K33" s="105">
        <v>0.9</v>
      </c>
      <c r="L33" s="105">
        <v>0.93</v>
      </c>
    </row>
    <row r="34" spans="4:12" x14ac:dyDescent="0.2">
      <c r="D34" s="179" t="s">
        <v>267</v>
      </c>
      <c r="E34" s="180"/>
      <c r="F34" s="180"/>
      <c r="G34" s="180"/>
      <c r="H34" s="180"/>
      <c r="I34" s="180"/>
      <c r="J34" s="233"/>
      <c r="K34" s="105">
        <v>0.7</v>
      </c>
      <c r="L34" s="105">
        <v>0.62</v>
      </c>
    </row>
    <row r="35" spans="4:12" x14ac:dyDescent="0.2">
      <c r="D35" s="179" t="s">
        <v>268</v>
      </c>
      <c r="E35" s="180"/>
      <c r="F35" s="180"/>
      <c r="G35" s="180"/>
      <c r="H35" s="180"/>
      <c r="I35" s="180"/>
      <c r="J35" s="233"/>
      <c r="K35" s="105">
        <v>0.6</v>
      </c>
      <c r="L35" s="105">
        <v>0.8</v>
      </c>
    </row>
    <row r="36" spans="4:12" x14ac:dyDescent="0.2">
      <c r="D36" s="179" t="s">
        <v>269</v>
      </c>
      <c r="E36" s="180"/>
      <c r="F36" s="180"/>
      <c r="G36" s="180"/>
      <c r="H36" s="180"/>
      <c r="I36" s="180"/>
      <c r="J36" s="233"/>
      <c r="K36" s="105">
        <v>0.65</v>
      </c>
      <c r="L36" s="105">
        <v>0.95</v>
      </c>
    </row>
    <row r="37" spans="4:12" x14ac:dyDescent="0.2">
      <c r="D37" s="179" t="s">
        <v>270</v>
      </c>
      <c r="E37" s="180"/>
      <c r="F37" s="180"/>
      <c r="G37" s="180"/>
      <c r="H37" s="180"/>
      <c r="I37" s="180"/>
      <c r="J37" s="233"/>
      <c r="K37" s="105">
        <v>0.7</v>
      </c>
      <c r="L37" s="105">
        <v>0.93</v>
      </c>
    </row>
    <row r="38" spans="4:12" x14ac:dyDescent="0.2">
      <c r="D38" s="179" t="s">
        <v>271</v>
      </c>
      <c r="E38" s="180"/>
      <c r="F38" s="180"/>
      <c r="G38" s="180"/>
      <c r="H38" s="180"/>
      <c r="I38" s="180"/>
      <c r="J38" s="233"/>
      <c r="K38" s="105">
        <v>0.6</v>
      </c>
      <c r="L38" s="105">
        <v>0.9</v>
      </c>
    </row>
    <row r="39" spans="4:12" x14ac:dyDescent="0.2">
      <c r="D39" s="179" t="s">
        <v>272</v>
      </c>
      <c r="E39" s="180"/>
      <c r="F39" s="180"/>
      <c r="G39" s="180"/>
      <c r="H39" s="180"/>
      <c r="I39" s="180"/>
      <c r="J39" s="233"/>
      <c r="K39" s="105">
        <v>0.45</v>
      </c>
      <c r="L39" s="105">
        <v>0.42</v>
      </c>
    </row>
    <row r="40" spans="4:12" x14ac:dyDescent="0.2">
      <c r="D40" s="179" t="s">
        <v>273</v>
      </c>
      <c r="E40" s="180"/>
      <c r="F40" s="180"/>
      <c r="G40" s="180"/>
      <c r="H40" s="180"/>
      <c r="I40" s="180"/>
      <c r="J40" s="233"/>
      <c r="K40" s="105">
        <v>0.7</v>
      </c>
      <c r="L40" s="105">
        <v>0.81</v>
      </c>
    </row>
    <row r="41" spans="4:12" x14ac:dyDescent="0.2">
      <c r="D41" s="179" t="s">
        <v>274</v>
      </c>
      <c r="E41" s="180"/>
      <c r="F41" s="180"/>
      <c r="G41" s="180"/>
      <c r="H41" s="180"/>
      <c r="I41" s="180"/>
      <c r="J41" s="233"/>
      <c r="K41" s="105">
        <v>0.3</v>
      </c>
      <c r="L41" s="105">
        <v>0.9</v>
      </c>
    </row>
    <row r="42" spans="4:12" x14ac:dyDescent="0.2">
      <c r="D42" s="179" t="s">
        <v>275</v>
      </c>
      <c r="E42" s="180"/>
      <c r="F42" s="180"/>
      <c r="G42" s="180"/>
      <c r="H42" s="180"/>
      <c r="I42" s="180"/>
      <c r="J42" s="233"/>
      <c r="K42" s="105">
        <v>0.8</v>
      </c>
      <c r="L42" s="105">
        <v>0.93</v>
      </c>
    </row>
    <row r="43" spans="4:12" x14ac:dyDescent="0.2">
      <c r="D43" s="179" t="s">
        <v>276</v>
      </c>
      <c r="E43" s="180"/>
      <c r="F43" s="180"/>
      <c r="G43" s="180"/>
      <c r="H43" s="180"/>
      <c r="I43" s="180"/>
      <c r="J43" s="233"/>
      <c r="K43" s="105">
        <v>0.6</v>
      </c>
      <c r="L43" s="105">
        <v>0.94</v>
      </c>
    </row>
    <row r="44" spans="4:12" x14ac:dyDescent="0.2">
      <c r="D44" s="179" t="s">
        <v>277</v>
      </c>
      <c r="E44" s="180"/>
      <c r="F44" s="180"/>
      <c r="G44" s="180"/>
      <c r="H44" s="180"/>
      <c r="I44" s="180"/>
      <c r="J44" s="233"/>
      <c r="K44" s="105">
        <v>0.45</v>
      </c>
      <c r="L44" s="105">
        <v>0.93</v>
      </c>
    </row>
    <row r="45" spans="4:12" x14ac:dyDescent="0.2">
      <c r="D45" s="179" t="s">
        <v>278</v>
      </c>
      <c r="E45" s="180"/>
      <c r="F45" s="180"/>
      <c r="G45" s="180"/>
      <c r="H45" s="180"/>
      <c r="I45" s="180"/>
      <c r="J45" s="233"/>
      <c r="K45" s="105">
        <v>0.9</v>
      </c>
      <c r="L45" s="105">
        <v>0.9</v>
      </c>
    </row>
    <row r="46" spans="4:12" x14ac:dyDescent="0.2">
      <c r="D46" s="179" t="s">
        <v>279</v>
      </c>
      <c r="E46" s="180"/>
      <c r="F46" s="180"/>
      <c r="G46" s="180"/>
      <c r="H46" s="180"/>
      <c r="I46" s="180"/>
      <c r="J46" s="233"/>
      <c r="K46" s="105">
        <v>0.2</v>
      </c>
      <c r="L46" s="105">
        <v>0.89</v>
      </c>
    </row>
    <row r="47" spans="4:12" x14ac:dyDescent="0.2">
      <c r="D47" s="179" t="s">
        <v>280</v>
      </c>
      <c r="E47" s="180"/>
      <c r="F47" s="180"/>
      <c r="G47" s="180"/>
      <c r="H47" s="180"/>
      <c r="I47" s="180"/>
      <c r="J47" s="233"/>
      <c r="K47" s="105">
        <v>0.45</v>
      </c>
      <c r="L47" s="105">
        <v>0.9</v>
      </c>
    </row>
    <row r="48" spans="4:12" x14ac:dyDescent="0.2">
      <c r="D48" s="179" t="s">
        <v>281</v>
      </c>
      <c r="E48" s="180"/>
      <c r="F48" s="180"/>
      <c r="G48" s="180"/>
      <c r="H48" s="180"/>
      <c r="I48" s="180"/>
      <c r="J48" s="233"/>
      <c r="K48" s="105">
        <v>0.8</v>
      </c>
      <c r="L48" s="105">
        <v>0.9</v>
      </c>
    </row>
    <row r="49" spans="4:12" x14ac:dyDescent="0.2">
      <c r="D49" s="179" t="s">
        <v>282</v>
      </c>
      <c r="E49" s="180"/>
      <c r="F49" s="180"/>
      <c r="G49" s="180"/>
      <c r="H49" s="180"/>
      <c r="I49" s="180"/>
      <c r="J49" s="233"/>
      <c r="K49" s="105">
        <v>0.6</v>
      </c>
      <c r="L49" s="105">
        <v>0.9</v>
      </c>
    </row>
    <row r="50" spans="4:12" x14ac:dyDescent="0.2">
      <c r="D50" s="179" t="s">
        <v>283</v>
      </c>
      <c r="E50" s="180"/>
      <c r="F50" s="180"/>
      <c r="G50" s="180"/>
      <c r="H50" s="180"/>
      <c r="I50" s="180"/>
      <c r="J50" s="233"/>
      <c r="K50" s="105">
        <v>0.65</v>
      </c>
      <c r="L50" s="105">
        <v>0.28000000000000003</v>
      </c>
    </row>
    <row r="51" spans="4:12" x14ac:dyDescent="0.2">
      <c r="D51" s="179" t="s">
        <v>284</v>
      </c>
      <c r="E51" s="180"/>
      <c r="F51" s="180"/>
      <c r="G51" s="180"/>
      <c r="H51" s="180"/>
      <c r="I51" s="180"/>
      <c r="J51" s="233"/>
      <c r="K51" s="105">
        <v>0.7</v>
      </c>
      <c r="L51" s="105">
        <v>0.94</v>
      </c>
    </row>
    <row r="52" spans="4:12" x14ac:dyDescent="0.2">
      <c r="D52" s="179" t="s">
        <v>285</v>
      </c>
      <c r="E52" s="180"/>
      <c r="F52" s="180"/>
      <c r="G52" s="180"/>
      <c r="H52" s="180"/>
      <c r="I52" s="180"/>
      <c r="J52" s="233"/>
      <c r="K52" s="105">
        <v>0.7</v>
      </c>
      <c r="L52" s="105">
        <v>0.93</v>
      </c>
    </row>
    <row r="53" spans="4:12" x14ac:dyDescent="0.2">
      <c r="D53" s="179" t="s">
        <v>286</v>
      </c>
      <c r="E53" s="180"/>
      <c r="F53" s="180"/>
      <c r="G53" s="180"/>
      <c r="H53" s="180"/>
      <c r="I53" s="180"/>
      <c r="J53" s="233"/>
      <c r="K53" s="105">
        <v>0.3</v>
      </c>
      <c r="L53" s="105">
        <v>0.93</v>
      </c>
    </row>
    <row r="54" spans="4:12" x14ac:dyDescent="0.2">
      <c r="D54" s="179" t="s">
        <v>287</v>
      </c>
      <c r="E54" s="180"/>
      <c r="F54" s="180"/>
      <c r="G54" s="180"/>
      <c r="H54" s="180"/>
      <c r="I54" s="180"/>
      <c r="J54" s="233"/>
      <c r="K54" s="105">
        <v>0.6</v>
      </c>
      <c r="L54" s="105">
        <v>0.93</v>
      </c>
    </row>
    <row r="55" spans="4:12" ht="16" thickBot="1" x14ac:dyDescent="0.25">
      <c r="D55" s="237" t="s">
        <v>288</v>
      </c>
      <c r="E55" s="238"/>
      <c r="F55" s="238"/>
      <c r="G55" s="238"/>
      <c r="H55" s="238"/>
      <c r="I55" s="238"/>
      <c r="J55" s="176"/>
      <c r="K55" s="106">
        <v>0.4</v>
      </c>
      <c r="L55" s="106">
        <v>0.93</v>
      </c>
    </row>
    <row r="56" spans="4:12" x14ac:dyDescent="0.2">
      <c r="D56" s="264" t="s">
        <v>289</v>
      </c>
      <c r="E56" s="262"/>
      <c r="F56" s="266" t="s">
        <v>288</v>
      </c>
      <c r="G56" s="266"/>
      <c r="H56" s="266"/>
      <c r="I56" s="266"/>
      <c r="J56" s="266"/>
      <c r="K56" s="260">
        <f>VLOOKUP(F56,D31:L55,8,FALSE)</f>
        <v>0.4</v>
      </c>
      <c r="L56" s="262">
        <f>VLOOKUP(F56,D31:L55,9,FALSE)</f>
        <v>0.93</v>
      </c>
    </row>
    <row r="57" spans="4:12" ht="16" thickBot="1" x14ac:dyDescent="0.25">
      <c r="D57" s="265"/>
      <c r="E57" s="263"/>
      <c r="F57" s="267"/>
      <c r="G57" s="267"/>
      <c r="H57" s="267"/>
      <c r="I57" s="267"/>
      <c r="J57" s="267"/>
      <c r="K57" s="261"/>
      <c r="L57" s="263"/>
    </row>
    <row r="58" spans="4:12" x14ac:dyDescent="0.2">
      <c r="D58" s="264" t="s">
        <v>290</v>
      </c>
      <c r="E58" s="262"/>
      <c r="F58" s="266" t="s">
        <v>278</v>
      </c>
      <c r="G58" s="266"/>
      <c r="H58" s="266"/>
      <c r="I58" s="266"/>
      <c r="J58" s="266"/>
      <c r="K58" s="260">
        <f>VLOOKUP(F58,D31:L55,8,FALSE)</f>
        <v>0.9</v>
      </c>
      <c r="L58" s="262">
        <f>VLOOKUP(F58,D31:L55,9,FALSE)</f>
        <v>0.9</v>
      </c>
    </row>
    <row r="59" spans="4:12" ht="16" thickBot="1" x14ac:dyDescent="0.25">
      <c r="D59" s="265"/>
      <c r="E59" s="263"/>
      <c r="F59" s="267"/>
      <c r="G59" s="267"/>
      <c r="H59" s="267"/>
      <c r="I59" s="267"/>
      <c r="J59" s="267"/>
      <c r="K59" s="261"/>
      <c r="L59" s="263"/>
    </row>
  </sheetData>
  <mergeCells count="49">
    <mergeCell ref="D25:K25"/>
    <mergeCell ref="N1:W1"/>
    <mergeCell ref="X1:AJ1"/>
    <mergeCell ref="D16:K17"/>
    <mergeCell ref="L16:L17"/>
    <mergeCell ref="D18:K18"/>
    <mergeCell ref="D19:K19"/>
    <mergeCell ref="D20:K20"/>
    <mergeCell ref="D21:K21"/>
    <mergeCell ref="D22:K22"/>
    <mergeCell ref="D23:K23"/>
    <mergeCell ref="D24:K24"/>
    <mergeCell ref="D38:J38"/>
    <mergeCell ref="D26:K26"/>
    <mergeCell ref="D28:J30"/>
    <mergeCell ref="K28:K30"/>
    <mergeCell ref="L28:L30"/>
    <mergeCell ref="D31:J31"/>
    <mergeCell ref="D32:J32"/>
    <mergeCell ref="D33:J33"/>
    <mergeCell ref="D34:J34"/>
    <mergeCell ref="D35:J35"/>
    <mergeCell ref="D36:J36"/>
    <mergeCell ref="D37:J37"/>
    <mergeCell ref="D50:J50"/>
    <mergeCell ref="D39:J39"/>
    <mergeCell ref="D40:J40"/>
    <mergeCell ref="D41:J41"/>
    <mergeCell ref="D42:J42"/>
    <mergeCell ref="D43:J43"/>
    <mergeCell ref="D44:J44"/>
    <mergeCell ref="D45:J45"/>
    <mergeCell ref="D46:J46"/>
    <mergeCell ref="D47:J47"/>
    <mergeCell ref="D48:J48"/>
    <mergeCell ref="D49:J49"/>
    <mergeCell ref="D51:J51"/>
    <mergeCell ref="D52:J52"/>
    <mergeCell ref="D53:J53"/>
    <mergeCell ref="D54:J54"/>
    <mergeCell ref="D55:J55"/>
    <mergeCell ref="K56:K57"/>
    <mergeCell ref="L56:L57"/>
    <mergeCell ref="D58:E59"/>
    <mergeCell ref="F58:J59"/>
    <mergeCell ref="K58:K59"/>
    <mergeCell ref="L58:L59"/>
    <mergeCell ref="D56:E57"/>
    <mergeCell ref="F56:J57"/>
  </mergeCells>
  <dataValidations count="2">
    <dataValidation type="list" allowBlank="1" showInputMessage="1" showErrorMessage="1" promptTitle="Тип скління" prompt="Виберіть один з варіантів" sqref="D26" xr:uid="{18441FF7-3DE2-4A63-9FBF-4C306077D583}">
      <formula1>$D$18:$D$25</formula1>
    </dataValidation>
    <dataValidation type="list" allowBlank="1" showInputMessage="1" showErrorMessage="1" sqref="F56 F58" xr:uid="{1EBF904F-AC03-47B4-9966-A23EE1405DF1}">
      <formula1>$D$31:$D$55</formula1>
    </dataValidation>
  </dataValidations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DFE1-B408-465E-9B23-E552234187B7}">
  <sheetPr codeName="Аркуш8">
    <tabColor theme="8"/>
  </sheetPr>
  <dimension ref="A1:AE29"/>
  <sheetViews>
    <sheetView zoomScale="85" zoomScaleNormal="85" workbookViewId="0">
      <selection activeCell="B2" sqref="B2"/>
    </sheetView>
  </sheetViews>
  <sheetFormatPr baseColWidth="10" defaultColWidth="8.83203125" defaultRowHeight="15" x14ac:dyDescent="0.2"/>
  <cols>
    <col min="2" max="2" width="8.83203125" customWidth="1"/>
    <col min="8" max="8" width="9.1640625" bestFit="1" customWidth="1"/>
  </cols>
  <sheetData>
    <row r="1" spans="1:31" ht="17" x14ac:dyDescent="0.25">
      <c r="C1" s="107" t="s">
        <v>291</v>
      </c>
      <c r="D1" t="s">
        <v>292</v>
      </c>
      <c r="E1" t="s">
        <v>293</v>
      </c>
      <c r="J1">
        <v>1</v>
      </c>
      <c r="K1">
        <v>2</v>
      </c>
      <c r="L1">
        <v>3</v>
      </c>
      <c r="M1">
        <v>4</v>
      </c>
      <c r="O1" t="s">
        <v>294</v>
      </c>
      <c r="S1" s="187" t="s">
        <v>295</v>
      </c>
      <c r="T1" s="174"/>
      <c r="U1" s="6" t="s">
        <v>296</v>
      </c>
      <c r="V1" s="174" t="s">
        <v>123</v>
      </c>
      <c r="W1" s="174"/>
      <c r="X1" s="174"/>
      <c r="Y1" s="174"/>
      <c r="Z1" s="174"/>
      <c r="AA1" s="174"/>
      <c r="AB1" s="174"/>
      <c r="AC1" s="174"/>
      <c r="AD1" s="174"/>
      <c r="AE1" s="175"/>
    </row>
    <row r="2" spans="1:31" ht="17" x14ac:dyDescent="0.25">
      <c r="A2" s="107" t="s">
        <v>297</v>
      </c>
      <c r="B2" s="55">
        <f>IFERROR(HLOOKUP(N2,$J$1:$M$13,P2,FALSE),1)</f>
        <v>0.99946631626364069</v>
      </c>
      <c r="C2">
        <f>Qnd!F2/Qnd!C2</f>
        <v>0.39809217978717154</v>
      </c>
      <c r="D2">
        <f>1+(E2/15)</f>
        <v>7.6306862336858181</v>
      </c>
      <c r="E2">
        <f>(U12*O2)/(Qtr!F2+Qve!F2+0)</f>
        <v>99.460293505287268</v>
      </c>
      <c r="F2" t="b">
        <f>AND(C2&gt;0,NOT(C2=1))</f>
        <v>1</v>
      </c>
      <c r="G2" t="b">
        <f>C2=1</f>
        <v>0</v>
      </c>
      <c r="H2" t="b">
        <f>AND(C2&lt;0,Qnd!F2&gt;0)</f>
        <v>0</v>
      </c>
      <c r="I2" t="b">
        <f>AND(C2&lt;=0,Qnd!F2&lt;=0)</f>
        <v>0</v>
      </c>
      <c r="J2">
        <f>(1-C2^$D$2)/(1-C2^($D$2+1))</f>
        <v>0.99946631626364069</v>
      </c>
      <c r="K2">
        <f>$D$2/($D$2+1)</f>
        <v>0.88413435815833841</v>
      </c>
      <c r="L2">
        <f>1/C2</f>
        <v>2.5119810204124611</v>
      </c>
      <c r="M2">
        <v>1</v>
      </c>
      <c r="N2">
        <f>MATCH(TRUE,F2:I2,0)</f>
        <v>1</v>
      </c>
      <c r="O2" s="55">
        <f>areasAndVolumes[[#Totals],[Загальна площа]]</f>
        <v>5859.18</v>
      </c>
      <c r="P2" s="55">
        <v>2</v>
      </c>
      <c r="S2" s="295" t="s">
        <v>298</v>
      </c>
      <c r="T2" s="296"/>
      <c r="U2" s="299">
        <v>25</v>
      </c>
      <c r="V2" s="300" t="s">
        <v>299</v>
      </c>
      <c r="W2" s="300"/>
      <c r="X2" s="300"/>
      <c r="Y2" s="300"/>
      <c r="Z2" s="300"/>
      <c r="AA2" s="300"/>
      <c r="AB2" s="300"/>
      <c r="AC2" s="300"/>
      <c r="AD2" s="300"/>
      <c r="AE2" s="301"/>
    </row>
    <row r="3" spans="1:31" ht="17" x14ac:dyDescent="0.25">
      <c r="A3" s="107" t="s">
        <v>300</v>
      </c>
      <c r="B3" s="55">
        <f t="shared" ref="B3:B13" si="0">IFERROR(HLOOKUP(N3,$J$1:$M$13,P3,FALSE),1)</f>
        <v>0.9979314758325627</v>
      </c>
      <c r="C3">
        <f>Qnd!F3/Qnd!C3</f>
        <v>0.48516929559351529</v>
      </c>
      <c r="F3" t="b">
        <f t="shared" ref="F3:F13" si="1">AND(C3&gt;0,NOT(C3=1))</f>
        <v>1</v>
      </c>
      <c r="G3" t="b">
        <f t="shared" ref="G3:G13" si="2">C3=1</f>
        <v>0</v>
      </c>
      <c r="H3" t="b">
        <f>AND(C3&lt;0,Qnd!F3&gt;0)</f>
        <v>0</v>
      </c>
      <c r="I3" t="b">
        <f>AND(C3&lt;=0,Qnd!F3&lt;=0)</f>
        <v>0</v>
      </c>
      <c r="J3">
        <f t="shared" ref="J3:J13" si="3">(1-C3^$D$2)/(1-C3^($D$2+1))</f>
        <v>0.9979314758325627</v>
      </c>
      <c r="K3">
        <f t="shared" ref="K3:K13" si="4">$D$2/($D$2+1)</f>
        <v>0.88413435815833841</v>
      </c>
      <c r="L3">
        <f t="shared" ref="L3:L13" si="5">1/C3</f>
        <v>2.0611362035527909</v>
      </c>
      <c r="M3">
        <v>1</v>
      </c>
      <c r="N3">
        <f t="shared" ref="N3:N13" si="6">MATCH(TRUE,F3:I3,0)</f>
        <v>1</v>
      </c>
      <c r="P3">
        <v>3</v>
      </c>
      <c r="Q3" s="108">
        <v>25</v>
      </c>
      <c r="S3" s="297"/>
      <c r="T3" s="298"/>
      <c r="U3" s="299"/>
      <c r="V3" s="300"/>
      <c r="W3" s="300"/>
      <c r="X3" s="300"/>
      <c r="Y3" s="300"/>
      <c r="Z3" s="300"/>
      <c r="AA3" s="300"/>
      <c r="AB3" s="300"/>
      <c r="AC3" s="300"/>
      <c r="AD3" s="300"/>
      <c r="AE3" s="301"/>
    </row>
    <row r="4" spans="1:31" ht="17" x14ac:dyDescent="0.25">
      <c r="A4" s="107" t="s">
        <v>301</v>
      </c>
      <c r="B4" s="55">
        <f t="shared" si="0"/>
        <v>0.9808371379330616</v>
      </c>
      <c r="C4">
        <f>Qnd!F4/Qnd!C4</f>
        <v>0.69076160521050556</v>
      </c>
      <c r="F4" t="b">
        <f t="shared" si="1"/>
        <v>1</v>
      </c>
      <c r="G4" t="b">
        <f t="shared" si="2"/>
        <v>0</v>
      </c>
      <c r="H4" t="b">
        <f>AND(C4&lt;0,Qnd!F4&gt;0)</f>
        <v>0</v>
      </c>
      <c r="I4" t="b">
        <f>AND(C4&lt;=0,Qnd!F4&lt;=0)</f>
        <v>0</v>
      </c>
      <c r="J4">
        <f t="shared" si="3"/>
        <v>0.9808371379330616</v>
      </c>
      <c r="K4">
        <f t="shared" si="4"/>
        <v>0.88413435815833841</v>
      </c>
      <c r="L4">
        <f t="shared" si="5"/>
        <v>1.447677451173992</v>
      </c>
      <c r="M4">
        <v>1</v>
      </c>
      <c r="N4">
        <f t="shared" si="6"/>
        <v>1</v>
      </c>
      <c r="P4">
        <v>4</v>
      </c>
      <c r="Q4" s="108">
        <v>35</v>
      </c>
      <c r="S4" s="295" t="s">
        <v>302</v>
      </c>
      <c r="T4" s="296"/>
      <c r="U4" s="299">
        <v>35</v>
      </c>
      <c r="V4" s="300" t="s">
        <v>303</v>
      </c>
      <c r="W4" s="300"/>
      <c r="X4" s="300"/>
      <c r="Y4" s="300"/>
      <c r="Z4" s="300"/>
      <c r="AA4" s="300"/>
      <c r="AB4" s="300"/>
      <c r="AC4" s="300"/>
      <c r="AD4" s="300"/>
      <c r="AE4" s="301"/>
    </row>
    <row r="5" spans="1:31" ht="17" x14ac:dyDescent="0.25">
      <c r="A5" s="107" t="s">
        <v>304</v>
      </c>
      <c r="B5" s="55">
        <f t="shared" si="0"/>
        <v>0.71214615330493347</v>
      </c>
      <c r="C5">
        <f>Qnd!F5/Qnd!C5</f>
        <v>1.3670020142377814</v>
      </c>
      <c r="F5" t="b">
        <f t="shared" si="1"/>
        <v>1</v>
      </c>
      <c r="G5" t="b">
        <f t="shared" si="2"/>
        <v>0</v>
      </c>
      <c r="H5" t="b">
        <f>AND(C5&lt;0,Qnd!F5&gt;0)</f>
        <v>0</v>
      </c>
      <c r="I5" t="b">
        <f>AND(C5&lt;=0,Qnd!F5&lt;=0)</f>
        <v>0</v>
      </c>
      <c r="J5">
        <f t="shared" si="3"/>
        <v>0.71214615330493347</v>
      </c>
      <c r="K5">
        <f t="shared" si="4"/>
        <v>0.88413435815833841</v>
      </c>
      <c r="L5">
        <f t="shared" si="5"/>
        <v>0.73152781750477824</v>
      </c>
      <c r="M5">
        <v>1</v>
      </c>
      <c r="N5">
        <f t="shared" si="6"/>
        <v>1</v>
      </c>
      <c r="P5">
        <v>5</v>
      </c>
      <c r="Q5" s="108">
        <v>50</v>
      </c>
      <c r="S5" s="297"/>
      <c r="T5" s="298"/>
      <c r="U5" s="299"/>
      <c r="V5" s="300"/>
      <c r="W5" s="300"/>
      <c r="X5" s="300"/>
      <c r="Y5" s="300"/>
      <c r="Z5" s="300"/>
      <c r="AA5" s="300"/>
      <c r="AB5" s="300"/>
      <c r="AC5" s="300"/>
      <c r="AD5" s="300"/>
      <c r="AE5" s="301"/>
    </row>
    <row r="6" spans="1:31" ht="17" x14ac:dyDescent="0.25">
      <c r="A6" s="107" t="s">
        <v>305</v>
      </c>
      <c r="B6" s="55">
        <f t="shared" si="0"/>
        <v>0.23332460271985689</v>
      </c>
      <c r="C6">
        <f>Qnd!F6/Qnd!C6</f>
        <v>4.2858252422538961</v>
      </c>
      <c r="F6" t="b">
        <f t="shared" si="1"/>
        <v>1</v>
      </c>
      <c r="G6" t="b">
        <f t="shared" si="2"/>
        <v>0</v>
      </c>
      <c r="H6" t="b">
        <f>AND(C6&lt;0,Qnd!F6&gt;0)</f>
        <v>0</v>
      </c>
      <c r="I6" t="b">
        <f>AND(C6&lt;=0,Qnd!F6&lt;=0)</f>
        <v>0</v>
      </c>
      <c r="J6">
        <f t="shared" si="3"/>
        <v>0.23332460271985689</v>
      </c>
      <c r="K6">
        <f t="shared" si="4"/>
        <v>0.88413435815833841</v>
      </c>
      <c r="L6">
        <f t="shared" si="5"/>
        <v>0.2333272925225725</v>
      </c>
      <c r="M6">
        <v>1</v>
      </c>
      <c r="N6">
        <f t="shared" si="6"/>
        <v>1</v>
      </c>
      <c r="P6">
        <v>6</v>
      </c>
      <c r="Q6" s="108">
        <v>80</v>
      </c>
      <c r="S6" s="295" t="s">
        <v>306</v>
      </c>
      <c r="T6" s="296"/>
      <c r="U6" s="299">
        <v>50</v>
      </c>
      <c r="V6" s="300" t="s">
        <v>307</v>
      </c>
      <c r="W6" s="300"/>
      <c r="X6" s="300"/>
      <c r="Y6" s="300"/>
      <c r="Z6" s="300"/>
      <c r="AA6" s="300"/>
      <c r="AB6" s="300"/>
      <c r="AC6" s="300"/>
      <c r="AD6" s="300"/>
      <c r="AE6" s="301"/>
    </row>
    <row r="7" spans="1:31" ht="17" x14ac:dyDescent="0.25">
      <c r="A7" s="107" t="s">
        <v>308</v>
      </c>
      <c r="B7" s="55">
        <f t="shared" si="0"/>
        <v>6.5392662849519632E-3</v>
      </c>
      <c r="C7">
        <f>Qnd!F7/Qnd!C7</f>
        <v>152.92235495917632</v>
      </c>
      <c r="F7" t="b">
        <f t="shared" si="1"/>
        <v>1</v>
      </c>
      <c r="G7" t="b">
        <f t="shared" si="2"/>
        <v>0</v>
      </c>
      <c r="H7" t="b">
        <f>AND(C7&lt;0,Qnd!F7&gt;0)</f>
        <v>0</v>
      </c>
      <c r="I7" t="b">
        <f>AND(C7&lt;=0,Qnd!F7&lt;=0)</f>
        <v>0</v>
      </c>
      <c r="J7">
        <f t="shared" si="3"/>
        <v>6.5392662849519632E-3</v>
      </c>
      <c r="K7">
        <f t="shared" si="4"/>
        <v>0.88413435815833841</v>
      </c>
      <c r="L7">
        <f t="shared" si="5"/>
        <v>6.5392662849519737E-3</v>
      </c>
      <c r="M7">
        <v>1</v>
      </c>
      <c r="N7">
        <f t="shared" si="6"/>
        <v>1</v>
      </c>
      <c r="P7">
        <v>7</v>
      </c>
      <c r="Q7" s="108">
        <v>110</v>
      </c>
      <c r="S7" s="297"/>
      <c r="T7" s="298"/>
      <c r="U7" s="299"/>
      <c r="V7" s="300"/>
      <c r="W7" s="300"/>
      <c r="X7" s="300"/>
      <c r="Y7" s="300"/>
      <c r="Z7" s="300"/>
      <c r="AA7" s="300"/>
      <c r="AB7" s="300"/>
      <c r="AC7" s="300"/>
      <c r="AD7" s="300"/>
      <c r="AE7" s="301"/>
    </row>
    <row r="8" spans="1:31" ht="17" x14ac:dyDescent="0.25">
      <c r="A8" s="107" t="s">
        <v>309</v>
      </c>
      <c r="B8" s="55">
        <f t="shared" si="0"/>
        <v>-0.11205851874008187</v>
      </c>
      <c r="C8">
        <f>Qnd!F8/Qnd!C8</f>
        <v>-8.9239087866178721</v>
      </c>
      <c r="F8" t="b">
        <f t="shared" si="1"/>
        <v>0</v>
      </c>
      <c r="G8" t="b">
        <f t="shared" si="2"/>
        <v>0</v>
      </c>
      <c r="H8" t="b">
        <f>AND(C8&lt;0,Qnd!F8&gt;0)</f>
        <v>1</v>
      </c>
      <c r="I8" t="b">
        <f>AND(C8&lt;=0,Qnd!F8&lt;=0)</f>
        <v>0</v>
      </c>
      <c r="J8" t="e">
        <f t="shared" si="3"/>
        <v>#NUM!</v>
      </c>
      <c r="K8">
        <f t="shared" si="4"/>
        <v>0.88413435815833841</v>
      </c>
      <c r="L8">
        <f t="shared" si="5"/>
        <v>-0.11205851874008187</v>
      </c>
      <c r="M8">
        <v>1</v>
      </c>
      <c r="N8">
        <f>MATCH(TRUE,F8:I8,0)</f>
        <v>3</v>
      </c>
      <c r="P8">
        <v>8</v>
      </c>
      <c r="S8" s="295" t="s">
        <v>310</v>
      </c>
      <c r="T8" s="296"/>
      <c r="U8" s="299">
        <v>80</v>
      </c>
      <c r="V8" s="300" t="s">
        <v>311</v>
      </c>
      <c r="W8" s="300"/>
      <c r="X8" s="300"/>
      <c r="Y8" s="300"/>
      <c r="Z8" s="300"/>
      <c r="AA8" s="300"/>
      <c r="AB8" s="300"/>
      <c r="AC8" s="300"/>
      <c r="AD8" s="300"/>
      <c r="AE8" s="301"/>
    </row>
    <row r="9" spans="1:31" ht="17" x14ac:dyDescent="0.25">
      <c r="A9" s="107" t="s">
        <v>312</v>
      </c>
      <c r="B9" s="55">
        <f t="shared" si="0"/>
        <v>-4.7868320549488343E-2</v>
      </c>
      <c r="C9">
        <f>Qnd!F9/Qnd!C9</f>
        <v>-20.890643091732386</v>
      </c>
      <c r="F9" t="b">
        <f t="shared" si="1"/>
        <v>0</v>
      </c>
      <c r="G9" t="b">
        <f t="shared" si="2"/>
        <v>0</v>
      </c>
      <c r="H9" t="b">
        <f>AND(C9&lt;0,Qnd!F9&gt;0)</f>
        <v>1</v>
      </c>
      <c r="I9" t="b">
        <f>AND(C9&lt;=0,Qnd!F9&lt;=0)</f>
        <v>0</v>
      </c>
      <c r="J9" t="e">
        <f t="shared" si="3"/>
        <v>#NUM!</v>
      </c>
      <c r="K9">
        <f t="shared" si="4"/>
        <v>0.88413435815833841</v>
      </c>
      <c r="L9">
        <f t="shared" si="5"/>
        <v>-4.7868320549488343E-2</v>
      </c>
      <c r="M9">
        <v>1</v>
      </c>
      <c r="N9">
        <f t="shared" si="6"/>
        <v>3</v>
      </c>
      <c r="P9">
        <v>9</v>
      </c>
      <c r="S9" s="297"/>
      <c r="T9" s="298"/>
      <c r="U9" s="299"/>
      <c r="V9" s="300"/>
      <c r="W9" s="300"/>
      <c r="X9" s="300"/>
      <c r="Y9" s="300"/>
      <c r="Z9" s="300"/>
      <c r="AA9" s="300"/>
      <c r="AB9" s="300"/>
      <c r="AC9" s="300"/>
      <c r="AD9" s="300"/>
      <c r="AE9" s="301"/>
    </row>
    <row r="10" spans="1:31" ht="17" x14ac:dyDescent="0.25">
      <c r="A10" s="107" t="s">
        <v>313</v>
      </c>
      <c r="B10" s="55">
        <f t="shared" si="0"/>
        <v>0.36046280093581906</v>
      </c>
      <c r="C10">
        <f>Qnd!F10/Qnd!C10</f>
        <v>2.7734727342705159</v>
      </c>
      <c r="F10" t="b">
        <f t="shared" si="1"/>
        <v>1</v>
      </c>
      <c r="G10" t="b">
        <f t="shared" si="2"/>
        <v>0</v>
      </c>
      <c r="H10" t="b">
        <f>AND(C10&lt;0,Qnd!F10&gt;0)</f>
        <v>0</v>
      </c>
      <c r="I10" t="b">
        <f>AND(C10&lt;=0,Qnd!F10&lt;=0)</f>
        <v>0</v>
      </c>
      <c r="J10">
        <f t="shared" si="3"/>
        <v>0.36046280093581906</v>
      </c>
      <c r="K10">
        <f t="shared" si="4"/>
        <v>0.88413435815833841</v>
      </c>
      <c r="L10">
        <f t="shared" si="5"/>
        <v>0.36055879967502974</v>
      </c>
      <c r="M10">
        <v>1</v>
      </c>
      <c r="N10">
        <f t="shared" si="6"/>
        <v>1</v>
      </c>
      <c r="P10">
        <v>10</v>
      </c>
      <c r="S10" s="295" t="s">
        <v>314</v>
      </c>
      <c r="T10" s="296"/>
      <c r="U10" s="299">
        <v>110</v>
      </c>
      <c r="V10" s="300" t="s">
        <v>315</v>
      </c>
      <c r="W10" s="300"/>
      <c r="X10" s="300"/>
      <c r="Y10" s="300"/>
      <c r="Z10" s="300"/>
      <c r="AA10" s="300"/>
      <c r="AB10" s="300"/>
      <c r="AC10" s="300"/>
      <c r="AD10" s="300"/>
      <c r="AE10" s="301"/>
    </row>
    <row r="11" spans="1:31" ht="17" x14ac:dyDescent="0.25">
      <c r="A11" s="107" t="s">
        <v>316</v>
      </c>
      <c r="B11" s="55">
        <f t="shared" si="0"/>
        <v>0.87005385083760878</v>
      </c>
      <c r="C11">
        <f>Qnd!F11/Qnd!C11</f>
        <v>1.0313017855321107</v>
      </c>
      <c r="F11" t="b">
        <f t="shared" si="1"/>
        <v>1</v>
      </c>
      <c r="G11" t="b">
        <f t="shared" si="2"/>
        <v>0</v>
      </c>
      <c r="H11" t="b">
        <f>AND(C11&lt;0,Qnd!F11&gt;0)</f>
        <v>0</v>
      </c>
      <c r="I11" t="b">
        <f>AND(C11&lt;=0,Qnd!F11&lt;=0)</f>
        <v>0</v>
      </c>
      <c r="J11">
        <f t="shared" si="3"/>
        <v>0.87005385083760878</v>
      </c>
      <c r="K11">
        <f t="shared" si="4"/>
        <v>0.88413435815833841</v>
      </c>
      <c r="L11">
        <f t="shared" si="5"/>
        <v>0.96964827757380423</v>
      </c>
      <c r="M11">
        <v>1</v>
      </c>
      <c r="N11">
        <f t="shared" si="6"/>
        <v>1</v>
      </c>
      <c r="P11">
        <v>11</v>
      </c>
      <c r="S11" s="297"/>
      <c r="T11" s="298"/>
      <c r="U11" s="299"/>
      <c r="V11" s="300"/>
      <c r="W11" s="300"/>
      <c r="X11" s="300"/>
      <c r="Y11" s="300"/>
      <c r="Z11" s="300"/>
      <c r="AA11" s="300"/>
      <c r="AB11" s="300"/>
      <c r="AC11" s="300"/>
      <c r="AD11" s="300"/>
      <c r="AE11" s="301"/>
    </row>
    <row r="12" spans="1:31" ht="17" x14ac:dyDescent="0.25">
      <c r="A12" s="107" t="s">
        <v>317</v>
      </c>
      <c r="B12" s="55">
        <f t="shared" si="0"/>
        <v>0.99533559368386937</v>
      </c>
      <c r="C12">
        <f>Qnd!F12/Qnd!C12</f>
        <v>0.54888250131244687</v>
      </c>
      <c r="F12" t="b">
        <f t="shared" si="1"/>
        <v>1</v>
      </c>
      <c r="G12" t="b">
        <f t="shared" si="2"/>
        <v>0</v>
      </c>
      <c r="H12" t="b">
        <f>AND(C12&lt;0,Qnd!F12&gt;0)</f>
        <v>0</v>
      </c>
      <c r="I12" t="b">
        <f>AND(C12&lt;=0,Qnd!F12&lt;=0)</f>
        <v>0</v>
      </c>
      <c r="J12">
        <f t="shared" si="3"/>
        <v>0.99533559368386937</v>
      </c>
      <c r="K12">
        <f t="shared" si="4"/>
        <v>0.88413435815833841</v>
      </c>
      <c r="L12">
        <f t="shared" si="5"/>
        <v>1.8218835499562742</v>
      </c>
      <c r="M12">
        <v>1</v>
      </c>
      <c r="N12">
        <f t="shared" si="6"/>
        <v>1</v>
      </c>
      <c r="P12">
        <v>12</v>
      </c>
      <c r="S12" s="302" t="s">
        <v>306</v>
      </c>
      <c r="T12" s="303"/>
      <c r="U12" s="299">
        <f>VLOOKUP(S12,S2:AE11,3,FALSE)</f>
        <v>50</v>
      </c>
      <c r="V12" s="300" t="str">
        <f>VLOOKUP(S12,S2:AE11,4,FALSE)</f>
        <v>Будівлі великопанельні, великоблочні, з цегляними стінами товщиною в одну цеглину, із залізобетонними чи деревними перекриттями</v>
      </c>
      <c r="W12" s="300"/>
      <c r="X12" s="300"/>
      <c r="Y12" s="300"/>
      <c r="Z12" s="300"/>
      <c r="AA12" s="300"/>
      <c r="AB12" s="300"/>
      <c r="AC12" s="300"/>
      <c r="AD12" s="300"/>
      <c r="AE12" s="301"/>
    </row>
    <row r="13" spans="1:31" ht="18" thickBot="1" x14ac:dyDescent="0.3">
      <c r="A13" s="107" t="s">
        <v>318</v>
      </c>
      <c r="B13" s="55">
        <f t="shared" si="0"/>
        <v>0.99925440899026441</v>
      </c>
      <c r="C13">
        <f>Qnd!F13/Qnd!C13</f>
        <v>0.41772585846013538</v>
      </c>
      <c r="F13" t="b">
        <f t="shared" si="1"/>
        <v>1</v>
      </c>
      <c r="G13" t="b">
        <f t="shared" si="2"/>
        <v>0</v>
      </c>
      <c r="H13" t="b">
        <f>AND(C13&lt;0,Qnd!F13&gt;0)</f>
        <v>0</v>
      </c>
      <c r="I13" t="b">
        <f>AND(C13&lt;=0,Qnd!F13&lt;=0)</f>
        <v>0</v>
      </c>
      <c r="J13">
        <f t="shared" si="3"/>
        <v>0.99925440899026441</v>
      </c>
      <c r="K13">
        <f t="shared" si="4"/>
        <v>0.88413435815833841</v>
      </c>
      <c r="L13">
        <f t="shared" si="5"/>
        <v>2.3939145249142686</v>
      </c>
      <c r="M13">
        <v>1</v>
      </c>
      <c r="N13">
        <f t="shared" si="6"/>
        <v>1</v>
      </c>
      <c r="P13">
        <v>13</v>
      </c>
      <c r="S13" s="304"/>
      <c r="T13" s="305"/>
      <c r="U13" s="217"/>
      <c r="V13" s="306"/>
      <c r="W13" s="306"/>
      <c r="X13" s="306"/>
      <c r="Y13" s="306"/>
      <c r="Z13" s="306"/>
      <c r="AA13" s="306"/>
      <c r="AB13" s="306"/>
      <c r="AC13" s="306"/>
      <c r="AD13" s="306"/>
      <c r="AE13" s="307"/>
    </row>
    <row r="15" spans="1:31" x14ac:dyDescent="0.2">
      <c r="S15" s="109" t="str">
        <f>S2</f>
        <v>Дуже легкий</v>
      </c>
    </row>
    <row r="16" spans="1:31" x14ac:dyDescent="0.2">
      <c r="S16" s="109" t="str">
        <f>S4</f>
        <v>Легкий</v>
      </c>
    </row>
    <row r="17" spans="1:19" ht="17" x14ac:dyDescent="0.25">
      <c r="C17" s="107" t="s">
        <v>431</v>
      </c>
      <c r="D17" t="s">
        <v>432</v>
      </c>
      <c r="E17" t="s">
        <v>293</v>
      </c>
      <c r="J17">
        <v>1</v>
      </c>
      <c r="K17">
        <v>2</v>
      </c>
      <c r="L17">
        <v>3</v>
      </c>
      <c r="M17">
        <v>4</v>
      </c>
      <c r="S17" s="109" t="str">
        <f>S6</f>
        <v>Середній</v>
      </c>
    </row>
    <row r="18" spans="1:19" ht="17" x14ac:dyDescent="0.25">
      <c r="A18" s="107" t="s">
        <v>419</v>
      </c>
      <c r="B18" s="55">
        <f>IFERROR(HLOOKUP(N18,$J$17:$M$29,P18,FALSE),1)</f>
        <v>0.51052599520465602</v>
      </c>
      <c r="C18">
        <f>Qnd!F18/Qnd!C18</f>
        <v>0.5107017048646193</v>
      </c>
      <c r="D18">
        <f>1+(E18/15)</f>
        <v>10.804482787926737</v>
      </c>
      <c r="E18">
        <f>(U12*O2)/(Qtr!F18+Qve!F18+0)</f>
        <v>147.06724181890107</v>
      </c>
      <c r="F18" t="b">
        <f>AND(C18&gt;0,C18&lt;=1,Qnd!C18&gt;0)</f>
        <v>1</v>
      </c>
      <c r="G18" t="b">
        <f>AND(C18&gt;0,C18&lt;=1,Qnd!C18&lt;=0)</f>
        <v>0</v>
      </c>
      <c r="H18" t="b">
        <f>C18=1</f>
        <v>0</v>
      </c>
      <c r="I18" t="b">
        <f>C18&lt;0</f>
        <v>0</v>
      </c>
      <c r="J18">
        <f>(1-C18^-$D$18)/(1-C18^-($D$18+1))</f>
        <v>0.51052599520465602</v>
      </c>
      <c r="K18">
        <v>1</v>
      </c>
      <c r="L18">
        <f>$D$18/($D$18+1)</f>
        <v>0.91528641974701597</v>
      </c>
      <c r="M18">
        <v>1</v>
      </c>
      <c r="N18">
        <f>MATCH(TRUE,F18:I18,0)</f>
        <v>1</v>
      </c>
      <c r="P18">
        <v>2</v>
      </c>
      <c r="S18" s="109" t="str">
        <f>S8</f>
        <v>Важкий</v>
      </c>
    </row>
    <row r="19" spans="1:19" ht="17" x14ac:dyDescent="0.25">
      <c r="A19" s="107" t="s">
        <v>420</v>
      </c>
      <c r="B19" s="55">
        <f t="shared" ref="B19:B29" si="7">IFERROR(HLOOKUP(N19,$J$17:$M$29,P19,FALSE),1)</f>
        <v>0.62052194209670586</v>
      </c>
      <c r="C19">
        <f>Qnd!F19/Qnd!C19</f>
        <v>0.62191605148251705</v>
      </c>
      <c r="F19" t="b">
        <f>AND(C19&gt;0,C19&lt;=1,Qnd!C19&gt;0)</f>
        <v>1</v>
      </c>
      <c r="G19" t="b">
        <f>AND(C19&gt;0,C19&lt;=1,Qnd!C19&lt;=0)</f>
        <v>0</v>
      </c>
      <c r="H19" t="b">
        <f t="shared" ref="H19:H29" si="8">C19=1</f>
        <v>0</v>
      </c>
      <c r="I19" t="b">
        <f t="shared" ref="I19:I29" si="9">C19&lt;0</f>
        <v>0</v>
      </c>
      <c r="J19">
        <f t="shared" ref="J19:J29" si="10">(1-C19^-$D$18)/(1-C19^-($D$18+1))</f>
        <v>0.62052194209670586</v>
      </c>
      <c r="K19">
        <v>1</v>
      </c>
      <c r="L19">
        <f t="shared" ref="L19:L29" si="11">$D$18/($D$18+1)</f>
        <v>0.91528641974701597</v>
      </c>
      <c r="M19">
        <v>1</v>
      </c>
      <c r="N19">
        <f t="shared" ref="N19:N29" si="12">MATCH(TRUE,F19:I19,0)</f>
        <v>1</v>
      </c>
      <c r="P19">
        <v>3</v>
      </c>
      <c r="S19" s="109" t="str">
        <f>S10</f>
        <v>Дуже важкий</v>
      </c>
    </row>
    <row r="20" spans="1:19" ht="17" x14ac:dyDescent="0.25">
      <c r="A20" s="107" t="s">
        <v>421</v>
      </c>
      <c r="B20" s="55">
        <f t="shared" si="7"/>
        <v>0.82225897860726294</v>
      </c>
      <c r="C20">
        <f>Qnd!F20/Qnd!C20</f>
        <v>0.84744694744667026</v>
      </c>
      <c r="F20" t="b">
        <f>AND(C20&gt;0,C20&lt;=1,Qnd!C20&gt;0)</f>
        <v>1</v>
      </c>
      <c r="G20" t="b">
        <f>AND(C20&gt;0,C20&lt;=1,Qnd!C20&lt;=0)</f>
        <v>0</v>
      </c>
      <c r="H20" t="b">
        <f t="shared" si="8"/>
        <v>0</v>
      </c>
      <c r="I20" t="b">
        <f t="shared" si="9"/>
        <v>0</v>
      </c>
      <c r="J20">
        <f t="shared" si="10"/>
        <v>0.82225897860726294</v>
      </c>
      <c r="K20">
        <v>1</v>
      </c>
      <c r="L20">
        <f t="shared" si="11"/>
        <v>0.91528641974701597</v>
      </c>
      <c r="M20">
        <v>1</v>
      </c>
      <c r="N20">
        <f t="shared" si="12"/>
        <v>1</v>
      </c>
      <c r="P20">
        <v>4</v>
      </c>
    </row>
    <row r="21" spans="1:19" ht="17" x14ac:dyDescent="0.25">
      <c r="A21" s="107" t="s">
        <v>422</v>
      </c>
      <c r="B21" s="55">
        <f t="shared" si="7"/>
        <v>1</v>
      </c>
      <c r="C21">
        <f>Qnd!F21/Qnd!C21</f>
        <v>1.403695389312887</v>
      </c>
      <c r="F21" t="b">
        <f>AND(C21&gt;0,C21&lt;=1,Qnd!C21&gt;0)</f>
        <v>0</v>
      </c>
      <c r="G21" t="b">
        <f>AND(C21&gt;0,C21&lt;=1,Qnd!C21&lt;=0)</f>
        <v>0</v>
      </c>
      <c r="H21" t="b">
        <f t="shared" si="8"/>
        <v>0</v>
      </c>
      <c r="I21" t="b">
        <f t="shared" si="9"/>
        <v>0</v>
      </c>
      <c r="J21">
        <f t="shared" si="10"/>
        <v>0.992491078577313</v>
      </c>
      <c r="K21">
        <v>1</v>
      </c>
      <c r="L21">
        <f t="shared" si="11"/>
        <v>0.91528641974701597</v>
      </c>
      <c r="M21">
        <v>1</v>
      </c>
      <c r="N21" t="e">
        <f t="shared" si="12"/>
        <v>#N/A</v>
      </c>
      <c r="P21">
        <v>5</v>
      </c>
    </row>
    <row r="22" spans="1:19" ht="17" x14ac:dyDescent="0.25">
      <c r="A22" s="107" t="s">
        <v>423</v>
      </c>
      <c r="B22" s="55">
        <f t="shared" si="7"/>
        <v>1</v>
      </c>
      <c r="C22">
        <f>Qnd!F22/Qnd!C22</f>
        <v>2.7725457853428348</v>
      </c>
      <c r="F22" t="b">
        <f>AND(C22&gt;0,C22&lt;=1,Qnd!C22&gt;0)</f>
        <v>0</v>
      </c>
      <c r="G22" t="b">
        <f>AND(C22&gt;0,C22&lt;=1,Qnd!C22&lt;=0)</f>
        <v>0</v>
      </c>
      <c r="H22" t="b">
        <f t="shared" si="8"/>
        <v>0</v>
      </c>
      <c r="I22" t="b">
        <f t="shared" si="9"/>
        <v>0</v>
      </c>
      <c r="J22">
        <f t="shared" si="10"/>
        <v>0.99998951313386297</v>
      </c>
      <c r="K22">
        <v>1</v>
      </c>
      <c r="L22">
        <f t="shared" si="11"/>
        <v>0.91528641974701597</v>
      </c>
      <c r="M22">
        <v>1</v>
      </c>
      <c r="N22" t="e">
        <f t="shared" si="12"/>
        <v>#N/A</v>
      </c>
      <c r="P22">
        <v>6</v>
      </c>
    </row>
    <row r="23" spans="1:19" ht="17" x14ac:dyDescent="0.25">
      <c r="A23" s="107" t="s">
        <v>424</v>
      </c>
      <c r="B23" s="55">
        <f t="shared" si="7"/>
        <v>1</v>
      </c>
      <c r="C23">
        <f>Qnd!F23/Qnd!C23</f>
        <v>5.1390697468957525</v>
      </c>
      <c r="F23" t="b">
        <f>AND(C23&gt;0,C23&lt;=1,Qnd!C23&gt;0)</f>
        <v>0</v>
      </c>
      <c r="G23" t="b">
        <f>AND(C23&gt;0,C23&lt;=1,Qnd!C23&lt;=0)</f>
        <v>0</v>
      </c>
      <c r="H23" t="b">
        <f t="shared" si="8"/>
        <v>0</v>
      </c>
      <c r="I23" t="b">
        <f t="shared" si="9"/>
        <v>0</v>
      </c>
      <c r="J23">
        <f t="shared" si="10"/>
        <v>0.99999998320118055</v>
      </c>
      <c r="K23">
        <v>1</v>
      </c>
      <c r="L23">
        <f t="shared" si="11"/>
        <v>0.91528641974701597</v>
      </c>
      <c r="M23">
        <v>1</v>
      </c>
      <c r="N23" t="e">
        <f t="shared" si="12"/>
        <v>#N/A</v>
      </c>
      <c r="P23">
        <v>7</v>
      </c>
    </row>
    <row r="24" spans="1:19" ht="17" x14ac:dyDescent="0.25">
      <c r="A24" s="107" t="s">
        <v>425</v>
      </c>
      <c r="B24" s="55">
        <f t="shared" si="7"/>
        <v>1</v>
      </c>
      <c r="C24">
        <f>Qnd!F24/Qnd!C24</f>
        <v>9.3467152774584576</v>
      </c>
      <c r="F24" t="b">
        <f>AND(C24&gt;0,C24&lt;=1,Qnd!C24&gt;0)</f>
        <v>0</v>
      </c>
      <c r="G24" t="b">
        <f>AND(C24&gt;0,C24&lt;=1,Qnd!C24&lt;=0)</f>
        <v>0</v>
      </c>
      <c r="H24" t="b">
        <f t="shared" si="8"/>
        <v>0</v>
      </c>
      <c r="I24" t="b">
        <f t="shared" si="9"/>
        <v>0</v>
      </c>
      <c r="J24">
        <f t="shared" si="10"/>
        <v>0.99999999997093381</v>
      </c>
      <c r="K24">
        <v>1</v>
      </c>
      <c r="L24">
        <f t="shared" si="11"/>
        <v>0.91528641974701597</v>
      </c>
      <c r="M24">
        <v>1</v>
      </c>
      <c r="N24" t="e">
        <f>MATCH(TRUE,F24:I24,0)</f>
        <v>#N/A</v>
      </c>
      <c r="P24">
        <v>8</v>
      </c>
    </row>
    <row r="25" spans="1:19" ht="17" x14ac:dyDescent="0.25">
      <c r="A25" s="107" t="s">
        <v>426</v>
      </c>
      <c r="B25" s="55">
        <f t="shared" si="7"/>
        <v>1</v>
      </c>
      <c r="C25">
        <f>Qnd!F25/Qnd!C25</f>
        <v>6.5524259335577142</v>
      </c>
      <c r="F25" t="b">
        <f>AND(C25&gt;0,C25&lt;=1,Qnd!C25&gt;0)</f>
        <v>0</v>
      </c>
      <c r="G25" t="b">
        <f>AND(C25&gt;0,C25&lt;=1,Qnd!C25&lt;=0)</f>
        <v>0</v>
      </c>
      <c r="H25" t="b">
        <f t="shared" si="8"/>
        <v>0</v>
      </c>
      <c r="I25" t="b">
        <f t="shared" si="9"/>
        <v>0</v>
      </c>
      <c r="J25">
        <f t="shared" si="10"/>
        <v>0.9999999987197995</v>
      </c>
      <c r="K25">
        <v>1</v>
      </c>
      <c r="L25">
        <f t="shared" si="11"/>
        <v>0.91528641974701597</v>
      </c>
      <c r="M25">
        <v>1</v>
      </c>
      <c r="N25" t="e">
        <f t="shared" si="12"/>
        <v>#N/A</v>
      </c>
      <c r="P25">
        <v>9</v>
      </c>
    </row>
    <row r="26" spans="1:19" ht="17" x14ac:dyDescent="0.25">
      <c r="A26" s="107" t="s">
        <v>427</v>
      </c>
      <c r="B26" s="55">
        <f t="shared" si="7"/>
        <v>1</v>
      </c>
      <c r="C26">
        <f>Qnd!F26/Qnd!C26</f>
        <v>2.3366181215219131</v>
      </c>
      <c r="F26" t="b">
        <f>AND(C26&gt;0,C26&lt;=1,Qnd!C26&gt;0)</f>
        <v>0</v>
      </c>
      <c r="G26" t="b">
        <f>AND(C26&gt;0,C26&lt;=1,Qnd!C26&lt;=0)</f>
        <v>0</v>
      </c>
      <c r="H26" t="b">
        <f t="shared" si="8"/>
        <v>0</v>
      </c>
      <c r="I26" t="b">
        <f t="shared" si="9"/>
        <v>0</v>
      </c>
      <c r="J26">
        <f t="shared" si="10"/>
        <v>0.99994042842785313</v>
      </c>
      <c r="K26">
        <v>1</v>
      </c>
      <c r="L26">
        <f t="shared" si="11"/>
        <v>0.91528641974701597</v>
      </c>
      <c r="M26">
        <v>1</v>
      </c>
      <c r="N26" t="e">
        <f t="shared" si="12"/>
        <v>#N/A</v>
      </c>
      <c r="P26">
        <v>10</v>
      </c>
    </row>
    <row r="27" spans="1:19" ht="17" x14ac:dyDescent="0.25">
      <c r="A27" s="107" t="s">
        <v>428</v>
      </c>
      <c r="B27" s="55">
        <f t="shared" si="7"/>
        <v>1</v>
      </c>
      <c r="C27">
        <f>Qnd!F27/Qnd!C27</f>
        <v>1.1387518621958335</v>
      </c>
      <c r="F27" t="b">
        <f>AND(C27&gt;0,C27&lt;=1,Qnd!C27&gt;0)</f>
        <v>0</v>
      </c>
      <c r="G27" t="b">
        <f>AND(C27&gt;0,C27&lt;=1,Qnd!C27&lt;=0)</f>
        <v>0</v>
      </c>
      <c r="H27" t="b">
        <f t="shared" si="8"/>
        <v>0</v>
      </c>
      <c r="I27" t="b">
        <f t="shared" si="9"/>
        <v>0</v>
      </c>
      <c r="J27">
        <f t="shared" si="10"/>
        <v>0.96183638719666431</v>
      </c>
      <c r="K27">
        <v>1</v>
      </c>
      <c r="L27">
        <f t="shared" si="11"/>
        <v>0.91528641974701597</v>
      </c>
      <c r="M27">
        <v>1</v>
      </c>
      <c r="N27" t="e">
        <f t="shared" si="12"/>
        <v>#N/A</v>
      </c>
      <c r="P27">
        <v>11</v>
      </c>
    </row>
    <row r="28" spans="1:19" ht="17" x14ac:dyDescent="0.25">
      <c r="A28" s="107" t="s">
        <v>429</v>
      </c>
      <c r="B28" s="55">
        <f t="shared" si="7"/>
        <v>0.66718180554539042</v>
      </c>
      <c r="C28">
        <f>Qnd!F28/Qnd!C28</f>
        <v>0.67013393061849891</v>
      </c>
      <c r="F28" t="b">
        <f>AND(C28&gt;0,C28&lt;=1,Qnd!C28&gt;0)</f>
        <v>1</v>
      </c>
      <c r="G28" t="b">
        <f>AND(C28&gt;0,C28&lt;=1,Qnd!C28&lt;=0)</f>
        <v>0</v>
      </c>
      <c r="H28" t="b">
        <f t="shared" si="8"/>
        <v>0</v>
      </c>
      <c r="I28" t="b">
        <f t="shared" si="9"/>
        <v>0</v>
      </c>
      <c r="J28">
        <f t="shared" si="10"/>
        <v>0.66718180554539042</v>
      </c>
      <c r="K28">
        <v>1</v>
      </c>
      <c r="L28">
        <f t="shared" si="11"/>
        <v>0.91528641974701597</v>
      </c>
      <c r="M28">
        <v>1</v>
      </c>
      <c r="N28">
        <f t="shared" si="12"/>
        <v>1</v>
      </c>
      <c r="P28">
        <v>12</v>
      </c>
    </row>
    <row r="29" spans="1:19" ht="17" x14ac:dyDescent="0.25">
      <c r="A29" s="107" t="s">
        <v>430</v>
      </c>
      <c r="B29" s="55">
        <f t="shared" si="7"/>
        <v>0.5288429036510367</v>
      </c>
      <c r="C29">
        <f>Qnd!F29/Qnd!C29</f>
        <v>0.52909974772907431</v>
      </c>
      <c r="F29" t="b">
        <f>AND(C29&gt;0,C29&lt;=1,Qnd!C29&gt;0)</f>
        <v>1</v>
      </c>
      <c r="G29" t="b">
        <f>AND(C29&gt;0,C29&lt;=1,Qnd!C29&lt;=0)</f>
        <v>0</v>
      </c>
      <c r="H29" t="b">
        <f t="shared" si="8"/>
        <v>0</v>
      </c>
      <c r="I29" t="b">
        <f t="shared" si="9"/>
        <v>0</v>
      </c>
      <c r="J29">
        <f t="shared" si="10"/>
        <v>0.5288429036510367</v>
      </c>
      <c r="K29">
        <v>1</v>
      </c>
      <c r="L29">
        <f t="shared" si="11"/>
        <v>0.91528641974701597</v>
      </c>
      <c r="M29">
        <v>1</v>
      </c>
      <c r="N29">
        <f t="shared" si="12"/>
        <v>1</v>
      </c>
      <c r="P29">
        <v>13</v>
      </c>
    </row>
  </sheetData>
  <mergeCells count="20">
    <mergeCell ref="S4:T5"/>
    <mergeCell ref="U4:U5"/>
    <mergeCell ref="V4:AE5"/>
    <mergeCell ref="S1:T1"/>
    <mergeCell ref="V1:AE1"/>
    <mergeCell ref="S2:T3"/>
    <mergeCell ref="U2:U3"/>
    <mergeCell ref="V2:AE3"/>
    <mergeCell ref="S6:T7"/>
    <mergeCell ref="U6:U7"/>
    <mergeCell ref="V6:AE7"/>
    <mergeCell ref="S8:T9"/>
    <mergeCell ref="U8:U9"/>
    <mergeCell ref="V8:AE9"/>
    <mergeCell ref="S10:T11"/>
    <mergeCell ref="U10:U11"/>
    <mergeCell ref="V10:AE11"/>
    <mergeCell ref="S12:T13"/>
    <mergeCell ref="U12:U13"/>
    <mergeCell ref="V12:AE13"/>
  </mergeCells>
  <phoneticPr fontId="5" type="noConversion"/>
  <dataValidations count="1">
    <dataValidation type="list" allowBlank="1" showInputMessage="1" showErrorMessage="1" sqref="S12" xr:uid="{6850E499-A84F-4E3C-8A14-B66249684DE4}">
      <formula1>$S$15:$S$19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6A39-5DE5-4562-8801-B9451B46B269}">
  <sheetPr>
    <tabColor theme="9"/>
  </sheetPr>
  <dimension ref="A1:W57"/>
  <sheetViews>
    <sheetView zoomScale="112" workbookViewId="0">
      <selection activeCell="U8" sqref="U8"/>
    </sheetView>
  </sheetViews>
  <sheetFormatPr baseColWidth="10" defaultColWidth="8.83203125" defaultRowHeight="15" x14ac:dyDescent="0.2"/>
  <cols>
    <col min="1" max="14" width="9.1640625" customWidth="1"/>
  </cols>
  <sheetData>
    <row r="1" spans="1:23" ht="17" x14ac:dyDescent="0.25">
      <c r="A1" t="s">
        <v>330</v>
      </c>
      <c r="B1" t="s">
        <v>349</v>
      </c>
      <c r="C1" t="s">
        <v>350</v>
      </c>
      <c r="D1" t="s">
        <v>351</v>
      </c>
      <c r="E1" t="s">
        <v>620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</row>
    <row r="2" spans="1:23" x14ac:dyDescent="0.2">
      <c r="A2" s="55">
        <f>B2+C2</f>
        <v>52066.031987479037</v>
      </c>
      <c r="B2" s="3">
        <f>D2</f>
        <v>44776.787509231974</v>
      </c>
      <c r="C2" s="3">
        <f>B2*(1-$B$16)/$B$16</f>
        <v>7289.2444782470657</v>
      </c>
      <c r="D2" s="3">
        <f>E2+F2</f>
        <v>44776.787509231974</v>
      </c>
      <c r="E2" s="3">
        <f>G2+(H2-J2)</f>
        <v>3706.9811332998197</v>
      </c>
      <c r="F2" s="3">
        <f>K2</f>
        <v>41069.806375932152</v>
      </c>
      <c r="G2" s="3">
        <f>SUM(K20:N20)</f>
        <v>1782.6114087897859</v>
      </c>
      <c r="H2" s="3">
        <f>SUM(T20:W20)</f>
        <v>19151.708646248364</v>
      </c>
      <c r="I2" s="55">
        <f>ηgn!B2</f>
        <v>0.99946631626364069</v>
      </c>
      <c r="J2" s="3">
        <f>H2*0.9*I2</f>
        <v>17227.33892173833</v>
      </c>
      <c r="K2" s="3">
        <f>L2+M2</f>
        <v>41069.806375932152</v>
      </c>
      <c r="L2" s="3">
        <f>N2</f>
        <v>32855.845100745719</v>
      </c>
      <c r="M2" s="3">
        <f>((($B$18*$B$20*$B$24)/$B$26)-1)*L2</f>
        <v>8213.9612751864297</v>
      </c>
      <c r="N2" s="118">
        <f>Qnd!B2*('QH,use'!S20/Qtr!E2)</f>
        <v>32855.845100745719</v>
      </c>
      <c r="T2" s="113"/>
    </row>
    <row r="3" spans="1:23" x14ac:dyDescent="0.2">
      <c r="A3" s="55">
        <f t="shared" ref="A3:A13" si="0">B3+C3</f>
        <v>39575.487585397321</v>
      </c>
      <c r="B3" s="3">
        <f t="shared" ref="B3:B13" si="1">D3</f>
        <v>34034.919323441696</v>
      </c>
      <c r="C3" s="3">
        <f t="shared" ref="C3:C12" si="2">B3*(1-$B$16)/$B$16</f>
        <v>5540.5682619556255</v>
      </c>
      <c r="D3" s="3">
        <f t="shared" ref="D3:D13" si="3">E3+F3</f>
        <v>34034.919323441696</v>
      </c>
      <c r="E3" s="3">
        <f t="shared" ref="E3:E13" si="4">G3+(H3-J3)</f>
        <v>3276.5261484390039</v>
      </c>
      <c r="F3" s="3">
        <f t="shared" ref="F3:F13" si="5">K3</f>
        <v>30758.39317500269</v>
      </c>
      <c r="G3" s="3">
        <f t="shared" ref="G3:G13" si="6">SUM(K21:N21)</f>
        <v>1571.102194286</v>
      </c>
      <c r="H3" s="3">
        <f>SUM(T21:W21)</f>
        <v>16742.548250406002</v>
      </c>
      <c r="I3" s="55">
        <f>ηgn!B3</f>
        <v>0.9979314758325627</v>
      </c>
      <c r="J3" s="3">
        <f>H3*0.9*I3</f>
        <v>15037.124296252998</v>
      </c>
      <c r="K3" s="3">
        <f t="shared" ref="K3:K13" si="7">L3+M3</f>
        <v>30758.39317500269</v>
      </c>
      <c r="L3" s="3">
        <f t="shared" ref="L3:L13" si="8">N3</f>
        <v>24606.714540002151</v>
      </c>
      <c r="M3" s="3">
        <f t="shared" ref="M3:M13" si="9">((($B$18*$B$20*$B$24)/$B$26)-1)*L3</f>
        <v>6151.6786350005377</v>
      </c>
      <c r="N3" s="118">
        <f>Qnd!B3*('QH,use'!S21/Qtr!E3)</f>
        <v>24606.714540002151</v>
      </c>
      <c r="T3" s="113"/>
    </row>
    <row r="4" spans="1:23" x14ac:dyDescent="0.2">
      <c r="A4" s="55">
        <f t="shared" si="0"/>
        <v>23210.919865900276</v>
      </c>
      <c r="B4" s="3">
        <f t="shared" si="1"/>
        <v>19961.391084674236</v>
      </c>
      <c r="C4" s="3">
        <f t="shared" si="2"/>
        <v>3249.528781226039</v>
      </c>
      <c r="D4" s="3">
        <f t="shared" si="3"/>
        <v>19961.391084674236</v>
      </c>
      <c r="E4" s="3">
        <f t="shared" si="4"/>
        <v>3177.5948076377308</v>
      </c>
      <c r="F4" s="3">
        <f t="shared" si="5"/>
        <v>16783.796277036505</v>
      </c>
      <c r="G4" s="3">
        <f t="shared" si="6"/>
        <v>1464.1822392735714</v>
      </c>
      <c r="H4" s="3">
        <f>SUM(T22:W22)</f>
        <v>14613.753585490718</v>
      </c>
      <c r="I4" s="55">
        <f>ηgn!B4</f>
        <v>0.9808371379330616</v>
      </c>
      <c r="J4" s="3">
        <f>H4*0.9*I4</f>
        <v>12900.341017126559</v>
      </c>
      <c r="K4" s="3">
        <f t="shared" si="7"/>
        <v>16783.796277036505</v>
      </c>
      <c r="L4" s="3">
        <f t="shared" si="8"/>
        <v>13427.037021629203</v>
      </c>
      <c r="M4" s="3">
        <f t="shared" si="9"/>
        <v>3356.7592554073008</v>
      </c>
      <c r="N4" s="118">
        <f>Qnd!B4*('QH,use'!S22/Qtr!E4)</f>
        <v>13427.037021629203</v>
      </c>
      <c r="T4" s="113"/>
    </row>
    <row r="5" spans="1:23" x14ac:dyDescent="0.2">
      <c r="A5" s="55">
        <f t="shared" si="0"/>
        <v>1842.6740337241399</v>
      </c>
      <c r="B5" s="3">
        <f t="shared" si="1"/>
        <v>1584.6996690027604</v>
      </c>
      <c r="C5" s="3">
        <f t="shared" si="2"/>
        <v>257.97436472137963</v>
      </c>
      <c r="D5" s="3">
        <f t="shared" si="3"/>
        <v>1584.6996690027604</v>
      </c>
      <c r="E5" s="3">
        <f t="shared" si="4"/>
        <v>1327.1676294781764</v>
      </c>
      <c r="F5" s="3">
        <f t="shared" si="5"/>
        <v>257.53203952458409</v>
      </c>
      <c r="G5" s="3">
        <f t="shared" si="6"/>
        <v>347.18939063285723</v>
      </c>
      <c r="H5" s="3">
        <f t="shared" ref="H5:H13" si="10">SUM(T23:W23)</f>
        <v>2729.2239293785724</v>
      </c>
      <c r="I5" s="55">
        <f>ηgn!B5</f>
        <v>0.71214615330493347</v>
      </c>
      <c r="J5" s="3">
        <f>H5*0.9*I5</f>
        <v>1749.2456905332531</v>
      </c>
      <c r="K5" s="3">
        <f t="shared" si="7"/>
        <v>257.53203952458409</v>
      </c>
      <c r="L5" s="3">
        <f t="shared" si="8"/>
        <v>206.02563161966725</v>
      </c>
      <c r="M5" s="3">
        <f t="shared" si="9"/>
        <v>51.506407904916813</v>
      </c>
      <c r="N5" s="118">
        <f>Qnd!B5*('QH,use'!S23/Qtr!E5)</f>
        <v>206.02563161966725</v>
      </c>
      <c r="T5" s="113"/>
    </row>
    <row r="6" spans="1:23" x14ac:dyDescent="0.2">
      <c r="A6" s="55">
        <f t="shared" si="0"/>
        <v>0</v>
      </c>
      <c r="B6" s="3">
        <f t="shared" si="1"/>
        <v>0</v>
      </c>
      <c r="C6" s="3">
        <f t="shared" si="2"/>
        <v>0</v>
      </c>
      <c r="D6" s="3">
        <f t="shared" si="3"/>
        <v>0</v>
      </c>
      <c r="E6" s="3">
        <f t="shared" si="4"/>
        <v>0</v>
      </c>
      <c r="F6" s="3">
        <f t="shared" si="5"/>
        <v>0</v>
      </c>
      <c r="G6" s="3">
        <f t="shared" si="6"/>
        <v>0</v>
      </c>
      <c r="H6" s="3">
        <f>SUM(T24:W24)</f>
        <v>0</v>
      </c>
      <c r="I6" s="55">
        <f>ηgn!B6</f>
        <v>0.23332460271985689</v>
      </c>
      <c r="J6" s="3">
        <f t="shared" ref="J6:J12" si="11">H6*0.9*I6</f>
        <v>0</v>
      </c>
      <c r="K6" s="3">
        <f t="shared" si="7"/>
        <v>0</v>
      </c>
      <c r="L6" s="3">
        <f t="shared" si="8"/>
        <v>0</v>
      </c>
      <c r="M6" s="3">
        <f t="shared" si="9"/>
        <v>0</v>
      </c>
      <c r="N6" s="118">
        <f>Qnd!B6*('QH,use'!S24/Qtr!E6)</f>
        <v>0</v>
      </c>
      <c r="T6" s="113"/>
    </row>
    <row r="7" spans="1:23" x14ac:dyDescent="0.2">
      <c r="A7" s="55">
        <f t="shared" si="0"/>
        <v>0</v>
      </c>
      <c r="B7" s="3">
        <f t="shared" si="1"/>
        <v>0</v>
      </c>
      <c r="C7" s="3">
        <f t="shared" si="2"/>
        <v>0</v>
      </c>
      <c r="D7" s="3">
        <f t="shared" si="3"/>
        <v>0</v>
      </c>
      <c r="E7" s="3">
        <f t="shared" si="4"/>
        <v>0</v>
      </c>
      <c r="F7" s="3">
        <f t="shared" si="5"/>
        <v>0</v>
      </c>
      <c r="G7" s="3">
        <f t="shared" si="6"/>
        <v>0</v>
      </c>
      <c r="H7" s="3">
        <f t="shared" si="10"/>
        <v>0</v>
      </c>
      <c r="I7" s="55">
        <f>ηgn!B7</f>
        <v>6.5392662849519632E-3</v>
      </c>
      <c r="J7" s="3">
        <f t="shared" si="11"/>
        <v>0</v>
      </c>
      <c r="K7" s="3">
        <f t="shared" si="7"/>
        <v>0</v>
      </c>
      <c r="L7" s="3">
        <f t="shared" si="8"/>
        <v>0</v>
      </c>
      <c r="M7" s="3">
        <f t="shared" si="9"/>
        <v>0</v>
      </c>
      <c r="N7" s="118">
        <f>Qnd!B7*('QH,use'!S25/Qtr!E7)</f>
        <v>0</v>
      </c>
      <c r="R7" t="s">
        <v>361</v>
      </c>
      <c r="T7" s="113" t="s">
        <v>362</v>
      </c>
      <c r="U7" s="75">
        <v>14.5</v>
      </c>
    </row>
    <row r="8" spans="1:23" x14ac:dyDescent="0.2">
      <c r="A8" s="55">
        <f t="shared" si="0"/>
        <v>0</v>
      </c>
      <c r="B8" s="3">
        <f t="shared" si="1"/>
        <v>0</v>
      </c>
      <c r="C8" s="3">
        <f t="shared" si="2"/>
        <v>0</v>
      </c>
      <c r="D8" s="3">
        <f t="shared" si="3"/>
        <v>0</v>
      </c>
      <c r="E8" s="3">
        <f t="shared" si="4"/>
        <v>0</v>
      </c>
      <c r="F8" s="3">
        <f t="shared" si="5"/>
        <v>0</v>
      </c>
      <c r="G8" s="3">
        <f t="shared" si="6"/>
        <v>0</v>
      </c>
      <c r="H8" s="3">
        <f t="shared" si="10"/>
        <v>0</v>
      </c>
      <c r="I8" s="55">
        <f>ηgn!B8</f>
        <v>-0.11205851874008187</v>
      </c>
      <c r="J8" s="3">
        <f t="shared" si="11"/>
        <v>0</v>
      </c>
      <c r="K8" s="3">
        <f t="shared" si="7"/>
        <v>0</v>
      </c>
      <c r="L8" s="3">
        <f t="shared" si="8"/>
        <v>0</v>
      </c>
      <c r="M8" s="3">
        <f t="shared" si="9"/>
        <v>0</v>
      </c>
      <c r="N8" s="118">
        <f>Qnd!B8*('QH,use'!S26/Qtr!E8)</f>
        <v>0</v>
      </c>
      <c r="R8" t="s">
        <v>7</v>
      </c>
      <c r="T8" s="113" t="s">
        <v>363</v>
      </c>
      <c r="U8" s="75">
        <v>44.3</v>
      </c>
    </row>
    <row r="9" spans="1:23" x14ac:dyDescent="0.2">
      <c r="A9" s="55">
        <f t="shared" si="0"/>
        <v>0</v>
      </c>
      <c r="B9" s="3">
        <f t="shared" si="1"/>
        <v>0</v>
      </c>
      <c r="C9" s="3">
        <f t="shared" si="2"/>
        <v>0</v>
      </c>
      <c r="D9" s="3">
        <f t="shared" si="3"/>
        <v>0</v>
      </c>
      <c r="E9" s="3">
        <f t="shared" si="4"/>
        <v>0</v>
      </c>
      <c r="F9" s="3">
        <f t="shared" si="5"/>
        <v>0</v>
      </c>
      <c r="G9" s="3">
        <f t="shared" si="6"/>
        <v>0</v>
      </c>
      <c r="H9" s="3">
        <f t="shared" si="10"/>
        <v>0</v>
      </c>
      <c r="I9" s="55">
        <f>ηgn!B9</f>
        <v>-4.7868320549488343E-2</v>
      </c>
      <c r="J9" s="3">
        <f t="shared" si="11"/>
        <v>0</v>
      </c>
      <c r="K9" s="3">
        <f t="shared" si="7"/>
        <v>0</v>
      </c>
      <c r="L9" s="3">
        <f t="shared" si="8"/>
        <v>0</v>
      </c>
      <c r="M9" s="3">
        <f t="shared" si="9"/>
        <v>0</v>
      </c>
      <c r="N9" s="118">
        <f>Qnd!B9*('QH,use'!S27/Qtr!E9)</f>
        <v>0</v>
      </c>
      <c r="R9" t="s">
        <v>364</v>
      </c>
      <c r="T9" s="113" t="s">
        <v>365</v>
      </c>
      <c r="U9">
        <f>ROUND(areasAndVolumes[[#Totals],[Висота]]/areasAndVolumes[[#Totals],[Кількість]],2)</f>
        <v>2.97</v>
      </c>
    </row>
    <row r="10" spans="1:23" x14ac:dyDescent="0.2">
      <c r="A10" s="55">
        <f t="shared" si="0"/>
        <v>0</v>
      </c>
      <c r="B10" s="3">
        <f t="shared" si="1"/>
        <v>0</v>
      </c>
      <c r="C10" s="3">
        <f t="shared" si="2"/>
        <v>0</v>
      </c>
      <c r="D10" s="3">
        <f t="shared" si="3"/>
        <v>0</v>
      </c>
      <c r="E10" s="3">
        <f t="shared" si="4"/>
        <v>0</v>
      </c>
      <c r="F10" s="3">
        <f t="shared" si="5"/>
        <v>0</v>
      </c>
      <c r="G10" s="3">
        <f t="shared" si="6"/>
        <v>0</v>
      </c>
      <c r="H10" s="3">
        <f t="shared" si="10"/>
        <v>0</v>
      </c>
      <c r="I10" s="55">
        <f>ηgn!B10</f>
        <v>0.36046280093581906</v>
      </c>
      <c r="J10" s="3">
        <f t="shared" si="11"/>
        <v>0</v>
      </c>
      <c r="K10" s="3">
        <f t="shared" si="7"/>
        <v>0</v>
      </c>
      <c r="L10" s="3">
        <f t="shared" si="8"/>
        <v>0</v>
      </c>
      <c r="M10" s="3">
        <f t="shared" si="9"/>
        <v>0</v>
      </c>
      <c r="N10" s="118">
        <f>Qnd!B10*('QH,use'!S28/Qtr!E10)</f>
        <v>0</v>
      </c>
      <c r="R10" t="s">
        <v>366</v>
      </c>
      <c r="T10" s="113" t="s">
        <v>367</v>
      </c>
      <c r="U10">
        <f>areasAndVolumes[[#Totals],[Кількість]]</f>
        <v>9</v>
      </c>
    </row>
    <row r="11" spans="1:23" x14ac:dyDescent="0.2">
      <c r="A11" s="55">
        <f t="shared" si="0"/>
        <v>3962.4160809174787</v>
      </c>
      <c r="B11" s="3">
        <f t="shared" si="1"/>
        <v>3407.6778295890317</v>
      </c>
      <c r="C11" s="3">
        <f t="shared" si="2"/>
        <v>554.73825132844706</v>
      </c>
      <c r="D11" s="3">
        <f t="shared" si="3"/>
        <v>3407.6778295890317</v>
      </c>
      <c r="E11" s="3">
        <f t="shared" si="4"/>
        <v>1633.3007032949295</v>
      </c>
      <c r="F11" s="3">
        <f t="shared" si="5"/>
        <v>1774.3771262941023</v>
      </c>
      <c r="G11" s="3">
        <f t="shared" si="6"/>
        <v>580.96095946321429</v>
      </c>
      <c r="H11" s="3">
        <f t="shared" si="10"/>
        <v>4850.5752563046453</v>
      </c>
      <c r="I11" s="55">
        <f>ηgn!B11</f>
        <v>0.87005385083760878</v>
      </c>
      <c r="J11" s="3">
        <f t="shared" si="11"/>
        <v>3798.2355124729302</v>
      </c>
      <c r="K11" s="3">
        <f t="shared" si="7"/>
        <v>1774.3771262941023</v>
      </c>
      <c r="L11" s="3">
        <f t="shared" si="8"/>
        <v>1419.5017010352817</v>
      </c>
      <c r="M11" s="3">
        <f t="shared" si="9"/>
        <v>354.87542525882043</v>
      </c>
      <c r="N11" s="118">
        <f>Qnd!B11*('QH,use'!S29/Qtr!E11)</f>
        <v>1419.5017010352817</v>
      </c>
      <c r="T11" s="113"/>
    </row>
    <row r="12" spans="1:23" x14ac:dyDescent="0.2">
      <c r="A12" s="55">
        <f t="shared" si="0"/>
        <v>28382.389198368037</v>
      </c>
      <c r="B12" s="3">
        <f t="shared" si="1"/>
        <v>24408.854710596512</v>
      </c>
      <c r="C12" s="3">
        <f t="shared" si="2"/>
        <v>3973.5344877715256</v>
      </c>
      <c r="D12" s="3">
        <f t="shared" si="3"/>
        <v>24408.854710596512</v>
      </c>
      <c r="E12" s="3">
        <f t="shared" si="4"/>
        <v>2760.7657274097201</v>
      </c>
      <c r="F12" s="3">
        <f t="shared" si="5"/>
        <v>21648.08898318679</v>
      </c>
      <c r="G12" s="3">
        <f t="shared" si="6"/>
        <v>1364.7205099285713</v>
      </c>
      <c r="H12" s="3">
        <f t="shared" si="10"/>
        <v>13398.008380585714</v>
      </c>
      <c r="I12" s="55">
        <f>ηgn!B12</f>
        <v>0.99533559368386937</v>
      </c>
      <c r="J12" s="3">
        <f t="shared" si="11"/>
        <v>12001.963163104565</v>
      </c>
      <c r="K12" s="3">
        <f t="shared" si="7"/>
        <v>21648.08898318679</v>
      </c>
      <c r="L12" s="3">
        <f t="shared" si="8"/>
        <v>17318.471186549432</v>
      </c>
      <c r="M12" s="3">
        <f t="shared" si="9"/>
        <v>4329.617796637358</v>
      </c>
      <c r="N12" s="118">
        <f>Qnd!B12*('QH,use'!S30/Qtr!E12)</f>
        <v>17318.471186549432</v>
      </c>
      <c r="T12" s="113"/>
    </row>
    <row r="13" spans="1:23" x14ac:dyDescent="0.2">
      <c r="A13" s="55">
        <f t="shared" si="0"/>
        <v>46102.313752423564</v>
      </c>
      <c r="B13" s="3">
        <f t="shared" si="1"/>
        <v>39647.989827084268</v>
      </c>
      <c r="C13" s="3">
        <f>B13*(1-$B$16)/$B$16</f>
        <v>6454.3239253392994</v>
      </c>
      <c r="D13" s="3">
        <f t="shared" si="3"/>
        <v>39647.989827084268</v>
      </c>
      <c r="E13" s="3">
        <f t="shared" si="4"/>
        <v>3421.5500311720089</v>
      </c>
      <c r="F13" s="3">
        <f t="shared" si="5"/>
        <v>36226.439795912258</v>
      </c>
      <c r="G13" s="3">
        <f t="shared" si="6"/>
        <v>1663.8751082922142</v>
      </c>
      <c r="H13" s="3">
        <f t="shared" si="10"/>
        <v>17459.589810033649</v>
      </c>
      <c r="I13" s="55">
        <f>ηgn!B13</f>
        <v>0.99925440899026441</v>
      </c>
      <c r="J13" s="3">
        <f>H13*0.9*I13</f>
        <v>15701.914887153855</v>
      </c>
      <c r="K13" s="3">
        <f t="shared" si="7"/>
        <v>36226.439795912258</v>
      </c>
      <c r="L13" s="3">
        <f t="shared" si="8"/>
        <v>28981.151836729809</v>
      </c>
      <c r="M13" s="3">
        <f t="shared" si="9"/>
        <v>7245.2879591824521</v>
      </c>
      <c r="N13" s="118">
        <f>Qnd!B13*('QH,use'!S31/Qtr!E13)</f>
        <v>28981.151836729809</v>
      </c>
    </row>
    <row r="14" spans="1:23" x14ac:dyDescent="0.2">
      <c r="I14" s="55"/>
    </row>
    <row r="15" spans="1:23" ht="16" thickBot="1" x14ac:dyDescent="0.25"/>
    <row r="16" spans="1:23" ht="17" x14ac:dyDescent="0.25">
      <c r="A16" t="s">
        <v>368</v>
      </c>
      <c r="B16" s="119">
        <v>0.86</v>
      </c>
      <c r="G16" s="68" t="s">
        <v>353</v>
      </c>
      <c r="H16" s="69"/>
      <c r="I16" s="69"/>
      <c r="J16" s="69"/>
      <c r="K16" s="69" t="s">
        <v>369</v>
      </c>
      <c r="L16" s="69" t="s">
        <v>370</v>
      </c>
      <c r="M16" s="69" t="s">
        <v>371</v>
      </c>
      <c r="N16" s="70" t="s">
        <v>372</v>
      </c>
      <c r="P16" s="68" t="s">
        <v>354</v>
      </c>
      <c r="Q16" s="69"/>
      <c r="R16" s="69"/>
      <c r="S16" s="69"/>
      <c r="T16" s="69" t="s">
        <v>369</v>
      </c>
      <c r="U16" s="69" t="s">
        <v>370</v>
      </c>
      <c r="V16" s="69" t="s">
        <v>371</v>
      </c>
      <c r="W16" s="70" t="s">
        <v>372</v>
      </c>
    </row>
    <row r="17" spans="1:23" ht="17" x14ac:dyDescent="0.25">
      <c r="G17" s="19"/>
      <c r="J17" t="s">
        <v>373</v>
      </c>
      <c r="K17" s="75">
        <v>2.0000000000000001E-4</v>
      </c>
      <c r="L17" s="75"/>
      <c r="M17" s="75"/>
      <c r="N17" s="27"/>
      <c r="P17" s="19"/>
      <c r="S17" t="s">
        <v>373</v>
      </c>
      <c r="T17" s="75">
        <v>0</v>
      </c>
      <c r="U17" s="75">
        <v>2.9999999999999997E-4</v>
      </c>
      <c r="V17" s="75">
        <v>4.0000000000000002E-4</v>
      </c>
      <c r="W17" s="27"/>
    </row>
    <row r="18" spans="1:23" ht="17" x14ac:dyDescent="0.25">
      <c r="A18" t="s">
        <v>374</v>
      </c>
      <c r="B18" s="75">
        <v>1</v>
      </c>
      <c r="D18" t="s">
        <v>621</v>
      </c>
      <c r="E18" t="s">
        <v>622</v>
      </c>
      <c r="F18" t="s">
        <v>623</v>
      </c>
      <c r="G18" s="19"/>
      <c r="J18" t="s">
        <v>375</v>
      </c>
      <c r="K18" s="75">
        <f>2*U7+0.01625*U7*(U8^2)</f>
        <v>491.41170624999995</v>
      </c>
      <c r="L18" s="75"/>
      <c r="M18" s="75"/>
      <c r="N18" s="27"/>
      <c r="P18" s="19"/>
      <c r="S18" t="s">
        <v>375</v>
      </c>
      <c r="T18">
        <f>2*U7+0.01625*U7*(U8^2)</f>
        <v>491.41170624999995</v>
      </c>
      <c r="U18">
        <f>0.025*U7*U8*U9*U10</f>
        <v>429.25038749999999</v>
      </c>
      <c r="V18">
        <f>0.55*U7*U8*U10</f>
        <v>3179.6325000000002</v>
      </c>
      <c r="W18" s="85"/>
    </row>
    <row r="19" spans="1:23" ht="17" x14ac:dyDescent="0.25">
      <c r="D19">
        <v>55</v>
      </c>
      <c r="E19">
        <v>45</v>
      </c>
      <c r="F19">
        <f>E19+(D19-E19)/2</f>
        <v>50</v>
      </c>
      <c r="G19" s="19"/>
      <c r="H19" t="s">
        <v>376</v>
      </c>
      <c r="I19" t="s">
        <v>377</v>
      </c>
      <c r="J19" t="s">
        <v>378</v>
      </c>
      <c r="N19" s="85"/>
      <c r="P19" s="19"/>
      <c r="Q19" t="s">
        <v>376</v>
      </c>
      <c r="R19" t="s">
        <v>377</v>
      </c>
      <c r="S19" t="s">
        <v>378</v>
      </c>
      <c r="W19" s="85"/>
    </row>
    <row r="20" spans="1:23" ht="17" x14ac:dyDescent="0.25">
      <c r="A20" t="s">
        <v>379</v>
      </c>
      <c r="B20" s="75">
        <v>1</v>
      </c>
      <c r="D20">
        <f>(F19 - Qtr!$C$2) / (-23 - Qtr!$C$2)</f>
        <v>-0.73809523809523814</v>
      </c>
      <c r="E20">
        <f>Qtr!$C$2-D20*Qtr!$C$2</f>
        <v>33.023809523809526</v>
      </c>
      <c r="G20" s="19" t="s">
        <v>380</v>
      </c>
      <c r="H20" s="75">
        <v>13</v>
      </c>
      <c r="I20" s="75">
        <f>$D$20*Qtr!D2+$E$20</f>
        <v>37.378571428571433</v>
      </c>
      <c r="J20" s="75">
        <v>744</v>
      </c>
      <c r="K20">
        <f>K$17*($I20-$H20)*K$18*$J20</f>
        <v>1782.6114087897859</v>
      </c>
      <c r="L20">
        <f t="shared" ref="K20:N31" si="12">L$17*($I20-$H20)*L$18*$J20</f>
        <v>0</v>
      </c>
      <c r="M20">
        <f t="shared" si="12"/>
        <v>0</v>
      </c>
      <c r="N20" s="85">
        <f t="shared" si="12"/>
        <v>0</v>
      </c>
      <c r="P20" s="19" t="s">
        <v>380</v>
      </c>
      <c r="Q20">
        <f>Qtr!C2</f>
        <v>19</v>
      </c>
      <c r="R20" s="75">
        <f>$D$20*Qtr!D2+$E$20</f>
        <v>37.378571428571433</v>
      </c>
      <c r="S20" s="75">
        <v>744</v>
      </c>
      <c r="T20">
        <f>T$17*($R20-$Q20)*T$18*$S20</f>
        <v>0</v>
      </c>
      <c r="U20">
        <f t="shared" ref="T20:W31" si="13">U$17*($R20-$Q20)*U$18*$S20</f>
        <v>1760.8267881340716</v>
      </c>
      <c r="V20">
        <f t="shared" si="13"/>
        <v>17390.881858114291</v>
      </c>
      <c r="W20" s="85">
        <f t="shared" si="13"/>
        <v>0</v>
      </c>
    </row>
    <row r="21" spans="1:23" ht="15" customHeight="1" x14ac:dyDescent="0.2">
      <c r="A21" s="308" t="str">
        <f>VLOOKUP(B20,A37:B39,2,FALSE)</f>
        <v>для постійного теплового режиму</v>
      </c>
      <c r="B21" s="308"/>
      <c r="C21" s="308"/>
      <c r="D21" s="308"/>
      <c r="E21" s="308"/>
      <c r="F21" s="309"/>
      <c r="G21" s="19" t="s">
        <v>381</v>
      </c>
      <c r="H21" s="75">
        <v>13</v>
      </c>
      <c r="I21" s="75">
        <f>$D$20*Qtr!D3+$E$20</f>
        <v>36.788095238095238</v>
      </c>
      <c r="J21" s="75">
        <v>672</v>
      </c>
      <c r="K21">
        <f t="shared" si="12"/>
        <v>1571.102194286</v>
      </c>
      <c r="L21">
        <f t="shared" si="12"/>
        <v>0</v>
      </c>
      <c r="M21">
        <f t="shared" si="12"/>
        <v>0</v>
      </c>
      <c r="N21" s="85">
        <f t="shared" si="12"/>
        <v>0</v>
      </c>
      <c r="P21" s="19" t="s">
        <v>381</v>
      </c>
      <c r="Q21">
        <f>Qtr!C3</f>
        <v>19</v>
      </c>
      <c r="R21" s="75">
        <f>$D$20*Qtr!D3+$E$20</f>
        <v>36.788095238095238</v>
      </c>
      <c r="S21" s="75">
        <v>672</v>
      </c>
      <c r="T21">
        <f t="shared" si="13"/>
        <v>0</v>
      </c>
      <c r="U21">
        <f t="shared" si="13"/>
        <v>1539.3262296059997</v>
      </c>
      <c r="V21">
        <f t="shared" si="13"/>
        <v>15203.222020800002</v>
      </c>
      <c r="W21" s="85">
        <f t="shared" si="13"/>
        <v>0</v>
      </c>
    </row>
    <row r="22" spans="1:23" x14ac:dyDescent="0.2">
      <c r="A22" s="308"/>
      <c r="B22" s="308"/>
      <c r="C22" s="308"/>
      <c r="D22" s="308"/>
      <c r="E22" s="308"/>
      <c r="F22" s="309"/>
      <c r="G22" s="19" t="s">
        <v>382</v>
      </c>
      <c r="H22" s="75">
        <v>13</v>
      </c>
      <c r="I22" s="75">
        <f>$D$20*Qtr!D4+$E$20</f>
        <v>33.023809523809526</v>
      </c>
      <c r="J22" s="75">
        <v>744</v>
      </c>
      <c r="K22">
        <f t="shared" si="12"/>
        <v>1464.1822392735714</v>
      </c>
      <c r="L22">
        <f t="shared" si="12"/>
        <v>0</v>
      </c>
      <c r="M22">
        <f t="shared" si="12"/>
        <v>0</v>
      </c>
      <c r="N22" s="85">
        <f t="shared" si="12"/>
        <v>0</v>
      </c>
      <c r="P22" s="19" t="s">
        <v>382</v>
      </c>
      <c r="Q22">
        <f>Qtr!C4</f>
        <v>19</v>
      </c>
      <c r="R22" s="75">
        <f>$D$20*Qtr!D4+$E$20</f>
        <v>33.023809523809526</v>
      </c>
      <c r="S22" s="75">
        <v>744</v>
      </c>
      <c r="T22">
        <f t="shared" si="13"/>
        <v>0</v>
      </c>
      <c r="U22">
        <f t="shared" si="13"/>
        <v>1343.6027700621428</v>
      </c>
      <c r="V22">
        <f t="shared" si="13"/>
        <v>13270.150815428575</v>
      </c>
      <c r="W22" s="85">
        <f t="shared" si="13"/>
        <v>0</v>
      </c>
    </row>
    <row r="23" spans="1:23" x14ac:dyDescent="0.2">
      <c r="A23" s="115"/>
      <c r="B23" s="115"/>
      <c r="C23" s="115"/>
      <c r="D23" s="115"/>
      <c r="E23" s="115"/>
      <c r="F23" s="115"/>
      <c r="G23" s="19" t="s">
        <v>383</v>
      </c>
      <c r="H23" s="75">
        <v>13</v>
      </c>
      <c r="I23" s="75">
        <f>$D$20*Qtr!D5+$E$20</f>
        <v>26.380952380952383</v>
      </c>
      <c r="J23" s="75">
        <v>264</v>
      </c>
      <c r="K23">
        <f t="shared" si="12"/>
        <v>347.18939063285723</v>
      </c>
      <c r="L23">
        <f t="shared" si="12"/>
        <v>0</v>
      </c>
      <c r="M23">
        <f t="shared" si="12"/>
        <v>0</v>
      </c>
      <c r="N23" s="85">
        <f t="shared" si="12"/>
        <v>0</v>
      </c>
      <c r="P23" s="19" t="s">
        <v>383</v>
      </c>
      <c r="Q23">
        <f>Qtr!C5</f>
        <v>19</v>
      </c>
      <c r="R23" s="75">
        <f>$D$20*Qtr!D5+$E$20</f>
        <v>26.380952380952383</v>
      </c>
      <c r="S23" s="75">
        <v>264</v>
      </c>
      <c r="T23">
        <f t="shared" si="13"/>
        <v>0</v>
      </c>
      <c r="U23">
        <f t="shared" si="13"/>
        <v>250.92751223571432</v>
      </c>
      <c r="V23">
        <f t="shared" si="13"/>
        <v>2478.296417142858</v>
      </c>
      <c r="W23" s="85">
        <f t="shared" si="13"/>
        <v>0</v>
      </c>
    </row>
    <row r="24" spans="1:23" ht="17" x14ac:dyDescent="0.25">
      <c r="A24" t="s">
        <v>384</v>
      </c>
      <c r="B24" s="75">
        <v>1</v>
      </c>
      <c r="G24" s="19" t="s">
        <v>385</v>
      </c>
      <c r="H24" s="75">
        <v>13</v>
      </c>
      <c r="I24" s="75">
        <f>$D$20*Qtr!D6+$E$20</f>
        <v>21.583333333333336</v>
      </c>
      <c r="J24" s="75">
        <v>0</v>
      </c>
      <c r="K24">
        <f t="shared" si="12"/>
        <v>0</v>
      </c>
      <c r="L24">
        <f t="shared" si="12"/>
        <v>0</v>
      </c>
      <c r="M24">
        <f t="shared" si="12"/>
        <v>0</v>
      </c>
      <c r="N24" s="85">
        <f t="shared" si="12"/>
        <v>0</v>
      </c>
      <c r="P24" s="19" t="s">
        <v>385</v>
      </c>
      <c r="Q24">
        <f>Qtr!C6</f>
        <v>19</v>
      </c>
      <c r="R24" s="75">
        <f>$D$20*Qtr!D6+$E$20</f>
        <v>21.583333333333336</v>
      </c>
      <c r="S24" s="75">
        <v>0</v>
      </c>
      <c r="T24">
        <f t="shared" si="13"/>
        <v>0</v>
      </c>
      <c r="U24">
        <f t="shared" si="13"/>
        <v>0</v>
      </c>
      <c r="V24">
        <f t="shared" si="13"/>
        <v>0</v>
      </c>
      <c r="W24" s="85">
        <f t="shared" si="13"/>
        <v>0</v>
      </c>
    </row>
    <row r="25" spans="1:23" x14ac:dyDescent="0.2">
      <c r="G25" s="19" t="s">
        <v>386</v>
      </c>
      <c r="H25" s="75">
        <v>13</v>
      </c>
      <c r="I25" s="75">
        <f>$D$20*Qtr!D7+$E$20</f>
        <v>19.073809523809526</v>
      </c>
      <c r="J25" s="75">
        <v>0</v>
      </c>
      <c r="K25">
        <f t="shared" si="12"/>
        <v>0</v>
      </c>
      <c r="L25">
        <f t="shared" si="12"/>
        <v>0</v>
      </c>
      <c r="M25">
        <f t="shared" si="12"/>
        <v>0</v>
      </c>
      <c r="N25" s="85">
        <f t="shared" si="12"/>
        <v>0</v>
      </c>
      <c r="P25" s="19" t="s">
        <v>386</v>
      </c>
      <c r="Q25">
        <f>Qtr!C7</f>
        <v>19</v>
      </c>
      <c r="R25" s="75">
        <f>$D$20*Qtr!D7+$E$20</f>
        <v>19.073809523809526</v>
      </c>
      <c r="S25" s="75">
        <v>0</v>
      </c>
      <c r="T25">
        <f t="shared" si="13"/>
        <v>0</v>
      </c>
      <c r="U25">
        <f t="shared" si="13"/>
        <v>0</v>
      </c>
      <c r="V25">
        <f t="shared" si="13"/>
        <v>0</v>
      </c>
      <c r="W25" s="85">
        <f t="shared" si="13"/>
        <v>0</v>
      </c>
    </row>
    <row r="26" spans="1:23" ht="17" x14ac:dyDescent="0.25">
      <c r="A26" t="s">
        <v>387</v>
      </c>
      <c r="B26">
        <f>1/(4-(B28+B30+B32))</f>
        <v>0.8</v>
      </c>
      <c r="G26" s="19" t="s">
        <v>388</v>
      </c>
      <c r="H26" s="75">
        <v>13</v>
      </c>
      <c r="I26" s="75">
        <f>$D$20*Qtr!D8+$E$20</f>
        <v>17.745238095238097</v>
      </c>
      <c r="J26" s="75">
        <v>0</v>
      </c>
      <c r="K26">
        <f t="shared" si="12"/>
        <v>0</v>
      </c>
      <c r="L26">
        <f t="shared" si="12"/>
        <v>0</v>
      </c>
      <c r="M26">
        <f t="shared" si="12"/>
        <v>0</v>
      </c>
      <c r="N26" s="85">
        <f t="shared" si="12"/>
        <v>0</v>
      </c>
      <c r="P26" s="19" t="s">
        <v>388</v>
      </c>
      <c r="Q26">
        <f>Qtr!C8</f>
        <v>19</v>
      </c>
      <c r="R26" s="75">
        <f>$D$20*Qtr!D8+$E$20</f>
        <v>17.745238095238097</v>
      </c>
      <c r="S26" s="75">
        <v>0</v>
      </c>
      <c r="T26">
        <f t="shared" si="13"/>
        <v>0</v>
      </c>
      <c r="U26">
        <f t="shared" si="13"/>
        <v>0</v>
      </c>
      <c r="V26">
        <f t="shared" si="13"/>
        <v>0</v>
      </c>
      <c r="W26" s="85">
        <f t="shared" si="13"/>
        <v>0</v>
      </c>
    </row>
    <row r="27" spans="1:23" x14ac:dyDescent="0.2">
      <c r="G27" s="19" t="s">
        <v>389</v>
      </c>
      <c r="H27" s="75">
        <v>13</v>
      </c>
      <c r="I27" s="75">
        <f>$D$20*Qtr!D9+$E$20</f>
        <v>18.483333333333334</v>
      </c>
      <c r="J27" s="75">
        <v>0</v>
      </c>
      <c r="K27">
        <f t="shared" si="12"/>
        <v>0</v>
      </c>
      <c r="L27">
        <f t="shared" si="12"/>
        <v>0</v>
      </c>
      <c r="M27">
        <f t="shared" si="12"/>
        <v>0</v>
      </c>
      <c r="N27" s="85">
        <f t="shared" si="12"/>
        <v>0</v>
      </c>
      <c r="P27" s="19" t="s">
        <v>389</v>
      </c>
      <c r="Q27">
        <f>Qtr!C9</f>
        <v>19</v>
      </c>
      <c r="R27" s="75">
        <f>$D$20*Qtr!D9+$E$20</f>
        <v>18.483333333333334</v>
      </c>
      <c r="S27" s="75">
        <v>0</v>
      </c>
      <c r="T27">
        <f t="shared" si="13"/>
        <v>0</v>
      </c>
      <c r="U27">
        <f t="shared" si="13"/>
        <v>0</v>
      </c>
      <c r="V27">
        <f t="shared" si="13"/>
        <v>0</v>
      </c>
      <c r="W27" s="85">
        <f t="shared" si="13"/>
        <v>0</v>
      </c>
    </row>
    <row r="28" spans="1:23" ht="17" x14ac:dyDescent="0.25">
      <c r="A28" t="s">
        <v>390</v>
      </c>
      <c r="B28" s="75">
        <f>(0.83 + 0.95) / 2</f>
        <v>0.8899999999999999</v>
      </c>
      <c r="G28" s="19" t="s">
        <v>391</v>
      </c>
      <c r="H28" s="75">
        <v>13</v>
      </c>
      <c r="I28" s="75">
        <f>$D$20*Qtr!D10+$E$20</f>
        <v>22.616666666666667</v>
      </c>
      <c r="J28" s="75">
        <v>0</v>
      </c>
      <c r="K28">
        <f t="shared" si="12"/>
        <v>0</v>
      </c>
      <c r="L28">
        <f t="shared" si="12"/>
        <v>0</v>
      </c>
      <c r="M28">
        <f t="shared" si="12"/>
        <v>0</v>
      </c>
      <c r="N28" s="85">
        <f t="shared" si="12"/>
        <v>0</v>
      </c>
      <c r="P28" s="19" t="s">
        <v>391</v>
      </c>
      <c r="Q28">
        <f>Qtr!C10</f>
        <v>19</v>
      </c>
      <c r="R28" s="75">
        <f>$D$20*Qtr!D10+$E$20</f>
        <v>22.616666666666667</v>
      </c>
      <c r="S28" s="75">
        <v>0</v>
      </c>
      <c r="T28">
        <f t="shared" si="13"/>
        <v>0</v>
      </c>
      <c r="U28">
        <f t="shared" si="13"/>
        <v>0</v>
      </c>
      <c r="V28">
        <f t="shared" si="13"/>
        <v>0</v>
      </c>
      <c r="W28" s="85">
        <f t="shared" si="13"/>
        <v>0</v>
      </c>
    </row>
    <row r="29" spans="1:23" x14ac:dyDescent="0.2">
      <c r="G29" s="19" t="s">
        <v>392</v>
      </c>
      <c r="H29" s="75">
        <v>13</v>
      </c>
      <c r="I29" s="75">
        <f>$D$20*Qtr!D11+$E$20</f>
        <v>27.488095238095241</v>
      </c>
      <c r="J29" s="75">
        <v>408</v>
      </c>
      <c r="K29">
        <f t="shared" si="12"/>
        <v>580.96095946321429</v>
      </c>
      <c r="L29">
        <f t="shared" si="12"/>
        <v>0</v>
      </c>
      <c r="M29">
        <f t="shared" si="12"/>
        <v>0</v>
      </c>
      <c r="N29" s="85">
        <f t="shared" si="12"/>
        <v>0</v>
      </c>
      <c r="P29" s="19" t="s">
        <v>392</v>
      </c>
      <c r="Q29">
        <f>Qtr!C11</f>
        <v>19</v>
      </c>
      <c r="R29" s="75">
        <f>$D$20*Qtr!D11+$E$20</f>
        <v>27.488095238095241</v>
      </c>
      <c r="S29" s="75">
        <v>408</v>
      </c>
      <c r="T29">
        <f t="shared" si="13"/>
        <v>0</v>
      </c>
      <c r="U29">
        <f t="shared" si="13"/>
        <v>445.9666240189286</v>
      </c>
      <c r="V29">
        <f t="shared" si="13"/>
        <v>4404.6086322857163</v>
      </c>
      <c r="W29" s="85">
        <f t="shared" si="13"/>
        <v>0</v>
      </c>
    </row>
    <row r="30" spans="1:23" ht="17" x14ac:dyDescent="0.25">
      <c r="A30" t="s">
        <v>393</v>
      </c>
      <c r="B30" s="75">
        <v>0.86</v>
      </c>
      <c r="G30" s="19" t="s">
        <v>394</v>
      </c>
      <c r="H30" s="75">
        <v>13</v>
      </c>
      <c r="I30" s="75">
        <f>$D$20*Qtr!D12+$E$20</f>
        <v>32.285714285714285</v>
      </c>
      <c r="J30" s="75">
        <v>720</v>
      </c>
      <c r="K30">
        <f t="shared" si="12"/>
        <v>1364.7205099285713</v>
      </c>
      <c r="L30">
        <f t="shared" si="12"/>
        <v>0</v>
      </c>
      <c r="M30">
        <f t="shared" si="12"/>
        <v>0</v>
      </c>
      <c r="N30" s="85">
        <f t="shared" si="12"/>
        <v>0</v>
      </c>
      <c r="P30" s="19" t="s">
        <v>394</v>
      </c>
      <c r="Q30">
        <f>Qtr!C12</f>
        <v>19</v>
      </c>
      <c r="R30" s="75">
        <f>$D$20*Qtr!D12+$E$20</f>
        <v>32.285714285714285</v>
      </c>
      <c r="S30" s="75">
        <v>720</v>
      </c>
      <c r="T30">
        <f t="shared" si="13"/>
        <v>0</v>
      </c>
      <c r="U30">
        <f t="shared" si="13"/>
        <v>1231.8259691571427</v>
      </c>
      <c r="V30">
        <f t="shared" si="13"/>
        <v>12166.182411428572</v>
      </c>
      <c r="W30" s="85">
        <f t="shared" si="13"/>
        <v>0</v>
      </c>
    </row>
    <row r="31" spans="1:23" ht="16" thickBot="1" x14ac:dyDescent="0.25">
      <c r="G31" s="49" t="s">
        <v>395</v>
      </c>
      <c r="H31" s="88">
        <v>13</v>
      </c>
      <c r="I31" s="88">
        <f>$D$20*Qtr!D13+$E$20</f>
        <v>35.754761904761907</v>
      </c>
      <c r="J31" s="88">
        <v>744</v>
      </c>
      <c r="K31" s="54">
        <f t="shared" si="12"/>
        <v>1663.8751082922142</v>
      </c>
      <c r="L31" s="54">
        <f t="shared" si="12"/>
        <v>0</v>
      </c>
      <c r="M31" s="54">
        <f t="shared" si="12"/>
        <v>0</v>
      </c>
      <c r="N31" s="116">
        <f t="shared" si="12"/>
        <v>0</v>
      </c>
      <c r="P31" s="49" t="s">
        <v>395</v>
      </c>
      <c r="Q31" s="54">
        <f>Qtr!C13</f>
        <v>19</v>
      </c>
      <c r="R31" s="88">
        <f>$D$20*Qtr!D13+$E$20</f>
        <v>35.754761904761907</v>
      </c>
      <c r="S31" s="88">
        <v>744</v>
      </c>
      <c r="T31" s="54">
        <f t="shared" si="13"/>
        <v>0</v>
      </c>
      <c r="U31" s="54">
        <f t="shared" si="13"/>
        <v>1605.2517305479287</v>
      </c>
      <c r="V31" s="54">
        <f t="shared" si="13"/>
        <v>15854.338079485718</v>
      </c>
      <c r="W31" s="116">
        <f t="shared" si="13"/>
        <v>0</v>
      </c>
    </row>
    <row r="32" spans="1:23" ht="17" x14ac:dyDescent="0.25">
      <c r="A32" t="s">
        <v>396</v>
      </c>
      <c r="B32" s="75">
        <v>1</v>
      </c>
    </row>
    <row r="37" spans="1:2" x14ac:dyDescent="0.2">
      <c r="A37" s="117">
        <v>1</v>
      </c>
      <c r="B37" s="117" t="s">
        <v>397</v>
      </c>
    </row>
    <row r="38" spans="1:2" x14ac:dyDescent="0.2">
      <c r="A38" s="117">
        <v>0.98</v>
      </c>
      <c r="B38" s="117" t="s">
        <v>398</v>
      </c>
    </row>
    <row r="39" spans="1:2" x14ac:dyDescent="0.2">
      <c r="A39" s="117">
        <v>0.97</v>
      </c>
      <c r="B39" s="117" t="s">
        <v>399</v>
      </c>
    </row>
    <row r="57" spans="4:4" x14ac:dyDescent="0.2">
      <c r="D57" s="110"/>
    </row>
  </sheetData>
  <mergeCells count="1">
    <mergeCell ref="A21:F22"/>
  </mergeCells>
  <dataValidations count="1">
    <dataValidation type="list" allowBlank="1" showInputMessage="1" showErrorMessage="1" sqref="B20" xr:uid="{B3963BB0-5492-4082-AD8F-69EB29281319}">
      <formula1>$A$37:$A$39</formula1>
    </dataValidation>
  </dataValidations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E6CB-C089-47F5-B565-5F54808AC133}">
  <sheetPr>
    <tabColor theme="9"/>
  </sheetPr>
  <dimension ref="A1:P36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0.1640625" customWidth="1"/>
    <col min="5" max="5" width="12" bestFit="1" customWidth="1"/>
    <col min="7" max="7" width="10" bestFit="1" customWidth="1"/>
    <col min="8" max="8" width="13.5" customWidth="1"/>
    <col min="9" max="9" width="13" customWidth="1"/>
    <col min="12" max="12" width="11.6640625" customWidth="1"/>
  </cols>
  <sheetData>
    <row r="1" spans="1:16" ht="17" x14ac:dyDescent="0.25">
      <c r="A1" t="s">
        <v>514</v>
      </c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324</v>
      </c>
      <c r="H1" t="s">
        <v>520</v>
      </c>
      <c r="I1" t="s">
        <v>521</v>
      </c>
      <c r="K1" t="s">
        <v>522</v>
      </c>
      <c r="L1" t="s">
        <v>523</v>
      </c>
    </row>
    <row r="2" spans="1:16" x14ac:dyDescent="0.2">
      <c r="A2">
        <f>B2+C2</f>
        <v>19970.413627394471</v>
      </c>
      <c r="B2">
        <f>C2*((1-B16)/B16)</f>
        <v>-27958.579078352264</v>
      </c>
      <c r="C2">
        <f>D2/B18</f>
        <v>47928.992705746736</v>
      </c>
      <c r="D2">
        <f>SUM(E2:E13)/1000+F2</f>
        <v>44573.963216344469</v>
      </c>
      <c r="E2" s="3">
        <f>Qnd!B18*P2</f>
        <v>0</v>
      </c>
      <c r="F2">
        <f>G2*((1-B21)+(1-B23)+(1-B25))</f>
        <v>8334.968731511568</v>
      </c>
      <c r="G2" s="3">
        <f>SUM(E2:E13)/1000</f>
        <v>36238.994484832903</v>
      </c>
      <c r="H2" t="e">
        <f>I2/B27</f>
        <v>#DIV/0!</v>
      </c>
      <c r="I2" t="e">
        <f>SUM(J2:J13)</f>
        <v>#DIV/0!</v>
      </c>
      <c r="J2" t="e">
        <f>(K2*L2)/$B$29</f>
        <v>#DIV/0!</v>
      </c>
      <c r="N2" s="4">
        <v>744</v>
      </c>
      <c r="O2">
        <v>0</v>
      </c>
      <c r="P2">
        <f t="shared" ref="P2:P13" si="0">O2/N2</f>
        <v>0</v>
      </c>
    </row>
    <row r="3" spans="1:16" x14ac:dyDescent="0.2">
      <c r="A3" s="55"/>
      <c r="E3" s="3">
        <f>Qnd!B19*P3</f>
        <v>0</v>
      </c>
      <c r="J3" t="e">
        <f t="shared" ref="J3:J12" si="1">(K3*L3)/$B$29</f>
        <v>#DIV/0!</v>
      </c>
      <c r="N3" s="4">
        <v>672</v>
      </c>
      <c r="O3">
        <v>0</v>
      </c>
      <c r="P3">
        <f t="shared" si="0"/>
        <v>0</v>
      </c>
    </row>
    <row r="4" spans="1:16" x14ac:dyDescent="0.2">
      <c r="E4" s="3">
        <f>Qnd!B20*P4</f>
        <v>0</v>
      </c>
      <c r="J4" t="e">
        <f t="shared" si="1"/>
        <v>#DIV/0!</v>
      </c>
      <c r="N4" s="4">
        <v>744</v>
      </c>
      <c r="O4">
        <v>0</v>
      </c>
      <c r="P4">
        <f t="shared" si="0"/>
        <v>0</v>
      </c>
    </row>
    <row r="5" spans="1:16" x14ac:dyDescent="0.2">
      <c r="E5" s="3">
        <f>Qnd!B21*P5</f>
        <v>0</v>
      </c>
      <c r="J5" t="e">
        <f t="shared" si="1"/>
        <v>#DIV/0!</v>
      </c>
      <c r="N5" s="4">
        <v>720</v>
      </c>
      <c r="O5">
        <v>0</v>
      </c>
      <c r="P5">
        <f t="shared" si="0"/>
        <v>0</v>
      </c>
    </row>
    <row r="6" spans="1:16" x14ac:dyDescent="0.2">
      <c r="E6" s="3">
        <f>Qnd!B22*P6</f>
        <v>0</v>
      </c>
      <c r="J6" t="e">
        <f t="shared" si="1"/>
        <v>#DIV/0!</v>
      </c>
      <c r="N6" s="4">
        <v>744</v>
      </c>
      <c r="O6">
        <v>0</v>
      </c>
      <c r="P6">
        <f t="shared" si="0"/>
        <v>0</v>
      </c>
    </row>
    <row r="7" spans="1:16" x14ac:dyDescent="0.2">
      <c r="E7" s="3">
        <f>Qnd!B23*P7</f>
        <v>3211517.1312513673</v>
      </c>
      <c r="J7" t="e">
        <f t="shared" si="1"/>
        <v>#DIV/0!</v>
      </c>
      <c r="N7" s="4">
        <v>720</v>
      </c>
      <c r="O7">
        <f>(924-O8)/(1+N9/N7)</f>
        <v>88.524590163934434</v>
      </c>
      <c r="P7">
        <f t="shared" si="0"/>
        <v>0.12295081967213116</v>
      </c>
    </row>
    <row r="8" spans="1:16" x14ac:dyDescent="0.2">
      <c r="E8" s="3">
        <f>Qnd!B24*P8</f>
        <v>29688665.283617303</v>
      </c>
      <c r="J8" t="e">
        <f t="shared" si="1"/>
        <v>#DIV/0!</v>
      </c>
      <c r="N8" s="4">
        <v>744</v>
      </c>
      <c r="O8">
        <f>744</f>
        <v>744</v>
      </c>
      <c r="P8">
        <f t="shared" si="0"/>
        <v>1</v>
      </c>
    </row>
    <row r="9" spans="1:16" x14ac:dyDescent="0.2">
      <c r="E9" s="3">
        <f>Qnd!B25*P9</f>
        <v>3338812.0699642356</v>
      </c>
      <c r="J9" t="e">
        <f t="shared" si="1"/>
        <v>#DIV/0!</v>
      </c>
      <c r="N9" s="4">
        <v>744</v>
      </c>
      <c r="O9">
        <f>(924-O8)/(1+N7/N9)</f>
        <v>91.475409836065566</v>
      </c>
      <c r="P9">
        <f t="shared" si="0"/>
        <v>0.12295081967213113</v>
      </c>
    </row>
    <row r="10" spans="1:16" x14ac:dyDescent="0.2">
      <c r="E10" s="3">
        <f>Qnd!B26*P10</f>
        <v>0</v>
      </c>
      <c r="J10" t="e">
        <f t="shared" si="1"/>
        <v>#DIV/0!</v>
      </c>
      <c r="N10" s="4">
        <v>720</v>
      </c>
      <c r="O10">
        <v>0</v>
      </c>
      <c r="P10">
        <f t="shared" si="0"/>
        <v>0</v>
      </c>
    </row>
    <row r="11" spans="1:16" x14ac:dyDescent="0.2">
      <c r="E11" s="3">
        <f>Qnd!B27*P11</f>
        <v>0</v>
      </c>
      <c r="J11" t="e">
        <f t="shared" si="1"/>
        <v>#DIV/0!</v>
      </c>
      <c r="N11" s="4">
        <v>744</v>
      </c>
      <c r="O11">
        <v>0</v>
      </c>
      <c r="P11">
        <f t="shared" si="0"/>
        <v>0</v>
      </c>
    </row>
    <row r="12" spans="1:16" x14ac:dyDescent="0.2">
      <c r="E12" s="3">
        <f>Qnd!B28*P12</f>
        <v>0</v>
      </c>
      <c r="J12" t="e">
        <f t="shared" si="1"/>
        <v>#DIV/0!</v>
      </c>
      <c r="N12" s="4">
        <v>720</v>
      </c>
      <c r="O12">
        <v>0</v>
      </c>
      <c r="P12">
        <f t="shared" si="0"/>
        <v>0</v>
      </c>
    </row>
    <row r="13" spans="1:16" x14ac:dyDescent="0.2">
      <c r="E13" s="3">
        <f>Qnd!B29*P13</f>
        <v>0</v>
      </c>
      <c r="J13" t="e">
        <f>(K13*L13)/$B$29</f>
        <v>#DIV/0!</v>
      </c>
      <c r="N13" s="4">
        <v>744</v>
      </c>
      <c r="O13">
        <v>0</v>
      </c>
      <c r="P13">
        <f t="shared" si="0"/>
        <v>0</v>
      </c>
    </row>
    <row r="16" spans="1:16" ht="17" x14ac:dyDescent="0.25">
      <c r="A16" t="s">
        <v>524</v>
      </c>
      <c r="B16" s="141">
        <v>2.4</v>
      </c>
      <c r="C16" t="s">
        <v>525</v>
      </c>
    </row>
    <row r="18" spans="1:10" ht="17" x14ac:dyDescent="0.25">
      <c r="A18" t="s">
        <v>526</v>
      </c>
      <c r="B18" s="141">
        <v>0.93</v>
      </c>
      <c r="C18" t="s">
        <v>527</v>
      </c>
    </row>
    <row r="19" spans="1:10" x14ac:dyDescent="0.2">
      <c r="A19" t="str">
        <f>VLOOKUP(B18,A31:B34,2,FALSE)</f>
        <v>для систем класу B</v>
      </c>
    </row>
    <row r="21" spans="1:10" ht="17" x14ac:dyDescent="0.25">
      <c r="A21" t="s">
        <v>528</v>
      </c>
      <c r="B21" s="141">
        <v>1</v>
      </c>
    </row>
    <row r="23" spans="1:10" ht="17" x14ac:dyDescent="0.25">
      <c r="A23" t="s">
        <v>529</v>
      </c>
      <c r="B23" s="141">
        <v>0.87</v>
      </c>
    </row>
    <row r="25" spans="1:10" ht="17" x14ac:dyDescent="0.25">
      <c r="A25" t="s">
        <v>530</v>
      </c>
      <c r="B25" s="141">
        <v>0.9</v>
      </c>
      <c r="J25" s="113"/>
    </row>
    <row r="26" spans="1:10" x14ac:dyDescent="0.2">
      <c r="J26" s="113"/>
    </row>
    <row r="27" spans="1:10" ht="17" x14ac:dyDescent="0.25">
      <c r="A27" t="s">
        <v>531</v>
      </c>
      <c r="B27" s="141"/>
      <c r="J27" s="113"/>
    </row>
    <row r="28" spans="1:10" x14ac:dyDescent="0.2">
      <c r="J28" s="113"/>
    </row>
    <row r="29" spans="1:10" ht="17" x14ac:dyDescent="0.25">
      <c r="A29" t="s">
        <v>532</v>
      </c>
      <c r="B29" s="141"/>
      <c r="J29" s="113"/>
    </row>
    <row r="30" spans="1:10" x14ac:dyDescent="0.2">
      <c r="J30" s="113"/>
    </row>
    <row r="31" spans="1:10" x14ac:dyDescent="0.2">
      <c r="A31" s="117">
        <v>0.99</v>
      </c>
      <c r="B31" s="117" t="s">
        <v>533</v>
      </c>
      <c r="J31" s="113"/>
    </row>
    <row r="32" spans="1:10" x14ac:dyDescent="0.2">
      <c r="A32" s="117">
        <v>0.93</v>
      </c>
      <c r="B32" s="117" t="s">
        <v>534</v>
      </c>
      <c r="J32" s="113"/>
    </row>
    <row r="33" spans="1:10" x14ac:dyDescent="0.2">
      <c r="A33" s="117">
        <v>0.88</v>
      </c>
      <c r="B33" s="117" t="s">
        <v>535</v>
      </c>
      <c r="J33" s="113"/>
    </row>
    <row r="34" spans="1:10" x14ac:dyDescent="0.2">
      <c r="A34" s="117">
        <v>0.82</v>
      </c>
      <c r="B34" s="117" t="s">
        <v>536</v>
      </c>
      <c r="J34" s="113"/>
    </row>
    <row r="35" spans="1:10" x14ac:dyDescent="0.2">
      <c r="J35" s="113"/>
    </row>
    <row r="36" spans="1:10" x14ac:dyDescent="0.2">
      <c r="J36" s="113"/>
    </row>
  </sheetData>
  <dataValidations count="1">
    <dataValidation type="list" allowBlank="1" showInputMessage="1" showErrorMessage="1" sqref="B18" xr:uid="{077D39A5-8001-4CE9-8927-857814BC263B}">
      <formula1>$A$31:$A$34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B7D7-9478-4A43-A03C-11B56DCB1AA8}">
  <sheetPr>
    <tabColor theme="9"/>
  </sheetPr>
  <dimension ref="A1:O28"/>
  <sheetViews>
    <sheetView workbookViewId="0">
      <selection activeCell="B20" sqref="B20"/>
    </sheetView>
  </sheetViews>
  <sheetFormatPr baseColWidth="10" defaultColWidth="8.83203125" defaultRowHeight="15" x14ac:dyDescent="0.2"/>
  <cols>
    <col min="4" max="4" width="10.5" bestFit="1" customWidth="1"/>
  </cols>
  <sheetData>
    <row r="1" spans="1:15" ht="17" x14ac:dyDescent="0.25">
      <c r="A1" t="s">
        <v>336</v>
      </c>
      <c r="B1" t="s">
        <v>325</v>
      </c>
      <c r="C1" t="s">
        <v>537</v>
      </c>
      <c r="D1" t="s">
        <v>538</v>
      </c>
      <c r="E1" t="s">
        <v>539</v>
      </c>
      <c r="F1" t="s">
        <v>540</v>
      </c>
      <c r="I1" s="68" t="s">
        <v>325</v>
      </c>
      <c r="J1" s="69"/>
      <c r="K1" s="69"/>
      <c r="L1" s="69"/>
      <c r="M1" s="69"/>
      <c r="N1" s="70"/>
    </row>
    <row r="2" spans="1:15" ht="17" x14ac:dyDescent="0.25">
      <c r="A2" s="3">
        <f>(B2+C2+D2+E2)/B20</f>
        <v>61185.707812500004</v>
      </c>
      <c r="B2">
        <f>10*areasAndVolumes[[#Totals],[Загальна площа]]</f>
        <v>58591.8</v>
      </c>
      <c r="C2">
        <f>SUM(L11:O11)</f>
        <v>0</v>
      </c>
      <c r="D2">
        <f>SUM(L17:O17)+SUM(L22:O22)</f>
        <v>0</v>
      </c>
      <c r="E2">
        <f>(B2*B22)/100</f>
        <v>146.4795</v>
      </c>
      <c r="F2">
        <f>C2*B24+B26*B28</f>
        <v>0</v>
      </c>
      <c r="I2" s="19"/>
      <c r="J2" t="s">
        <v>541</v>
      </c>
      <c r="K2">
        <v>4.1909999999999998</v>
      </c>
      <c r="M2" t="s">
        <v>542</v>
      </c>
      <c r="N2" s="144"/>
    </row>
    <row r="3" spans="1:15" ht="17" x14ac:dyDescent="0.25">
      <c r="A3" s="3"/>
      <c r="I3" s="19"/>
      <c r="J3" t="s">
        <v>543</v>
      </c>
      <c r="K3">
        <f>N2*N3*N4*N5*(10^(-3))</f>
        <v>0</v>
      </c>
      <c r="M3" t="s">
        <v>544</v>
      </c>
      <c r="N3" s="144"/>
    </row>
    <row r="4" spans="1:15" ht="17" x14ac:dyDescent="0.25">
      <c r="I4" s="19"/>
      <c r="J4" s="142" t="s">
        <v>545</v>
      </c>
      <c r="K4" s="141"/>
      <c r="M4" t="s">
        <v>546</v>
      </c>
      <c r="N4" s="144"/>
    </row>
    <row r="5" spans="1:15" ht="17" x14ac:dyDescent="0.25">
      <c r="I5" s="19"/>
      <c r="J5" s="142" t="s">
        <v>547</v>
      </c>
      <c r="K5">
        <v>10</v>
      </c>
      <c r="M5" s="107" t="s">
        <v>548</v>
      </c>
      <c r="N5" s="85">
        <v>992.2</v>
      </c>
    </row>
    <row r="6" spans="1:15" ht="18" thickBot="1" x14ac:dyDescent="0.3">
      <c r="I6" s="49"/>
      <c r="J6" s="54" t="s">
        <v>549</v>
      </c>
      <c r="K6" s="54">
        <f>0.278*(10^(-3))</f>
        <v>2.7800000000000004E-4</v>
      </c>
      <c r="L6" s="54"/>
      <c r="M6" s="54"/>
      <c r="N6" s="116"/>
    </row>
    <row r="7" spans="1:15" ht="16" thickBot="1" x14ac:dyDescent="0.25"/>
    <row r="8" spans="1:15" ht="17" x14ac:dyDescent="0.25">
      <c r="I8" s="68" t="s">
        <v>537</v>
      </c>
      <c r="J8" s="69"/>
      <c r="K8" s="69"/>
      <c r="L8" s="69" t="s">
        <v>369</v>
      </c>
      <c r="M8" s="69" t="s">
        <v>370</v>
      </c>
      <c r="N8" s="69" t="s">
        <v>371</v>
      </c>
      <c r="O8" s="70" t="s">
        <v>372</v>
      </c>
    </row>
    <row r="9" spans="1:15" ht="17" x14ac:dyDescent="0.25">
      <c r="I9" s="19"/>
      <c r="K9" t="s">
        <v>550</v>
      </c>
      <c r="L9" s="141"/>
      <c r="M9" s="141"/>
      <c r="N9" s="141"/>
      <c r="O9" s="144"/>
    </row>
    <row r="10" spans="1:15" ht="17" x14ac:dyDescent="0.25">
      <c r="I10" s="19"/>
      <c r="K10" t="s">
        <v>551</v>
      </c>
      <c r="L10" s="141"/>
      <c r="M10" s="141"/>
      <c r="N10" s="141"/>
      <c r="O10" s="144"/>
    </row>
    <row r="11" spans="1:15" ht="17" x14ac:dyDescent="0.25">
      <c r="I11" s="19" t="s">
        <v>552</v>
      </c>
      <c r="J11" t="s">
        <v>553</v>
      </c>
      <c r="K11" t="s">
        <v>554</v>
      </c>
      <c r="L11">
        <f>(L9*L10*($I$12-$J$12)*$K$12)/1000</f>
        <v>0</v>
      </c>
      <c r="M11">
        <f>(M9*M10*($I$12-$J$12)*$K$12)/1000</f>
        <v>0</v>
      </c>
      <c r="N11">
        <f>(N9*N10*($I$12-$J$12)*$K$12)/1000</f>
        <v>0</v>
      </c>
      <c r="O11" s="85">
        <f>(O9*O10*($I$12-$J$12)*$K$12)/1000</f>
        <v>0</v>
      </c>
    </row>
    <row r="12" spans="1:15" ht="16" thickBot="1" x14ac:dyDescent="0.25">
      <c r="I12" s="145">
        <v>50</v>
      </c>
      <c r="J12" s="146">
        <v>20</v>
      </c>
      <c r="K12" s="147">
        <f>8760*(112/168)</f>
        <v>5840</v>
      </c>
      <c r="L12" s="54"/>
      <c r="M12" s="54"/>
      <c r="N12" s="54"/>
      <c r="O12" s="116"/>
    </row>
    <row r="13" spans="1:15" ht="16" thickBot="1" x14ac:dyDescent="0.25"/>
    <row r="14" spans="1:15" ht="17" x14ac:dyDescent="0.25">
      <c r="I14" s="68" t="s">
        <v>555</v>
      </c>
      <c r="J14" s="69"/>
      <c r="K14" s="69"/>
      <c r="L14" s="69" t="s">
        <v>369</v>
      </c>
      <c r="M14" s="69" t="s">
        <v>370</v>
      </c>
      <c r="N14" s="69" t="s">
        <v>371</v>
      </c>
      <c r="O14" s="70" t="s">
        <v>372</v>
      </c>
    </row>
    <row r="15" spans="1:15" ht="17" x14ac:dyDescent="0.25">
      <c r="I15" s="19"/>
      <c r="K15" t="s">
        <v>550</v>
      </c>
      <c r="L15" s="141"/>
      <c r="M15" s="141"/>
      <c r="N15" s="141"/>
      <c r="O15" s="144"/>
    </row>
    <row r="16" spans="1:15" ht="17" x14ac:dyDescent="0.25">
      <c r="I16" s="19"/>
      <c r="K16" t="s">
        <v>551</v>
      </c>
      <c r="L16" s="141"/>
      <c r="M16" s="141"/>
      <c r="N16" s="141"/>
      <c r="O16" s="144"/>
    </row>
    <row r="17" spans="1:15" ht="17" x14ac:dyDescent="0.25">
      <c r="I17" s="19" t="s">
        <v>552</v>
      </c>
      <c r="J17" t="s">
        <v>553</v>
      </c>
      <c r="K17" t="s">
        <v>556</v>
      </c>
      <c r="L17">
        <f>(L15*L16*($I$18-$J$18)*$K$18)/1000</f>
        <v>0</v>
      </c>
      <c r="M17">
        <f>(M15*M16*($I$18-$J$18)*$K$18)/1000</f>
        <v>0</v>
      </c>
      <c r="N17">
        <f>(N15*N16*($I$18-$J$18)*$K$18)/1000</f>
        <v>0</v>
      </c>
      <c r="O17" s="85">
        <f>(O15*O16*($I$18-$J$18)*$K$18)/1000</f>
        <v>0</v>
      </c>
    </row>
    <row r="18" spans="1:15" x14ac:dyDescent="0.2">
      <c r="I18" s="148"/>
      <c r="J18" s="141"/>
      <c r="K18" s="141"/>
      <c r="O18" s="85"/>
    </row>
    <row r="19" spans="1:15" ht="16" thickBot="1" x14ac:dyDescent="0.25">
      <c r="I19" s="19"/>
      <c r="O19" s="85"/>
    </row>
    <row r="20" spans="1:15" ht="17" x14ac:dyDescent="0.25">
      <c r="A20" t="s">
        <v>557</v>
      </c>
      <c r="B20" s="143">
        <v>0.96</v>
      </c>
      <c r="I20" s="68" t="s">
        <v>558</v>
      </c>
      <c r="J20" s="69"/>
      <c r="K20" s="69"/>
      <c r="L20" s="69" t="s">
        <v>369</v>
      </c>
      <c r="M20" s="69" t="s">
        <v>370</v>
      </c>
      <c r="N20" s="69" t="s">
        <v>371</v>
      </c>
      <c r="O20" s="70" t="s">
        <v>372</v>
      </c>
    </row>
    <row r="21" spans="1:15" ht="17" x14ac:dyDescent="0.25">
      <c r="I21" s="19"/>
      <c r="K21" t="s">
        <v>559</v>
      </c>
      <c r="L21" s="141"/>
      <c r="M21" s="141"/>
      <c r="N21" s="141"/>
      <c r="O21" s="144"/>
    </row>
    <row r="22" spans="1:15" ht="17" x14ac:dyDescent="0.25">
      <c r="A22" t="s">
        <v>560</v>
      </c>
      <c r="B22" s="143">
        <v>0.25</v>
      </c>
      <c r="I22" s="19"/>
      <c r="J22" s="107" t="s">
        <v>561</v>
      </c>
      <c r="K22" t="s">
        <v>562</v>
      </c>
      <c r="L22">
        <f>($J$23*L21*($I$18-$J$18)*$K$23)/1000</f>
        <v>0</v>
      </c>
      <c r="M22">
        <f>($J$23*M21*($I$18-$J$18)*$K$23)/1000</f>
        <v>0</v>
      </c>
      <c r="N22">
        <f>($J$23*N21*($I$18-$J$18)*$K$23)/1000</f>
        <v>0</v>
      </c>
      <c r="O22" s="85">
        <f>($J$23*O21*($I$18-$J$18)*$K$23)/1000</f>
        <v>0</v>
      </c>
    </row>
    <row r="23" spans="1:15" ht="16" thickBot="1" x14ac:dyDescent="0.25">
      <c r="I23" s="49"/>
      <c r="J23" s="54">
        <v>1150</v>
      </c>
      <c r="K23" s="146"/>
      <c r="L23" s="54"/>
      <c r="M23" s="54"/>
      <c r="N23" s="54"/>
      <c r="O23" s="116"/>
    </row>
    <row r="24" spans="1:15" ht="17" x14ac:dyDescent="0.25">
      <c r="A24" t="s">
        <v>563</v>
      </c>
      <c r="B24" s="143">
        <v>0.5</v>
      </c>
      <c r="C24" t="s">
        <v>564</v>
      </c>
    </row>
    <row r="26" spans="1:15" ht="17" x14ac:dyDescent="0.25">
      <c r="A26" t="s">
        <v>565</v>
      </c>
      <c r="B26" s="141"/>
    </row>
    <row r="28" spans="1:15" ht="17" x14ac:dyDescent="0.25">
      <c r="A28" t="s">
        <v>566</v>
      </c>
      <c r="B28" s="143">
        <v>0.8</v>
      </c>
      <c r="C28" t="s">
        <v>567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0C63-53DC-406C-8AE0-CD8FABD16E28}">
  <sheetPr>
    <tabColor theme="9"/>
  </sheetPr>
  <dimension ref="A1:F2"/>
  <sheetViews>
    <sheetView workbookViewId="0">
      <selection activeCell="F7" sqref="F7"/>
    </sheetView>
  </sheetViews>
  <sheetFormatPr baseColWidth="10" defaultColWidth="8.83203125" defaultRowHeight="15" x14ac:dyDescent="0.2"/>
  <sheetData>
    <row r="1" spans="1:6" ht="17" x14ac:dyDescent="0.25">
      <c r="A1" t="s">
        <v>339</v>
      </c>
      <c r="B1" t="s">
        <v>568</v>
      </c>
      <c r="C1" t="s">
        <v>569</v>
      </c>
      <c r="D1" t="s">
        <v>570</v>
      </c>
      <c r="E1" t="s">
        <v>571</v>
      </c>
      <c r="F1" t="s">
        <v>572</v>
      </c>
    </row>
    <row r="2" spans="1:6" x14ac:dyDescent="0.2">
      <c r="A2" s="3">
        <f>B2</f>
        <v>2699.797593775721</v>
      </c>
      <c r="B2">
        <f>C2*D2</f>
        <v>2699.797593775721</v>
      </c>
      <c r="C2">
        <f>(E2*F2)/3600</f>
        <v>0.46229410852323993</v>
      </c>
      <c r="D2" s="141">
        <f>8760*(Qint!O15/168)</f>
        <v>5840</v>
      </c>
      <c r="E2" s="141">
        <v>1</v>
      </c>
      <c r="F2" s="141">
        <f>Qve!I2</f>
        <v>1664.2587906836638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4997-09B7-4D02-B473-CC43A04C4114}">
  <sheetPr>
    <tabColor theme="9"/>
  </sheetPr>
  <dimension ref="A1:H6"/>
  <sheetViews>
    <sheetView workbookViewId="0">
      <selection activeCell="F5" sqref="F5"/>
    </sheetView>
  </sheetViews>
  <sheetFormatPr baseColWidth="10" defaultColWidth="8.83203125" defaultRowHeight="15" x14ac:dyDescent="0.2"/>
  <sheetData>
    <row r="1" spans="1:8" ht="17" x14ac:dyDescent="0.25">
      <c r="A1" s="111" t="s">
        <v>342</v>
      </c>
      <c r="B1" s="111" t="s">
        <v>573</v>
      </c>
      <c r="C1" s="111" t="s">
        <v>574</v>
      </c>
      <c r="E1" t="s">
        <v>575</v>
      </c>
      <c r="F1">
        <v>18.899999999999999</v>
      </c>
      <c r="G1" t="s">
        <v>576</v>
      </c>
      <c r="H1">
        <v>1</v>
      </c>
    </row>
    <row r="2" spans="1:8" ht="17" x14ac:dyDescent="0.25">
      <c r="A2">
        <f>B2+C2</f>
        <v>256632.08399999997</v>
      </c>
      <c r="B2">
        <f>((F1*F2)*((F5*F3*F4)+(F6*F3))*Результати!D42)/1000</f>
        <v>221477.00399999999</v>
      </c>
      <c r="C2">
        <f>(H1+H2)*Результати!D42</f>
        <v>35155.08</v>
      </c>
      <c r="E2" t="s">
        <v>577</v>
      </c>
      <c r="F2">
        <v>1</v>
      </c>
      <c r="G2" t="s">
        <v>578</v>
      </c>
      <c r="H2">
        <v>5</v>
      </c>
    </row>
    <row r="3" spans="1:8" ht="17" x14ac:dyDescent="0.25">
      <c r="E3" t="s">
        <v>579</v>
      </c>
      <c r="F3">
        <v>1</v>
      </c>
    </row>
    <row r="4" spans="1:8" ht="17" x14ac:dyDescent="0.25">
      <c r="E4" t="s">
        <v>580</v>
      </c>
      <c r="F4">
        <v>1</v>
      </c>
    </row>
    <row r="5" spans="1:8" ht="17" x14ac:dyDescent="0.25">
      <c r="E5" t="s">
        <v>581</v>
      </c>
      <c r="F5">
        <v>1800</v>
      </c>
    </row>
    <row r="6" spans="1:8" ht="17" x14ac:dyDescent="0.25">
      <c r="E6" t="s">
        <v>582</v>
      </c>
      <c r="F6">
        <v>200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E135-14FB-458E-AF3B-7DE92B4F059E}">
  <sheetPr>
    <tabColor theme="9"/>
  </sheetPr>
  <dimension ref="A1:F12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6" ht="17" x14ac:dyDescent="0.25">
      <c r="A1" t="s">
        <v>345</v>
      </c>
      <c r="B1" t="s">
        <v>330</v>
      </c>
      <c r="C1" t="s">
        <v>514</v>
      </c>
      <c r="D1" t="s">
        <v>336</v>
      </c>
      <c r="E1" t="s">
        <v>338</v>
      </c>
      <c r="F1" t="s">
        <v>341</v>
      </c>
    </row>
    <row r="2" spans="1:6" x14ac:dyDescent="0.2">
      <c r="A2">
        <f>B8+B11</f>
        <v>197263.18413601012</v>
      </c>
      <c r="B2" s="3">
        <f>'QH,use'!A2</f>
        <v>52066.031987479037</v>
      </c>
      <c r="C2">
        <f>'QC,use'!A2</f>
        <v>19970.413627394471</v>
      </c>
      <c r="D2" s="3">
        <f>'QDHW,use'!A2</f>
        <v>61185.707812500004</v>
      </c>
      <c r="E2" s="55">
        <f>Результати!B38</f>
        <v>0.15533102047909525</v>
      </c>
      <c r="F2" s="55">
        <f>Результати!B41</f>
        <v>43.79999999999999</v>
      </c>
    </row>
    <row r="3" spans="1:6" ht="17" x14ac:dyDescent="0.25">
      <c r="A3" t="s">
        <v>346</v>
      </c>
      <c r="B3" t="s">
        <v>583</v>
      </c>
      <c r="C3" t="s">
        <v>583</v>
      </c>
      <c r="D3" t="s">
        <v>583</v>
      </c>
      <c r="E3" t="s">
        <v>583</v>
      </c>
      <c r="F3" t="s">
        <v>583</v>
      </c>
    </row>
    <row r="4" spans="1:6" x14ac:dyDescent="0.2">
      <c r="A4">
        <f>B9+B12</f>
        <v>37851.487310528828</v>
      </c>
      <c r="B4">
        <v>1.3</v>
      </c>
      <c r="C4">
        <v>2.5</v>
      </c>
      <c r="D4">
        <v>1.3</v>
      </c>
      <c r="E4">
        <v>2.5</v>
      </c>
      <c r="F4">
        <v>2.5</v>
      </c>
    </row>
    <row r="5" spans="1:6" ht="17" x14ac:dyDescent="0.25">
      <c r="B5" t="s">
        <v>584</v>
      </c>
      <c r="C5" t="s">
        <v>585</v>
      </c>
      <c r="D5" t="s">
        <v>586</v>
      </c>
      <c r="E5" t="s">
        <v>585</v>
      </c>
      <c r="F5" t="s">
        <v>586</v>
      </c>
    </row>
    <row r="6" spans="1:6" x14ac:dyDescent="0.2">
      <c r="B6">
        <v>260</v>
      </c>
      <c r="C6">
        <v>420</v>
      </c>
      <c r="D6">
        <v>260</v>
      </c>
      <c r="E6">
        <v>420</v>
      </c>
      <c r="F6">
        <v>420</v>
      </c>
    </row>
    <row r="8" spans="1:6" x14ac:dyDescent="0.2">
      <c r="A8" t="s">
        <v>587</v>
      </c>
      <c r="B8">
        <f>(B2+D2)*B4</f>
        <v>147227.26173997275</v>
      </c>
    </row>
    <row r="9" spans="1:6" x14ac:dyDescent="0.2">
      <c r="B9">
        <f>(B2+D2)*B6/1000</f>
        <v>29445.452347994553</v>
      </c>
    </row>
    <row r="10" spans="1:6" x14ac:dyDescent="0.2">
      <c r="A10" t="s">
        <v>588</v>
      </c>
    </row>
    <row r="11" spans="1:6" x14ac:dyDescent="0.2">
      <c r="B11">
        <f>(C2+E2+F2)*C4</f>
        <v>50035.922396037378</v>
      </c>
    </row>
    <row r="12" spans="1:6" x14ac:dyDescent="0.2">
      <c r="B12">
        <f>(C2+E2+F2)*C6/1000</f>
        <v>8406.0349625342787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9B6C-BF09-4B45-9757-4029DC9A6017}">
  <sheetPr codeName="Аркуш9">
    <tabColor theme="9"/>
  </sheetPr>
  <dimension ref="A1:E58"/>
  <sheetViews>
    <sheetView workbookViewId="0">
      <selection activeCell="D3" sqref="D3"/>
    </sheetView>
  </sheetViews>
  <sheetFormatPr baseColWidth="10" defaultColWidth="8.83203125" defaultRowHeight="15" x14ac:dyDescent="0.2"/>
  <cols>
    <col min="2" max="3" width="12.5" bestFit="1" customWidth="1"/>
    <col min="4" max="4" width="10.5" customWidth="1"/>
  </cols>
  <sheetData>
    <row r="1" spans="1:4" x14ac:dyDescent="0.2">
      <c r="A1" t="s">
        <v>321</v>
      </c>
    </row>
    <row r="2" spans="1:4" x14ac:dyDescent="0.2">
      <c r="A2" t="s">
        <v>322</v>
      </c>
    </row>
    <row r="3" spans="1:4" ht="17" x14ac:dyDescent="0.25">
      <c r="A3" t="s">
        <v>323</v>
      </c>
      <c r="B3" s="55">
        <f>(D3+D4+D5)/D6</f>
        <v>36.906094251353288</v>
      </c>
      <c r="C3" t="s">
        <v>64</v>
      </c>
      <c r="D3" s="55">
        <f>SUM('QH,use'!N2:N13)</f>
        <v>118814.74701831126</v>
      </c>
    </row>
    <row r="4" spans="1:4" ht="17" x14ac:dyDescent="0.25">
      <c r="B4" s="55"/>
      <c r="C4" t="s">
        <v>324</v>
      </c>
      <c r="D4" s="55">
        <f>'QC,use'!G2</f>
        <v>36238.994484832903</v>
      </c>
    </row>
    <row r="5" spans="1:4" ht="17" x14ac:dyDescent="0.25">
      <c r="B5" s="55"/>
      <c r="C5" t="s">
        <v>325</v>
      </c>
      <c r="D5" s="55">
        <f>'QDHW,use'!A2</f>
        <v>61185.707812500004</v>
      </c>
    </row>
    <row r="6" spans="1:4" x14ac:dyDescent="0.2">
      <c r="B6" s="55"/>
      <c r="C6" t="s">
        <v>326</v>
      </c>
      <c r="D6" s="55">
        <f>areasAndVolumes[[#Totals],[Загальна площа]]</f>
        <v>5859.18</v>
      </c>
    </row>
    <row r="7" spans="1:4" x14ac:dyDescent="0.2">
      <c r="A7" t="s">
        <v>327</v>
      </c>
      <c r="B7" s="55"/>
      <c r="D7" s="55"/>
    </row>
    <row r="8" spans="1:4" ht="17" x14ac:dyDescent="0.25">
      <c r="A8" t="s">
        <v>323</v>
      </c>
      <c r="B8" s="55">
        <f>(D8+D9+D10)/D11</f>
        <v>12.441189816404769</v>
      </c>
      <c r="C8" t="s">
        <v>64</v>
      </c>
      <c r="D8" s="55">
        <f>SUM('QH,use'!N2:N13)</f>
        <v>118814.74701831126</v>
      </c>
    </row>
    <row r="9" spans="1:4" ht="17" x14ac:dyDescent="0.25">
      <c r="B9" s="55"/>
      <c r="C9" t="s">
        <v>324</v>
      </c>
      <c r="D9" s="55">
        <f>'QC,use'!G2</f>
        <v>36238.994484832903</v>
      </c>
    </row>
    <row r="10" spans="1:4" ht="17" x14ac:dyDescent="0.25">
      <c r="B10" s="55"/>
      <c r="C10" t="s">
        <v>325</v>
      </c>
      <c r="D10" s="55">
        <f>'QDHW,use'!A2</f>
        <v>61185.707812500004</v>
      </c>
    </row>
    <row r="11" spans="1:4" x14ac:dyDescent="0.2">
      <c r="B11" s="55"/>
      <c r="C11" t="s">
        <v>122</v>
      </c>
      <c r="D11" s="55">
        <f>areasAndVolumes[[#Totals],[Загальний об''єм]]</f>
        <v>17380.93</v>
      </c>
    </row>
    <row r="12" spans="1:4" x14ac:dyDescent="0.2">
      <c r="A12" t="s">
        <v>328</v>
      </c>
      <c r="B12" s="55"/>
      <c r="D12" s="55"/>
    </row>
    <row r="13" spans="1:4" x14ac:dyDescent="0.2">
      <c r="A13" t="s">
        <v>322</v>
      </c>
      <c r="B13" s="55"/>
      <c r="D13" s="55"/>
    </row>
    <row r="14" spans="1:4" ht="17" x14ac:dyDescent="0.25">
      <c r="A14" t="s">
        <v>329</v>
      </c>
      <c r="B14" s="55">
        <f>D14/D15</f>
        <v>8.8862318596593788</v>
      </c>
      <c r="C14" t="s">
        <v>330</v>
      </c>
      <c r="D14" s="55">
        <f>'QH,use'!A2</f>
        <v>52066.031987479037</v>
      </c>
    </row>
    <row r="15" spans="1:4" x14ac:dyDescent="0.2">
      <c r="B15" s="55"/>
      <c r="C15" t="s">
        <v>326</v>
      </c>
      <c r="D15" s="55">
        <f>D6</f>
        <v>5859.18</v>
      </c>
    </row>
    <row r="16" spans="1:4" x14ac:dyDescent="0.2">
      <c r="A16" t="s">
        <v>327</v>
      </c>
      <c r="B16" s="55"/>
      <c r="D16" s="55"/>
    </row>
    <row r="17" spans="1:4" ht="17" x14ac:dyDescent="0.25">
      <c r="A17" t="s">
        <v>329</v>
      </c>
      <c r="B17" s="55">
        <f>D17/D18</f>
        <v>2.9955837798943459</v>
      </c>
      <c r="C17" t="s">
        <v>330</v>
      </c>
      <c r="D17" s="55">
        <f>'QH,use'!A2</f>
        <v>52066.031987479037</v>
      </c>
    </row>
    <row r="18" spans="1:4" x14ac:dyDescent="0.2">
      <c r="B18" s="55"/>
      <c r="C18" t="s">
        <v>122</v>
      </c>
      <c r="D18" s="55">
        <f>D11</f>
        <v>17380.93</v>
      </c>
    </row>
    <row r="19" spans="1:4" x14ac:dyDescent="0.2">
      <c r="A19" t="s">
        <v>331</v>
      </c>
      <c r="B19" s="55"/>
      <c r="D19" s="55"/>
    </row>
    <row r="20" spans="1:4" x14ac:dyDescent="0.2">
      <c r="A20" t="s">
        <v>322</v>
      </c>
      <c r="B20" s="55"/>
      <c r="D20" s="55"/>
    </row>
    <row r="21" spans="1:4" ht="17" x14ac:dyDescent="0.25">
      <c r="A21" t="s">
        <v>332</v>
      </c>
      <c r="B21" s="55">
        <f>D21/D22</f>
        <v>3.4083973572060375</v>
      </c>
      <c r="C21" t="s">
        <v>333</v>
      </c>
      <c r="D21" s="55">
        <f>'QC,use'!A2</f>
        <v>19970.413627394471</v>
      </c>
    </row>
    <row r="22" spans="1:4" x14ac:dyDescent="0.2">
      <c r="B22" s="55"/>
      <c r="C22" t="s">
        <v>326</v>
      </c>
      <c r="D22" s="55">
        <f>D6</f>
        <v>5859.18</v>
      </c>
    </row>
    <row r="23" spans="1:4" x14ac:dyDescent="0.2">
      <c r="A23" t="s">
        <v>327</v>
      </c>
      <c r="B23" s="55"/>
      <c r="D23" s="55"/>
    </row>
    <row r="24" spans="1:4" ht="17" x14ac:dyDescent="0.25">
      <c r="A24" t="s">
        <v>332</v>
      </c>
      <c r="B24" s="55">
        <f>D24/D25</f>
        <v>1.1489841813639703</v>
      </c>
      <c r="C24" t="s">
        <v>333</v>
      </c>
      <c r="D24" s="55">
        <f>'QC,use'!A2</f>
        <v>19970.413627394471</v>
      </c>
    </row>
    <row r="25" spans="1:4" x14ac:dyDescent="0.2">
      <c r="B25" s="55"/>
      <c r="C25" t="s">
        <v>122</v>
      </c>
      <c r="D25" s="55">
        <f>D11</f>
        <v>17380.93</v>
      </c>
    </row>
    <row r="26" spans="1:4" x14ac:dyDescent="0.2">
      <c r="A26" t="s">
        <v>334</v>
      </c>
      <c r="B26" s="55"/>
      <c r="D26" s="55"/>
    </row>
    <row r="27" spans="1:4" x14ac:dyDescent="0.2">
      <c r="A27" t="s">
        <v>322</v>
      </c>
      <c r="B27" s="55"/>
      <c r="D27" s="55"/>
    </row>
    <row r="28" spans="1:4" ht="17" x14ac:dyDescent="0.25">
      <c r="A28" t="s">
        <v>335</v>
      </c>
      <c r="B28" s="55">
        <f>D28/D29</f>
        <v>10.442708333333334</v>
      </c>
      <c r="C28" t="s">
        <v>336</v>
      </c>
      <c r="D28" s="55">
        <f>'QDHW,use'!A2</f>
        <v>61185.707812500004</v>
      </c>
    </row>
    <row r="29" spans="1:4" x14ac:dyDescent="0.2">
      <c r="B29" s="55"/>
      <c r="C29" t="s">
        <v>326</v>
      </c>
      <c r="D29" s="55">
        <f>D6</f>
        <v>5859.18</v>
      </c>
    </row>
    <row r="30" spans="1:4" x14ac:dyDescent="0.2">
      <c r="A30" t="s">
        <v>327</v>
      </c>
      <c r="B30" s="55"/>
      <c r="D30" s="55"/>
    </row>
    <row r="31" spans="1:4" ht="17" x14ac:dyDescent="0.25">
      <c r="A31" t="s">
        <v>335</v>
      </c>
      <c r="B31" s="55">
        <f>D31/D32</f>
        <v>3.5202781331321167</v>
      </c>
      <c r="C31" t="s">
        <v>336</v>
      </c>
      <c r="D31" s="55">
        <f>'QDHW,use'!A2</f>
        <v>61185.707812500004</v>
      </c>
    </row>
    <row r="32" spans="1:4" x14ac:dyDescent="0.2">
      <c r="B32" s="55"/>
      <c r="C32" t="s">
        <v>122</v>
      </c>
      <c r="D32" s="55">
        <f>D11</f>
        <v>17380.93</v>
      </c>
    </row>
    <row r="33" spans="1:4" x14ac:dyDescent="0.2">
      <c r="A33" t="s">
        <v>337</v>
      </c>
      <c r="B33" s="55"/>
      <c r="D33" s="55"/>
    </row>
    <row r="34" spans="1:4" x14ac:dyDescent="0.2">
      <c r="A34" t="s">
        <v>322</v>
      </c>
      <c r="B34" s="55"/>
      <c r="D34" s="55"/>
    </row>
    <row r="35" spans="1:4" ht="17" x14ac:dyDescent="0.25">
      <c r="A35" t="s">
        <v>338</v>
      </c>
      <c r="B35" s="55">
        <f>D35/D36</f>
        <v>0.46078079078910716</v>
      </c>
      <c r="C35" t="s">
        <v>339</v>
      </c>
      <c r="D35" s="55">
        <f>'QV,use'!A2</f>
        <v>2699.797593775721</v>
      </c>
    </row>
    <row r="36" spans="1:4" x14ac:dyDescent="0.2">
      <c r="B36" s="55"/>
      <c r="C36" t="s">
        <v>326</v>
      </c>
      <c r="D36" s="55">
        <f>D6</f>
        <v>5859.18</v>
      </c>
    </row>
    <row r="37" spans="1:4" x14ac:dyDescent="0.2">
      <c r="A37" t="s">
        <v>327</v>
      </c>
      <c r="B37" s="55"/>
      <c r="D37" s="55"/>
    </row>
    <row r="38" spans="1:4" ht="17" x14ac:dyDescent="0.25">
      <c r="A38" t="s">
        <v>338</v>
      </c>
      <c r="B38" s="55">
        <f>D38/D39</f>
        <v>0.15533102047909525</v>
      </c>
      <c r="C38" t="s">
        <v>339</v>
      </c>
      <c r="D38" s="55">
        <f>'QV,use'!A2</f>
        <v>2699.797593775721</v>
      </c>
    </row>
    <row r="39" spans="1:4" x14ac:dyDescent="0.2">
      <c r="B39" s="55"/>
      <c r="C39" t="s">
        <v>122</v>
      </c>
      <c r="D39" s="55">
        <f>D11</f>
        <v>17380.93</v>
      </c>
    </row>
    <row r="40" spans="1:4" x14ac:dyDescent="0.2">
      <c r="A40" t="s">
        <v>340</v>
      </c>
      <c r="B40" s="55"/>
      <c r="D40" s="55"/>
    </row>
    <row r="41" spans="1:4" ht="17" x14ac:dyDescent="0.25">
      <c r="A41" t="s">
        <v>341</v>
      </c>
      <c r="B41" s="55">
        <f>D41/D42</f>
        <v>43.79999999999999</v>
      </c>
      <c r="C41" s="111" t="s">
        <v>342</v>
      </c>
      <c r="D41" s="55">
        <f>'W,use'!A2</f>
        <v>256632.08399999997</v>
      </c>
    </row>
    <row r="42" spans="1:4" x14ac:dyDescent="0.2">
      <c r="B42" s="55"/>
      <c r="C42" t="s">
        <v>326</v>
      </c>
      <c r="D42" s="55">
        <f>D15</f>
        <v>5859.18</v>
      </c>
    </row>
    <row r="43" spans="1:4" x14ac:dyDescent="0.2">
      <c r="A43" t="s">
        <v>343</v>
      </c>
      <c r="B43" s="55"/>
      <c r="D43" s="55"/>
    </row>
    <row r="44" spans="1:4" ht="17" x14ac:dyDescent="0.25">
      <c r="A44" t="s">
        <v>344</v>
      </c>
      <c r="B44" s="55">
        <f>D44/D45</f>
        <v>33.667370542637386</v>
      </c>
      <c r="C44" t="s">
        <v>345</v>
      </c>
      <c r="D44" s="55">
        <f>Ep!A2</f>
        <v>197263.18413601012</v>
      </c>
    </row>
    <row r="45" spans="1:4" x14ac:dyDescent="0.2">
      <c r="B45" s="55"/>
      <c r="C45" t="s">
        <v>326</v>
      </c>
      <c r="D45" s="55">
        <f>D6</f>
        <v>5859.18</v>
      </c>
    </row>
    <row r="46" spans="1:4" ht="17" x14ac:dyDescent="0.25">
      <c r="A46" t="s">
        <v>346</v>
      </c>
      <c r="B46" s="55">
        <f>D46/D47</f>
        <v>6.4602021631915774</v>
      </c>
      <c r="C46" t="s">
        <v>346</v>
      </c>
      <c r="D46" s="55">
        <f>Ep!A4</f>
        <v>37851.487310528828</v>
      </c>
    </row>
    <row r="47" spans="1:4" x14ac:dyDescent="0.2">
      <c r="B47" s="55"/>
      <c r="C47" t="s">
        <v>326</v>
      </c>
      <c r="D47" s="55">
        <f>D6</f>
        <v>5859.18</v>
      </c>
    </row>
    <row r="48" spans="1:4" x14ac:dyDescent="0.2">
      <c r="A48" t="s">
        <v>347</v>
      </c>
      <c r="B48" s="55"/>
    </row>
    <row r="49" spans="1:5" ht="17" x14ac:dyDescent="0.25">
      <c r="A49" t="s">
        <v>589</v>
      </c>
      <c r="B49" s="55">
        <f>B14+B21</f>
        <v>12.294629216865417</v>
      </c>
      <c r="C49" s="112" t="s">
        <v>348</v>
      </c>
      <c r="D49" t="str">
        <f>VLOOKUP(TRUE,C52:D58,2,FALSE)</f>
        <v>A</v>
      </c>
    </row>
    <row r="50" spans="1:5" ht="17" x14ac:dyDescent="0.25">
      <c r="A50" s="107" t="s">
        <v>590</v>
      </c>
      <c r="B50" s="149">
        <f>((B49-B51)/B51)</f>
        <v>-0.85535730333099513</v>
      </c>
    </row>
    <row r="51" spans="1:5" ht="17" x14ac:dyDescent="0.25">
      <c r="A51" t="s">
        <v>595</v>
      </c>
      <c r="B51">
        <v>85</v>
      </c>
    </row>
    <row r="52" spans="1:5" x14ac:dyDescent="0.2">
      <c r="A52" s="110"/>
      <c r="B52" s="110">
        <v>-0.5</v>
      </c>
      <c r="C52" t="b">
        <f>$B$50&lt;B52</f>
        <v>1</v>
      </c>
      <c r="D52" t="s">
        <v>498</v>
      </c>
      <c r="E52" t="str">
        <f>"&lt; "&amp;$B$51*(1+B52)</f>
        <v>&lt; 42,5</v>
      </c>
    </row>
    <row r="53" spans="1:5" x14ac:dyDescent="0.2">
      <c r="A53" s="110">
        <v>-0.5</v>
      </c>
      <c r="B53" s="110">
        <v>-0.2</v>
      </c>
      <c r="C53" t="b">
        <f>AND($B$50&gt;A53,$B$50&lt;=B53)</f>
        <v>0</v>
      </c>
      <c r="D53" t="s">
        <v>499</v>
      </c>
      <c r="E53" t="str">
        <f>"&lt; "&amp;$B$51*(1+B53)</f>
        <v>&lt; 68</v>
      </c>
    </row>
    <row r="54" spans="1:5" x14ac:dyDescent="0.2">
      <c r="A54" s="110">
        <v>-0.2</v>
      </c>
      <c r="B54" s="110">
        <v>0</v>
      </c>
      <c r="C54" t="b">
        <f>AND($B$50&gt;A54,$B$50&lt;=B54)</f>
        <v>0</v>
      </c>
      <c r="D54" t="s">
        <v>500</v>
      </c>
      <c r="E54" t="str">
        <f>"&lt; "&amp;$B$51*(1+B54)</f>
        <v>&lt; 85</v>
      </c>
    </row>
    <row r="55" spans="1:5" x14ac:dyDescent="0.2">
      <c r="A55" s="110">
        <v>0</v>
      </c>
      <c r="B55" s="110">
        <v>0.2</v>
      </c>
      <c r="C55" t="b">
        <f>AND($B$50&gt;A55,$B$50&lt;=B55)</f>
        <v>0</v>
      </c>
      <c r="D55" t="s">
        <v>591</v>
      </c>
      <c r="E55" t="str">
        <f>"&lt; "&amp;$B$51*(1+B55)</f>
        <v>&lt; 102</v>
      </c>
    </row>
    <row r="56" spans="1:5" x14ac:dyDescent="0.2">
      <c r="A56" s="110">
        <v>0.2</v>
      </c>
      <c r="B56" s="110">
        <v>0.35</v>
      </c>
      <c r="C56" t="b">
        <f>AND($B$50&gt;A56,$B$50&lt;=B56)</f>
        <v>0</v>
      </c>
      <c r="D56" t="s">
        <v>592</v>
      </c>
      <c r="E56" t="str">
        <f>"&lt; "&amp;$B$51*(1+B56)</f>
        <v>&lt; 114,75</v>
      </c>
    </row>
    <row r="57" spans="1:5" x14ac:dyDescent="0.2">
      <c r="A57" s="110">
        <v>0.35</v>
      </c>
      <c r="B57" s="110">
        <v>0.5</v>
      </c>
      <c r="C57" t="b">
        <f>AND($B$50&gt;A57,$B$50&lt;=B57)</f>
        <v>0</v>
      </c>
      <c r="D57" t="s">
        <v>593</v>
      </c>
      <c r="E57" t="str">
        <f>"≤ "&amp;$B$51*(1+B57)</f>
        <v>≤ 127,5</v>
      </c>
    </row>
    <row r="58" spans="1:5" x14ac:dyDescent="0.2">
      <c r="A58" s="110"/>
      <c r="B58" s="110">
        <v>0.5</v>
      </c>
      <c r="C58" t="b">
        <f>$B$50&gt;B58</f>
        <v>0</v>
      </c>
      <c r="D58" t="s">
        <v>594</v>
      </c>
      <c r="E58" t="str">
        <f>"&gt; "&amp;$B$51*(1+B58)</f>
        <v>&gt; 127,5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BFAB-2132-461D-BD7B-E292E55B1FAE}">
  <sheetPr>
    <tabColor rgb="FFC00000"/>
  </sheetPr>
  <dimension ref="A1:H25"/>
  <sheetViews>
    <sheetView zoomScale="90" workbookViewId="0">
      <selection activeCell="H26" sqref="H26"/>
    </sheetView>
  </sheetViews>
  <sheetFormatPr baseColWidth="10" defaultColWidth="8.83203125" defaultRowHeight="15" x14ac:dyDescent="0.2"/>
  <cols>
    <col min="5" max="5" width="9.83203125" bestFit="1" customWidth="1"/>
    <col min="6" max="6" width="9" bestFit="1" customWidth="1"/>
    <col min="7" max="8" width="9.6640625" bestFit="1" customWidth="1"/>
  </cols>
  <sheetData>
    <row r="1" spans="1:7" x14ac:dyDescent="0.2">
      <c r="A1" t="s">
        <v>596</v>
      </c>
      <c r="E1">
        <f>E3</f>
        <v>5859.18</v>
      </c>
    </row>
    <row r="2" spans="1:7" x14ac:dyDescent="0.2">
      <c r="A2" t="s">
        <v>597</v>
      </c>
      <c r="E2">
        <f>E4</f>
        <v>17380.93</v>
      </c>
    </row>
    <row r="3" spans="1:7" x14ac:dyDescent="0.2">
      <c r="A3" t="s">
        <v>598</v>
      </c>
      <c r="E3">
        <f>areasAndVolumes[[#Totals],[Загальна площа]]</f>
        <v>5859.18</v>
      </c>
    </row>
    <row r="4" spans="1:7" x14ac:dyDescent="0.2">
      <c r="A4" t="s">
        <v>599</v>
      </c>
      <c r="E4">
        <f>areasAndVolumes[[#Totals],[Загальний об''єм]]</f>
        <v>17380.93</v>
      </c>
    </row>
    <row r="5" spans="1:7" x14ac:dyDescent="0.2">
      <c r="A5" t="s">
        <v>600</v>
      </c>
      <c r="E5">
        <f>areasAndVolumes[[#Totals],[Кількість]]</f>
        <v>9</v>
      </c>
    </row>
    <row r="7" spans="1:7" x14ac:dyDescent="0.2">
      <c r="A7" t="s">
        <v>601</v>
      </c>
      <c r="E7">
        <v>1</v>
      </c>
      <c r="F7">
        <v>4</v>
      </c>
      <c r="G7">
        <f>wallsToEnvironment[[#Totals],[Загальна площа]]+wallsToUnconditionedVolume[[#Totals],[Загальна площа]]</f>
        <v>2036.7199999999998</v>
      </c>
    </row>
    <row r="8" spans="1:7" x14ac:dyDescent="0.2">
      <c r="A8" t="s">
        <v>602</v>
      </c>
      <c r="E8">
        <v>1</v>
      </c>
      <c r="F8">
        <v>7</v>
      </c>
      <c r="G8">
        <f>Qtr!Y3</f>
        <v>648.76</v>
      </c>
    </row>
    <row r="9" spans="1:7" x14ac:dyDescent="0.2">
      <c r="A9" t="s">
        <v>603</v>
      </c>
      <c r="E9" t="s">
        <v>608</v>
      </c>
      <c r="F9">
        <v>6</v>
      </c>
      <c r="G9" t="s">
        <v>608</v>
      </c>
    </row>
    <row r="10" spans="1:7" x14ac:dyDescent="0.2">
      <c r="A10" t="s">
        <v>604</v>
      </c>
      <c r="E10" t="s">
        <v>608</v>
      </c>
      <c r="F10">
        <v>6</v>
      </c>
      <c r="G10" t="s">
        <v>608</v>
      </c>
    </row>
    <row r="11" spans="1:7" x14ac:dyDescent="0.2">
      <c r="A11" t="s">
        <v>605</v>
      </c>
      <c r="E11">
        <v>1</v>
      </c>
      <c r="F11">
        <v>5</v>
      </c>
      <c r="G11">
        <f>Qtr!Y4</f>
        <v>655.37</v>
      </c>
    </row>
    <row r="12" spans="1:7" x14ac:dyDescent="0.2">
      <c r="A12" t="s">
        <v>606</v>
      </c>
      <c r="E12">
        <v>1</v>
      </c>
      <c r="F12">
        <v>0.9</v>
      </c>
      <c r="G12">
        <f>windowsToEnviroment[[#Totals],[Загальна площа]]</f>
        <v>645.80000000000007</v>
      </c>
    </row>
    <row r="13" spans="1:7" x14ac:dyDescent="0.2">
      <c r="A13" t="s">
        <v>607</v>
      </c>
      <c r="E13">
        <v>1</v>
      </c>
      <c r="F13">
        <v>0.7</v>
      </c>
      <c r="G13">
        <f>doorsToEnvironment[[#Totals],[Загальна площа]]</f>
        <v>4.62</v>
      </c>
    </row>
    <row r="15" spans="1:7" x14ac:dyDescent="0.2">
      <c r="A15" t="s">
        <v>609</v>
      </c>
      <c r="E15" s="55" t="str">
        <f>ROUND(Результати!D3/$E$3,2)&amp;" ["&amp;ROUND(Результати!D3/$E$4,2)&amp;"]"</f>
        <v>20,28 [6,84]</v>
      </c>
      <c r="F15" t="s">
        <v>608</v>
      </c>
    </row>
    <row r="16" spans="1:7" x14ac:dyDescent="0.2">
      <c r="A16" t="s">
        <v>610</v>
      </c>
      <c r="E16" s="55" t="str">
        <f>ROUND((Результати!D14+Результати!D28)/$E$3,2)&amp;" ["&amp;ROUND((Результати!D14+Результати!D28)/$E$4,2)&amp;"]"</f>
        <v>19,33 [6,52]</v>
      </c>
      <c r="F16" t="s">
        <v>608</v>
      </c>
    </row>
    <row r="17" spans="1:8" x14ac:dyDescent="0.2">
      <c r="A17" t="s">
        <v>611</v>
      </c>
      <c r="E17" s="55" t="str">
        <f>ROUND(Результати!D44/$E$3,2)&amp;" ["&amp;ROUND(Результати!D44/$E$4,2)&amp;"]"</f>
        <v>33,67 [11,35]</v>
      </c>
      <c r="F17" t="s">
        <v>608</v>
      </c>
    </row>
    <row r="18" spans="1:8" x14ac:dyDescent="0.2">
      <c r="A18" t="s">
        <v>612</v>
      </c>
      <c r="E18" s="55">
        <f>Результати!B46</f>
        <v>6.4602021631915774</v>
      </c>
      <c r="F18" t="s">
        <v>608</v>
      </c>
    </row>
    <row r="20" spans="1:8" x14ac:dyDescent="0.2">
      <c r="A20" t="s">
        <v>613</v>
      </c>
      <c r="E20" t="s">
        <v>608</v>
      </c>
      <c r="F20" t="s">
        <v>608</v>
      </c>
      <c r="G20" s="55">
        <f>Результати!D14/1000</f>
        <v>52.066031987479036</v>
      </c>
      <c r="H20" s="55" t="str">
        <f t="shared" ref="H20:H25" si="0">ROUND(G20*1000/$E$3,2)&amp;" ["&amp;ROUND(G20*1000/$E$4,2)&amp;"]"</f>
        <v>8,89 [3]</v>
      </c>
    </row>
    <row r="21" spans="1:8" x14ac:dyDescent="0.2">
      <c r="A21" t="s">
        <v>614</v>
      </c>
      <c r="E21" t="s">
        <v>608</v>
      </c>
      <c r="F21" t="s">
        <v>608</v>
      </c>
      <c r="G21" s="55">
        <f>Результати!D21/1000</f>
        <v>19.970413627394471</v>
      </c>
      <c r="H21" s="55" t="str">
        <f t="shared" si="0"/>
        <v>3,41 [1,15]</v>
      </c>
    </row>
    <row r="22" spans="1:8" x14ac:dyDescent="0.2">
      <c r="A22" t="s">
        <v>618</v>
      </c>
      <c r="E22" t="s">
        <v>608</v>
      </c>
      <c r="F22" t="s">
        <v>608</v>
      </c>
      <c r="G22" s="55">
        <f>Результати!D28/1000</f>
        <v>61.185707812500006</v>
      </c>
      <c r="H22" s="55" t="str">
        <f t="shared" si="0"/>
        <v>10,44 [3,52]</v>
      </c>
    </row>
    <row r="23" spans="1:8" x14ac:dyDescent="0.2">
      <c r="A23" t="s">
        <v>615</v>
      </c>
      <c r="E23" t="s">
        <v>608</v>
      </c>
      <c r="F23" t="s">
        <v>608</v>
      </c>
      <c r="G23" s="55">
        <f>Результати!D41/1000</f>
        <v>256.63208399999996</v>
      </c>
      <c r="H23" s="55" t="str">
        <f t="shared" si="0"/>
        <v>43,8 [14,77]</v>
      </c>
    </row>
    <row r="24" spans="1:8" x14ac:dyDescent="0.2">
      <c r="A24" t="s">
        <v>616</v>
      </c>
      <c r="E24" t="s">
        <v>608</v>
      </c>
      <c r="F24" t="s">
        <v>608</v>
      </c>
      <c r="G24">
        <f>Результати!D35/1000</f>
        <v>2.6997975937757208</v>
      </c>
      <c r="H24" s="55" t="str">
        <f t="shared" si="0"/>
        <v>0,46 [0,16]</v>
      </c>
    </row>
    <row r="25" spans="1:8" x14ac:dyDescent="0.2">
      <c r="A25" t="s">
        <v>617</v>
      </c>
      <c r="E25" t="s">
        <v>608</v>
      </c>
      <c r="F25" t="s">
        <v>608</v>
      </c>
      <c r="G25" s="55">
        <f>SUM(G20:G24)</f>
        <v>392.55403502114922</v>
      </c>
      <c r="H25" s="55" t="str">
        <f t="shared" si="0"/>
        <v>67 [22,59]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4E0C-F060-4989-8384-7B830D200459}">
  <sheetPr>
    <tabColor rgb="FFC00000"/>
  </sheetPr>
  <dimension ref="A1:B5"/>
  <sheetViews>
    <sheetView zoomScaleNormal="100" workbookViewId="0">
      <selection activeCell="B6" sqref="B6"/>
    </sheetView>
  </sheetViews>
  <sheetFormatPr baseColWidth="10" defaultColWidth="8.83203125" defaultRowHeight="15" x14ac:dyDescent="0.2"/>
  <cols>
    <col min="1" max="1" width="51.1640625" bestFit="1" customWidth="1"/>
  </cols>
  <sheetData>
    <row r="1" spans="1:2" x14ac:dyDescent="0.2">
      <c r="A1" t="s">
        <v>400</v>
      </c>
      <c r="B1" s="150">
        <f>'QH,use'!A2</f>
        <v>52066.031987479037</v>
      </c>
    </row>
    <row r="2" spans="1:2" x14ac:dyDescent="0.2">
      <c r="A2" t="s">
        <v>401</v>
      </c>
      <c r="B2" s="114">
        <f>'QC,use'!A2</f>
        <v>19970.413627394471</v>
      </c>
    </row>
    <row r="3" spans="1:2" x14ac:dyDescent="0.2">
      <c r="A3" t="s">
        <v>450</v>
      </c>
      <c r="B3" s="150">
        <f>'QDHW,use'!A2</f>
        <v>61185.707812500004</v>
      </c>
    </row>
    <row r="4" spans="1:2" x14ac:dyDescent="0.2">
      <c r="A4" t="s">
        <v>402</v>
      </c>
      <c r="B4" s="150">
        <f>'QV,use'!A2</f>
        <v>2699.797593775721</v>
      </c>
    </row>
    <row r="5" spans="1:2" x14ac:dyDescent="0.2">
      <c r="A5" t="s">
        <v>403</v>
      </c>
      <c r="B5" s="114">
        <f>'W,use'!A2</f>
        <v>256632.08399999997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DE6ED3-6F3D-42FF-83A0-923215F016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Відомості</vt:lpstr>
      <vt:lpstr>Вхідні дані</vt:lpstr>
      <vt:lpstr>Матеріали</vt:lpstr>
      <vt:lpstr>Qnd</vt:lpstr>
      <vt:lpstr>Qtr</vt:lpstr>
      <vt:lpstr>Qve</vt:lpstr>
      <vt:lpstr>Qint</vt:lpstr>
      <vt:lpstr>Qsol</vt:lpstr>
      <vt:lpstr>ηgn</vt:lpstr>
      <vt:lpstr>QH,use</vt:lpstr>
      <vt:lpstr>QC,use</vt:lpstr>
      <vt:lpstr>QDHW,use</vt:lpstr>
      <vt:lpstr>QV,use</vt:lpstr>
      <vt:lpstr>W,use</vt:lpstr>
      <vt:lpstr>Ep</vt:lpstr>
      <vt:lpstr>Результати</vt:lpstr>
      <vt:lpstr>Сертифікат</vt:lpstr>
      <vt:lpstr>Діаграма споживання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Олексій Булгаков</dc:creator>
  <cp:lastModifiedBy>Олексій Булгаков</cp:lastModifiedBy>
  <dcterms:created xsi:type="dcterms:W3CDTF">2015-06-05T18:17:20Z</dcterms:created>
  <dcterms:modified xsi:type="dcterms:W3CDTF">2024-10-13T15:12:29Z</dcterms:modified>
</cp:coreProperties>
</file>