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s" sheetId="1" r:id="rId4"/>
    <sheet state="visible" name="Mass Budget" sheetId="2" r:id="rId5"/>
    <sheet state="visible" name="GoPro HERO4 Silver Data" sheetId="3" r:id="rId6"/>
  </sheets>
  <definedNames/>
  <calcPr/>
</workbook>
</file>

<file path=xl/sharedStrings.xml><?xml version="1.0" encoding="utf-8"?>
<sst xmlns="http://schemas.openxmlformats.org/spreadsheetml/2006/main" count="220" uniqueCount="147">
  <si>
    <t>Sunrise Mirror</t>
  </si>
  <si>
    <t>Horizon + Telescope</t>
  </si>
  <si>
    <t>Balloon</t>
  </si>
  <si>
    <t>Sunside</t>
  </si>
  <si>
    <t>Mission Configuration</t>
  </si>
  <si>
    <t>Camera 1</t>
  </si>
  <si>
    <t>Camera 2</t>
  </si>
  <si>
    <t>Camera 3</t>
  </si>
  <si>
    <t>Camera 4</t>
  </si>
  <si>
    <t>Mission Duration</t>
  </si>
  <si>
    <t>days</t>
  </si>
  <si>
    <t>Launch recording duration</t>
  </si>
  <si>
    <t>hours</t>
  </si>
  <si>
    <t>h</t>
  </si>
  <si>
    <t>Landing recording duration</t>
  </si>
  <si>
    <t>Timelapse periodicity</t>
  </si>
  <si>
    <t>s</t>
  </si>
  <si>
    <t>Batteries full date</t>
  </si>
  <si>
    <t>Launch Date</t>
  </si>
  <si>
    <t>Number of Cameras</t>
  </si>
  <si>
    <t>#</t>
  </si>
  <si>
    <t>Launch Standby</t>
  </si>
  <si>
    <t>GoPro Power</t>
  </si>
  <si>
    <t>Batery NiMH</t>
  </si>
  <si>
    <t>Voltage</t>
  </si>
  <si>
    <t>W</t>
  </si>
  <si>
    <t>Current</t>
  </si>
  <si>
    <t>Cable derating</t>
  </si>
  <si>
    <t>Battery Configuration</t>
  </si>
  <si>
    <t>Current(mAh)</t>
  </si>
  <si>
    <t>mAh</t>
  </si>
  <si>
    <t>Switched On</t>
  </si>
  <si>
    <t>In Series</t>
  </si>
  <si>
    <t>V</t>
  </si>
  <si>
    <t>Taking picture</t>
  </si>
  <si>
    <t>In Parallel</t>
  </si>
  <si>
    <t>Weight</t>
  </si>
  <si>
    <t>gr</t>
  </si>
  <si>
    <t>Taking video</t>
  </si>
  <si>
    <t>Total Batteries</t>
  </si>
  <si>
    <t>Energy</t>
  </si>
  <si>
    <t>Watts/h</t>
  </si>
  <si>
    <t>All Cameras On</t>
  </si>
  <si>
    <t>Diode Fordward Voltage</t>
  </si>
  <si>
    <t>Specific Energy</t>
  </si>
  <si>
    <t>W/gr</t>
  </si>
  <si>
    <t>All Cameras Recording</t>
  </si>
  <si>
    <t>Pack Voltage</t>
  </si>
  <si>
    <t>W/Kg</t>
  </si>
  <si>
    <t>Amp/hour</t>
  </si>
  <si>
    <t>Ah</t>
  </si>
  <si>
    <t>Dimension x</t>
  </si>
  <si>
    <t>mm</t>
  </si>
  <si>
    <t>GoPro Data Size</t>
  </si>
  <si>
    <t>FOV</t>
  </si>
  <si>
    <t>https://community.gopro.com/t5/es/Informaci-243-n-del-campo-de-visi-243-n-FOV-de-la-HERO4/ta-p/390417?profile.language=es</t>
  </si>
  <si>
    <t>Wh</t>
  </si>
  <si>
    <t>Dimension y</t>
  </si>
  <si>
    <t>Video Size</t>
  </si>
  <si>
    <t>MB/s</t>
  </si>
  <si>
    <t>Users guide</t>
  </si>
  <si>
    <t>https://gopro.com/content/dam/help/hero4-black/music-bundle-manuals/UM_H4Black-Music_ENG_REVB_WEB.pdf</t>
  </si>
  <si>
    <t>Kg</t>
  </si>
  <si>
    <t>Dimension z</t>
  </si>
  <si>
    <t>Picture Size</t>
  </si>
  <si>
    <t>MB</t>
  </si>
  <si>
    <t>File size in JPG</t>
  </si>
  <si>
    <t>https://toolstud.io/photo/filesize.php?imagewidth=4096&amp;imageheight=3072</t>
  </si>
  <si>
    <t>SDCard Size</t>
  </si>
  <si>
    <t>GB</t>
  </si>
  <si>
    <t>Video size</t>
  </si>
  <si>
    <t>https://havecamerawilltravel.com/gopro/memory-card-size-gopro-hero4/</t>
  </si>
  <si>
    <t>Camera Regulators</t>
  </si>
  <si>
    <t>Picture Duration</t>
  </si>
  <si>
    <t>Max capacity</t>
  </si>
  <si>
    <t>https://images-eu.ssl-images-amazon.com/images/I/81FNp9Q5YZS.pdf</t>
  </si>
  <si>
    <t>Current comsuption</t>
  </si>
  <si>
    <t>mA</t>
  </si>
  <si>
    <t>Picture Wh</t>
  </si>
  <si>
    <t>Efficiency</t>
  </si>
  <si>
    <t>%</t>
  </si>
  <si>
    <t>Pic per day</t>
  </si>
  <si>
    <t>Time On</t>
  </si>
  <si>
    <t>Wh per day</t>
  </si>
  <si>
    <t>Wh/day</t>
  </si>
  <si>
    <t>Standby for Launch</t>
  </si>
  <si>
    <t>Launch</t>
  </si>
  <si>
    <t>Landing</t>
  </si>
  <si>
    <t>Timelapse</t>
  </si>
  <si>
    <t>Device</t>
  </si>
  <si>
    <t>Voltage (V)</t>
  </si>
  <si>
    <t>Time (hours)</t>
  </si>
  <si>
    <t>Current (mA)</t>
  </si>
  <si>
    <t>Energy (Wh)</t>
  </si>
  <si>
    <t>IRIS2 CPU</t>
  </si>
  <si>
    <t>Regulator Cam 1</t>
  </si>
  <si>
    <t>Regulator Cam 1 inefficiency</t>
  </si>
  <si>
    <t>Regulator Cam 2</t>
  </si>
  <si>
    <t>Regulator Cam 2 inefficiency</t>
  </si>
  <si>
    <t>Regulator Cam 3</t>
  </si>
  <si>
    <t>Regulator Cam 3 inefficiency</t>
  </si>
  <si>
    <t>Regulator Cam 4</t>
  </si>
  <si>
    <t>Regulator Cam 4 inefficiency</t>
  </si>
  <si>
    <t>Total</t>
  </si>
  <si>
    <t>Battery %</t>
  </si>
  <si>
    <t>Total Power Consuption</t>
  </si>
  <si>
    <t>Data Budget</t>
  </si>
  <si>
    <t>Camera 01</t>
  </si>
  <si>
    <t>Camera 02</t>
  </si>
  <si>
    <t>Camera 03</t>
  </si>
  <si>
    <t>Camera 04</t>
  </si>
  <si>
    <t>N Pictures</t>
  </si>
  <si>
    <t>Size Pic(MB)</t>
  </si>
  <si>
    <t>Video Minutes</t>
  </si>
  <si>
    <t>Margin 10%</t>
  </si>
  <si>
    <t>Size Vid(MB)</t>
  </si>
  <si>
    <t>Total Battery</t>
  </si>
  <si>
    <t>Total Size (GB)</t>
  </si>
  <si>
    <t>Total Battery %</t>
  </si>
  <si>
    <t>Total %</t>
  </si>
  <si>
    <t>Timelapse Budget</t>
  </si>
  <si>
    <t>60 FPS</t>
  </si>
  <si>
    <t>30 FPS</t>
  </si>
  <si>
    <t>MASS BUDGET</t>
  </si>
  <si>
    <t>Element</t>
  </si>
  <si>
    <t>Unitary/m/m^2 mass</t>
  </si>
  <si>
    <t>Number/m/m^2</t>
  </si>
  <si>
    <t>Total mass [kg]</t>
  </si>
  <si>
    <t>Bars</t>
  </si>
  <si>
    <t>Panels</t>
  </si>
  <si>
    <t>Junctions</t>
  </si>
  <si>
    <t>Bolts</t>
  </si>
  <si>
    <t>CPU PCB</t>
  </si>
  <si>
    <t>FP PCB</t>
  </si>
  <si>
    <t>Harness</t>
  </si>
  <si>
    <t>Batteries</t>
  </si>
  <si>
    <t>Bat. holders</t>
  </si>
  <si>
    <t>GoPros</t>
  </si>
  <si>
    <t>MewPros</t>
  </si>
  <si>
    <t>Total IRIS 2 Mass:</t>
  </si>
  <si>
    <r>
      <rPr>
        <rFont val="Arial"/>
        <i/>
        <color theme="1"/>
      </rPr>
      <t xml:space="preserve">Power consumption data from GoPro HERO4 </t>
    </r>
    <r>
      <rPr>
        <rFont val="Arial"/>
        <b/>
        <i/>
        <color theme="1"/>
      </rPr>
      <t xml:space="preserve">Silver </t>
    </r>
    <r>
      <rPr>
        <rFont val="Arial"/>
        <i/>
        <color theme="1"/>
      </rPr>
      <t>(real tests) 8.4 V</t>
    </r>
  </si>
  <si>
    <t>Min (mA)</t>
  </si>
  <si>
    <t>Typical (mA)</t>
  </si>
  <si>
    <t>Max (mA)</t>
  </si>
  <si>
    <t>Standby</t>
  </si>
  <si>
    <t>Recording video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</si>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</sst>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d mmm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color theme="1"/>
      <name val="Arial"/>
    </font>
    <font>
      <color theme="1"/>
      <name val="Arial"/>
    </font>
    <font>
      <color rgb="FFFFD966"/>
      <name val="Arial"/>
      <scheme val="minor"/>
    </font>
    <font>
      <u/>
      <color rgb="FF0000FF"/>
    </font>
    <font>
      <u/>
      <color rgb="FF1155CC"/>
    </font>
    <font>
      <i/>
      <color theme="1"/>
      <name val="Arial"/>
    </font>
    <font>
      <i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readingOrder="0"/>
    </xf>
    <xf borderId="4" fillId="2" fontId="1" numFmtId="0" xfId="0" applyAlignment="1" applyBorder="1" applyFill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1" fillId="0" fontId="4" numFmtId="0" xfId="0" applyAlignment="1" applyBorder="1" applyFont="1">
      <alignment horizontal="center" readingOrder="0" shrinkToFit="0" vertical="bottom" wrapText="0"/>
    </xf>
    <xf borderId="4" fillId="0" fontId="1" numFmtId="0" xfId="0" applyBorder="1" applyFont="1"/>
    <xf borderId="4" fillId="0" fontId="2" numFmtId="0" xfId="0" applyAlignment="1" applyBorder="1" applyFont="1">
      <alignment horizontal="center" readingOrder="0"/>
    </xf>
    <xf borderId="5" fillId="0" fontId="5" numFmtId="0" xfId="0" applyAlignment="1" applyBorder="1" applyFont="1">
      <alignment readingOrder="0" shrinkToFit="0" vertical="bottom" wrapText="0"/>
    </xf>
    <xf borderId="6" fillId="0" fontId="5" numFmtId="0" xfId="0" applyAlignment="1" applyBorder="1" applyFont="1">
      <alignment horizontal="right" readingOrder="0" shrinkToFit="0" vertical="bottom" wrapText="0"/>
    </xf>
    <xf borderId="6" fillId="0" fontId="5" numFmtId="0" xfId="0" applyAlignment="1" applyBorder="1" applyFont="1">
      <alignment readingOrder="0" shrinkToFit="0" vertical="bottom" wrapText="0"/>
    </xf>
    <xf borderId="4" fillId="3" fontId="6" numFmtId="0" xfId="0" applyAlignment="1" applyBorder="1" applyFill="1" applyFont="1">
      <alignment readingOrder="0"/>
    </xf>
    <xf borderId="4" fillId="0" fontId="1" numFmtId="10" xfId="0" applyBorder="1" applyFont="1" applyNumberFormat="1"/>
    <xf borderId="5" fillId="0" fontId="5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5" fillId="0" fontId="4" numFmtId="0" xfId="0" applyAlignment="1" applyBorder="1" applyFont="1">
      <alignment readingOrder="0" shrinkToFit="0" vertical="bottom" wrapText="0"/>
    </xf>
    <xf borderId="6" fillId="0" fontId="4" numFmtId="0" xfId="0" applyAlignment="1" applyBorder="1" applyFont="1">
      <alignment horizontal="right" readingOrder="0" shrinkToFit="0" vertical="bottom" wrapText="0"/>
    </xf>
    <xf borderId="6" fillId="0" fontId="4" numFmtId="0" xfId="0" applyAlignment="1" applyBorder="1" applyFont="1">
      <alignment readingOrder="0" shrinkToFit="0" vertical="bottom" wrapText="0"/>
    </xf>
    <xf borderId="6" fillId="0" fontId="5" numFmtId="0" xfId="0" applyAlignment="1" applyBorder="1" applyFont="1">
      <alignment horizontal="right" readingOrder="0" shrinkToFit="0" vertical="bottom" wrapText="0"/>
    </xf>
    <xf borderId="6" fillId="0" fontId="5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4" fillId="4" fontId="1" numFmtId="0" xfId="0" applyAlignment="1" applyBorder="1" applyFill="1" applyFont="1">
      <alignment readingOrder="0"/>
    </xf>
    <xf borderId="4" fillId="3" fontId="6" numFmtId="10" xfId="0" applyAlignment="1" applyBorder="1" applyFont="1" applyNumberFormat="1">
      <alignment readingOrder="0"/>
    </xf>
    <xf borderId="0" fillId="0" fontId="4" numFmtId="0" xfId="0" applyAlignment="1" applyFont="1">
      <alignment readingOrder="0" shrinkToFit="0" vertical="top" wrapText="1"/>
    </xf>
    <xf borderId="4" fillId="0" fontId="4" numFmtId="0" xfId="0" applyAlignment="1" applyBorder="1" applyFont="1">
      <alignment readingOrder="0" shrinkToFit="0" vertical="top" wrapText="1"/>
    </xf>
    <xf borderId="3" fillId="0" fontId="4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1" fillId="5" fontId="4" numFmtId="0" xfId="0" applyAlignment="1" applyBorder="1" applyFill="1" applyFont="1">
      <alignment horizontal="center" readingOrder="0" vertical="bottom"/>
    </xf>
    <xf borderId="4" fillId="6" fontId="4" numFmtId="0" xfId="0" applyAlignment="1" applyBorder="1" applyFill="1" applyFont="1">
      <alignment vertical="bottom"/>
    </xf>
    <xf borderId="3" fillId="6" fontId="4" numFmtId="0" xfId="0" applyAlignment="1" applyBorder="1" applyFont="1">
      <alignment vertical="bottom"/>
    </xf>
    <xf borderId="3" fillId="6" fontId="4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6" fillId="0" fontId="5" numFmtId="0" xfId="0" applyAlignment="1" applyBorder="1" applyFont="1">
      <alignment horizontal="right" vertical="bottom"/>
    </xf>
    <xf borderId="6" fillId="0" fontId="5" numFmtId="0" xfId="0" applyAlignment="1" applyBorder="1" applyFont="1">
      <alignment horizontal="right" vertical="bottom"/>
    </xf>
    <xf borderId="5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5" numFmtId="0" xfId="0" applyAlignment="1" applyBorder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10" numFmtId="0" xfId="0" applyAlignment="1" applyFont="1">
      <alignment horizontal="center" readingOrder="0"/>
    </xf>
    <xf borderId="6" fillId="0" fontId="5" numFmtId="0" xfId="0" applyAlignment="1" applyBorder="1" applyFont="1">
      <alignment vertical="bottom"/>
    </xf>
    <xf borderId="3" fillId="0" fontId="5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right" vertical="bottom"/>
    </xf>
    <xf borderId="4" fillId="0" fontId="5" numFmtId="0" xfId="0" applyAlignment="1" applyBorder="1" applyFont="1">
      <alignment horizontal="right" vertical="bottom"/>
    </xf>
    <xf borderId="4" fillId="0" fontId="5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mmunity.gopro.com/t5/es/Informaci-243-n-del-campo-de-visi-243-n-FOV-de-la-HERO4/ta-p/390417?profile.language=es" TargetMode="External"/><Relationship Id="rId2" Type="http://schemas.openxmlformats.org/officeDocument/2006/relationships/hyperlink" Target="https://gopro.com/content/dam/help/hero4-black/music-bundle-manuals/UM_H4Black-Music_ENG_REVB_WEB.pdf" TargetMode="External"/><Relationship Id="rId3" Type="http://schemas.openxmlformats.org/officeDocument/2006/relationships/hyperlink" Target="https://toolstud.io/photo/filesize.php?imagewidth=4096&amp;imageheight=3072" TargetMode="External"/><Relationship Id="rId4" Type="http://schemas.openxmlformats.org/officeDocument/2006/relationships/hyperlink" Target="https://havecamerawilltravel.com/gopro/memory-card-size-gopro-hero4/" TargetMode="External"/><Relationship Id="rId5" Type="http://schemas.openxmlformats.org/officeDocument/2006/relationships/hyperlink" Target="https://images-eu.ssl-images-amazon.com/images/I/81FNp9Q5YZS.pdf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24.13"/>
    <col customWidth="1" min="3" max="3" width="8.5"/>
    <col customWidth="1" min="4" max="4" width="9.25"/>
    <col customWidth="1" min="5" max="5" width="14.13"/>
    <col customWidth="1" min="6" max="6" width="13.75"/>
    <col customWidth="1" min="7" max="7" width="10.38"/>
    <col customWidth="1" min="8" max="8" width="10.13"/>
    <col customWidth="1" min="9" max="9" width="10.75"/>
    <col customWidth="1" min="10" max="10" width="18.13"/>
    <col customWidth="1" min="11" max="11" width="12.88"/>
    <col customWidth="1" min="12" max="12" width="13.75"/>
    <col customWidth="1" min="13" max="13" width="15.38"/>
  </cols>
  <sheetData>
    <row r="1">
      <c r="E1" s="1" t="s">
        <v>0</v>
      </c>
      <c r="F1" s="1" t="s">
        <v>1</v>
      </c>
      <c r="G1" s="1" t="s">
        <v>2</v>
      </c>
      <c r="H1" s="1" t="s">
        <v>3</v>
      </c>
    </row>
    <row r="2">
      <c r="B2" s="2" t="s">
        <v>4</v>
      </c>
      <c r="C2" s="3"/>
      <c r="D2" s="4"/>
      <c r="E2" s="5" t="s">
        <v>5</v>
      </c>
      <c r="F2" s="5" t="s">
        <v>6</v>
      </c>
      <c r="G2" s="5" t="s">
        <v>7</v>
      </c>
      <c r="H2" s="5" t="s">
        <v>8</v>
      </c>
      <c r="K2" s="5" t="s">
        <v>5</v>
      </c>
      <c r="L2" s="5" t="s">
        <v>0</v>
      </c>
    </row>
    <row r="3">
      <c r="B3" s="5" t="s">
        <v>9</v>
      </c>
      <c r="C3" s="6">
        <v>6.5</v>
      </c>
      <c r="D3" s="5" t="s">
        <v>10</v>
      </c>
      <c r="E3" s="6">
        <f t="shared" ref="E3:E4" si="2">C3</f>
        <v>6.5</v>
      </c>
      <c r="F3" s="6">
        <f t="shared" ref="F3:G3" si="1">E3</f>
        <v>6.5</v>
      </c>
      <c r="G3" s="6">
        <f t="shared" si="1"/>
        <v>6.5</v>
      </c>
      <c r="H3" s="6">
        <f>1</f>
        <v>1</v>
      </c>
      <c r="I3" s="1" t="s">
        <v>10</v>
      </c>
      <c r="K3" s="5" t="s">
        <v>6</v>
      </c>
      <c r="L3" s="5" t="s">
        <v>1</v>
      </c>
    </row>
    <row r="4">
      <c r="B4" s="5" t="s">
        <v>11</v>
      </c>
      <c r="C4" s="6">
        <v>2.0</v>
      </c>
      <c r="D4" s="5" t="s">
        <v>12</v>
      </c>
      <c r="E4" s="6">
        <f t="shared" si="2"/>
        <v>2</v>
      </c>
      <c r="F4" s="6">
        <f>$C$4</f>
        <v>2</v>
      </c>
      <c r="G4" s="6">
        <v>1.0</v>
      </c>
      <c r="H4" s="6">
        <v>1.0</v>
      </c>
      <c r="I4" s="1" t="s">
        <v>13</v>
      </c>
      <c r="J4" s="7">
        <f>E4+F4+G4+H4+E5+F5+G5+H5</f>
        <v>8.5</v>
      </c>
      <c r="K4" s="5" t="s">
        <v>7</v>
      </c>
      <c r="L4" s="5" t="s">
        <v>3</v>
      </c>
    </row>
    <row r="5">
      <c r="B5" s="5" t="s">
        <v>14</v>
      </c>
      <c r="C5" s="6">
        <v>1.0</v>
      </c>
      <c r="D5" s="5" t="s">
        <v>12</v>
      </c>
      <c r="E5" s="6">
        <v>0.5</v>
      </c>
      <c r="F5" s="6">
        <f>C5</f>
        <v>1</v>
      </c>
      <c r="G5" s="6">
        <v>0.5</v>
      </c>
      <c r="H5" s="6">
        <v>0.5</v>
      </c>
      <c r="I5" s="1" t="s">
        <v>13</v>
      </c>
      <c r="K5" s="5" t="s">
        <v>8</v>
      </c>
      <c r="L5" s="5" t="s">
        <v>2</v>
      </c>
    </row>
    <row r="6">
      <c r="B6" s="5" t="s">
        <v>15</v>
      </c>
      <c r="C6" s="6">
        <v>120.0</v>
      </c>
      <c r="D6" s="5" t="s">
        <v>16</v>
      </c>
      <c r="E6" s="1" t="s">
        <v>17</v>
      </c>
      <c r="F6" s="1" t="s">
        <v>18</v>
      </c>
    </row>
    <row r="7">
      <c r="B7" s="5" t="s">
        <v>19</v>
      </c>
      <c r="C7" s="6">
        <v>4.0</v>
      </c>
      <c r="D7" s="5" t="s">
        <v>20</v>
      </c>
      <c r="E7" s="8">
        <v>44677.0</v>
      </c>
      <c r="F7" s="9">
        <v>44752.0</v>
      </c>
    </row>
    <row r="8">
      <c r="B8" s="5" t="s">
        <v>21</v>
      </c>
      <c r="C8" s="6">
        <v>2.0</v>
      </c>
      <c r="D8" s="5" t="s">
        <v>10</v>
      </c>
      <c r="J8" s="2" t="s">
        <v>22</v>
      </c>
      <c r="K8" s="3"/>
      <c r="L8" s="3"/>
      <c r="M8" s="3"/>
      <c r="N8" s="4"/>
    </row>
    <row r="9">
      <c r="F9" s="10" t="s">
        <v>23</v>
      </c>
      <c r="G9" s="3"/>
      <c r="H9" s="4"/>
      <c r="J9" s="11"/>
      <c r="K9" s="12" t="s">
        <v>24</v>
      </c>
      <c r="L9" s="12" t="s">
        <v>25</v>
      </c>
      <c r="M9" s="12" t="s">
        <v>26</v>
      </c>
      <c r="N9" s="12" t="s">
        <v>27</v>
      </c>
    </row>
    <row r="10">
      <c r="B10" s="2" t="s">
        <v>28</v>
      </c>
      <c r="C10" s="3"/>
      <c r="D10" s="4"/>
      <c r="F10" s="13" t="s">
        <v>29</v>
      </c>
      <c r="G10" s="14">
        <v>2500.0</v>
      </c>
      <c r="H10" s="15" t="s">
        <v>30</v>
      </c>
      <c r="J10" s="5" t="s">
        <v>31</v>
      </c>
      <c r="K10" s="5">
        <v>3.92</v>
      </c>
      <c r="L10" s="16">
        <v>1.5</v>
      </c>
      <c r="M10" s="11">
        <f t="shared" ref="M10:M14" si="3">L10/K10</f>
        <v>0.3826530612</v>
      </c>
      <c r="N10" s="17">
        <f t="shared" ref="N10:N14" si="4">M10/2</f>
        <v>0.1913265306</v>
      </c>
    </row>
    <row r="11">
      <c r="B11" s="5" t="s">
        <v>32</v>
      </c>
      <c r="C11" s="6">
        <v>7.0</v>
      </c>
      <c r="D11" s="5" t="s">
        <v>20</v>
      </c>
      <c r="F11" s="18" t="s">
        <v>24</v>
      </c>
      <c r="G11" s="14">
        <v>1.2</v>
      </c>
      <c r="H11" s="15" t="s">
        <v>33</v>
      </c>
      <c r="J11" s="5" t="s">
        <v>34</v>
      </c>
      <c r="K11" s="5">
        <v>3.92</v>
      </c>
      <c r="L11" s="16">
        <v>1.78</v>
      </c>
      <c r="M11" s="11">
        <f t="shared" si="3"/>
        <v>0.4540816327</v>
      </c>
      <c r="N11" s="17">
        <f t="shared" si="4"/>
        <v>0.2270408163</v>
      </c>
    </row>
    <row r="12">
      <c r="B12" s="5" t="s">
        <v>35</v>
      </c>
      <c r="C12" s="6">
        <v>8.0</v>
      </c>
      <c r="D12" s="5" t="s">
        <v>20</v>
      </c>
      <c r="F12" s="18" t="s">
        <v>36</v>
      </c>
      <c r="G12" s="14">
        <v>30.0</v>
      </c>
      <c r="H12" s="15" t="s">
        <v>37</v>
      </c>
      <c r="J12" s="5" t="s">
        <v>38</v>
      </c>
      <c r="K12" s="5">
        <v>3.92</v>
      </c>
      <c r="L12" s="16">
        <v>4.0</v>
      </c>
      <c r="M12" s="11">
        <f t="shared" si="3"/>
        <v>1.020408163</v>
      </c>
      <c r="N12" s="17">
        <f t="shared" si="4"/>
        <v>0.5102040816</v>
      </c>
    </row>
    <row r="13">
      <c r="B13" s="5" t="s">
        <v>39</v>
      </c>
      <c r="C13" s="11">
        <f>C11*C12</f>
        <v>56</v>
      </c>
      <c r="D13" s="5" t="s">
        <v>20</v>
      </c>
      <c r="F13" s="18" t="s">
        <v>40</v>
      </c>
      <c r="G13" s="14">
        <f>G10*G11/1000</f>
        <v>3</v>
      </c>
      <c r="H13" s="15" t="s">
        <v>41</v>
      </c>
      <c r="J13" s="5" t="s">
        <v>42</v>
      </c>
      <c r="K13" s="11">
        <f>C15</f>
        <v>8</v>
      </c>
      <c r="L13" s="11">
        <f>C7*L10</f>
        <v>6</v>
      </c>
      <c r="M13" s="11">
        <f t="shared" si="3"/>
        <v>0.75</v>
      </c>
      <c r="N13" s="17">
        <f t="shared" si="4"/>
        <v>0.375</v>
      </c>
    </row>
    <row r="14">
      <c r="A14" s="19"/>
      <c r="B14" s="5" t="s">
        <v>43</v>
      </c>
      <c r="C14" s="6">
        <v>0.4</v>
      </c>
      <c r="D14" s="5" t="s">
        <v>33</v>
      </c>
      <c r="F14" s="20" t="s">
        <v>44</v>
      </c>
      <c r="G14" s="21">
        <f>G13/G12</f>
        <v>0.1</v>
      </c>
      <c r="H14" s="22" t="s">
        <v>45</v>
      </c>
      <c r="J14" s="5" t="s">
        <v>46</v>
      </c>
      <c r="K14" s="11">
        <f>C15</f>
        <v>8</v>
      </c>
      <c r="L14" s="11">
        <f>C7*L12</f>
        <v>16</v>
      </c>
      <c r="M14" s="11">
        <f t="shared" si="3"/>
        <v>2</v>
      </c>
      <c r="N14" s="17">
        <f t="shared" si="4"/>
        <v>1</v>
      </c>
      <c r="R14" s="19"/>
      <c r="S14" s="19"/>
      <c r="T14" s="19"/>
      <c r="U14" s="19"/>
      <c r="V14" s="19"/>
      <c r="W14" s="19"/>
      <c r="X14" s="19"/>
      <c r="Y14" s="19"/>
      <c r="Z14" s="19"/>
    </row>
    <row r="15">
      <c r="B15" s="5" t="s">
        <v>47</v>
      </c>
      <c r="C15" s="11">
        <f>C11*G11-C14</f>
        <v>8</v>
      </c>
      <c r="D15" s="5" t="s">
        <v>33</v>
      </c>
      <c r="F15" s="20" t="s">
        <v>44</v>
      </c>
      <c r="G15" s="21">
        <f>G14*1000</f>
        <v>100</v>
      </c>
      <c r="H15" s="22" t="s">
        <v>48</v>
      </c>
    </row>
    <row r="16">
      <c r="B16" s="5" t="s">
        <v>49</v>
      </c>
      <c r="C16" s="11">
        <f>G10*C12/1000</f>
        <v>20</v>
      </c>
      <c r="D16" s="5" t="s">
        <v>50</v>
      </c>
      <c r="F16" s="13" t="s">
        <v>51</v>
      </c>
      <c r="G16" s="23">
        <v>14.5</v>
      </c>
      <c r="H16" s="24" t="s">
        <v>52</v>
      </c>
      <c r="J16" s="2" t="s">
        <v>53</v>
      </c>
      <c r="K16" s="3"/>
      <c r="L16" s="4"/>
      <c r="M16" s="1" t="s">
        <v>54</v>
      </c>
      <c r="N16" s="25" t="s">
        <v>55</v>
      </c>
    </row>
    <row r="17">
      <c r="B17" s="5" t="s">
        <v>56</v>
      </c>
      <c r="C17" s="11">
        <f>C16*C15</f>
        <v>160</v>
      </c>
      <c r="D17" s="5" t="s">
        <v>56</v>
      </c>
      <c r="F17" s="13" t="s">
        <v>57</v>
      </c>
      <c r="G17" s="23">
        <v>14.5</v>
      </c>
      <c r="H17" s="24" t="s">
        <v>52</v>
      </c>
      <c r="J17" s="5" t="s">
        <v>58</v>
      </c>
      <c r="K17" s="16">
        <f>32*1024/(66.5*60)</f>
        <v>8.212531328</v>
      </c>
      <c r="L17" s="5" t="s">
        <v>59</v>
      </c>
      <c r="M17" s="1" t="s">
        <v>60</v>
      </c>
      <c r="N17" s="26" t="s">
        <v>61</v>
      </c>
    </row>
    <row r="18">
      <c r="B18" s="5" t="s">
        <v>36</v>
      </c>
      <c r="C18" s="11">
        <f>C13*G12/1000</f>
        <v>1.68</v>
      </c>
      <c r="D18" s="5" t="s">
        <v>62</v>
      </c>
      <c r="F18" s="13" t="s">
        <v>63</v>
      </c>
      <c r="G18" s="23">
        <v>51.0</v>
      </c>
      <c r="H18" s="24" t="s">
        <v>52</v>
      </c>
      <c r="J18" s="5" t="s">
        <v>64</v>
      </c>
      <c r="K18" s="16">
        <f>2.57*1.2</f>
        <v>3.084</v>
      </c>
      <c r="L18" s="5" t="s">
        <v>65</v>
      </c>
      <c r="M18" s="1" t="s">
        <v>66</v>
      </c>
      <c r="N18" s="26" t="s">
        <v>67</v>
      </c>
    </row>
    <row r="19">
      <c r="J19" s="5" t="s">
        <v>68</v>
      </c>
      <c r="K19" s="27">
        <v>128.0</v>
      </c>
      <c r="L19" s="5" t="s">
        <v>69</v>
      </c>
      <c r="M19" s="1" t="s">
        <v>70</v>
      </c>
      <c r="N19" s="26" t="s">
        <v>71</v>
      </c>
    </row>
    <row r="20">
      <c r="B20" s="2" t="s">
        <v>72</v>
      </c>
      <c r="C20" s="3"/>
      <c r="D20" s="4"/>
      <c r="J20" s="5" t="s">
        <v>73</v>
      </c>
      <c r="K20" s="16">
        <v>11.8</v>
      </c>
      <c r="L20" s="5" t="s">
        <v>16</v>
      </c>
      <c r="M20" s="1" t="s">
        <v>74</v>
      </c>
      <c r="N20" s="25" t="s">
        <v>75</v>
      </c>
    </row>
    <row r="21">
      <c r="B21" s="5" t="s">
        <v>76</v>
      </c>
      <c r="C21" s="16">
        <v>15.0</v>
      </c>
      <c r="D21" s="5" t="s">
        <v>77</v>
      </c>
      <c r="J21" s="5" t="s">
        <v>78</v>
      </c>
      <c r="K21" s="11">
        <f>K20/3600*L11</f>
        <v>0.005834444444</v>
      </c>
      <c r="L21" s="5" t="s">
        <v>56</v>
      </c>
    </row>
    <row r="22">
      <c r="B22" s="5" t="s">
        <v>79</v>
      </c>
      <c r="C22" s="28">
        <v>0.9</v>
      </c>
      <c r="D22" s="5" t="s">
        <v>80</v>
      </c>
      <c r="G22" s="7">
        <f>K22*6</f>
        <v>4320</v>
      </c>
      <c r="J22" s="5" t="s">
        <v>81</v>
      </c>
      <c r="K22" s="11">
        <f>24*3600/C6</f>
        <v>720</v>
      </c>
      <c r="L22" s="5" t="s">
        <v>20</v>
      </c>
    </row>
    <row r="23">
      <c r="F23" s="7">
        <f>0.003*C15</f>
        <v>0.024</v>
      </c>
      <c r="G23" s="7">
        <f>24*3600</f>
        <v>86400</v>
      </c>
      <c r="J23" s="5" t="s">
        <v>82</v>
      </c>
      <c r="K23" s="11">
        <f>K22*K20</f>
        <v>8496</v>
      </c>
      <c r="L23" s="5" t="s">
        <v>16</v>
      </c>
      <c r="M23" s="1">
        <v>16000.0</v>
      </c>
    </row>
    <row r="24">
      <c r="G24" s="7">
        <f>G23/G22</f>
        <v>20</v>
      </c>
      <c r="J24" s="5" t="s">
        <v>83</v>
      </c>
      <c r="K24" s="11">
        <f>K21*K22</f>
        <v>4.2008</v>
      </c>
      <c r="L24" s="5" t="s">
        <v>84</v>
      </c>
      <c r="M24" s="7">
        <f>M23/K17</f>
        <v>1948.242188</v>
      </c>
    </row>
    <row r="25">
      <c r="G25" s="7">
        <f>2^16</f>
        <v>65536</v>
      </c>
      <c r="M25" s="7">
        <f>M24/3600</f>
        <v>0.5411783854</v>
      </c>
    </row>
    <row r="26">
      <c r="J26" s="29"/>
      <c r="K26" s="29"/>
      <c r="L26" s="29"/>
      <c r="M26" s="29"/>
      <c r="Q26" s="19"/>
    </row>
    <row r="27">
      <c r="D27" s="2" t="s">
        <v>85</v>
      </c>
      <c r="E27" s="3"/>
      <c r="F27" s="4"/>
      <c r="G27" s="2" t="s">
        <v>86</v>
      </c>
      <c r="H27" s="3"/>
      <c r="I27" s="4"/>
      <c r="J27" s="2" t="s">
        <v>87</v>
      </c>
      <c r="K27" s="3"/>
      <c r="L27" s="4"/>
      <c r="M27" s="2" t="s">
        <v>88</v>
      </c>
      <c r="N27" s="3"/>
      <c r="O27" s="4"/>
    </row>
    <row r="28">
      <c r="B28" s="30" t="s">
        <v>89</v>
      </c>
      <c r="C28" s="31" t="s">
        <v>90</v>
      </c>
      <c r="D28" s="31" t="s">
        <v>91</v>
      </c>
      <c r="E28" s="31" t="s">
        <v>92</v>
      </c>
      <c r="F28" s="31" t="s">
        <v>93</v>
      </c>
      <c r="G28" s="31" t="s">
        <v>91</v>
      </c>
      <c r="H28" s="31" t="s">
        <v>92</v>
      </c>
      <c r="I28" s="31" t="s">
        <v>93</v>
      </c>
      <c r="J28" s="31" t="s">
        <v>91</v>
      </c>
      <c r="K28" s="31" t="s">
        <v>92</v>
      </c>
      <c r="L28" s="31" t="s">
        <v>93</v>
      </c>
      <c r="M28" s="31" t="s">
        <v>91</v>
      </c>
      <c r="N28" s="31" t="s">
        <v>92</v>
      </c>
      <c r="O28" s="31" t="s">
        <v>93</v>
      </c>
    </row>
    <row r="29">
      <c r="B29" s="18" t="s">
        <v>94</v>
      </c>
      <c r="C29" s="14">
        <f t="shared" ref="C29:C41" si="5">$C$15</f>
        <v>8</v>
      </c>
      <c r="D29" s="14">
        <f>C8*24</f>
        <v>48</v>
      </c>
      <c r="E29" s="14">
        <v>3.0</v>
      </c>
      <c r="F29" s="14">
        <f t="shared" ref="F29:F41" si="6">D29*E29*C29/1000</f>
        <v>1.152</v>
      </c>
      <c r="G29" s="14">
        <f>C4</f>
        <v>2</v>
      </c>
      <c r="H29" s="14">
        <v>3.0</v>
      </c>
      <c r="I29" s="14">
        <f t="shared" ref="I29:I41" si="7">G29*H29*$C29/1000</f>
        <v>0.048</v>
      </c>
      <c r="J29" s="14">
        <f>C5</f>
        <v>1</v>
      </c>
      <c r="K29" s="14">
        <v>3.0</v>
      </c>
      <c r="L29" s="14">
        <f t="shared" ref="L29:L41" si="8">J29*K29*$C29/1000</f>
        <v>0.024</v>
      </c>
      <c r="M29" s="14">
        <f>C3*24</f>
        <v>156</v>
      </c>
      <c r="N29" s="14">
        <v>3.0</v>
      </c>
      <c r="O29" s="14">
        <f t="shared" ref="O29:O41" si="9">M29*N29*$C29/1000</f>
        <v>3.744</v>
      </c>
    </row>
    <row r="30">
      <c r="B30" s="18" t="s">
        <v>5</v>
      </c>
      <c r="C30" s="14">
        <f t="shared" si="5"/>
        <v>8</v>
      </c>
      <c r="D30" s="14">
        <v>0.0</v>
      </c>
      <c r="E30" s="14">
        <v>0.0</v>
      </c>
      <c r="F30" s="14">
        <f t="shared" si="6"/>
        <v>0</v>
      </c>
      <c r="G30" s="14">
        <f t="shared" ref="G30:G32" si="10">$E$4</f>
        <v>2</v>
      </c>
      <c r="H30" s="14">
        <f>$L$12/$C30*1000</f>
        <v>500</v>
      </c>
      <c r="I30" s="14">
        <f t="shared" si="7"/>
        <v>8</v>
      </c>
      <c r="J30" s="14">
        <f t="shared" ref="J30:J32" si="11">$E$5</f>
        <v>0.5</v>
      </c>
      <c r="K30" s="14">
        <f>$L$12/$C30*1000</f>
        <v>500</v>
      </c>
      <c r="L30" s="14">
        <f t="shared" si="8"/>
        <v>2</v>
      </c>
      <c r="M30" s="14">
        <f t="shared" ref="M30:M32" si="12">$K$23*$E$3/3600</f>
        <v>15.34</v>
      </c>
      <c r="N30" s="14">
        <f>$L$11/$C30*1000</f>
        <v>222.5</v>
      </c>
      <c r="O30" s="14">
        <f t="shared" si="9"/>
        <v>27.3052</v>
      </c>
      <c r="P30" s="32"/>
    </row>
    <row r="31">
      <c r="B31" s="13" t="s">
        <v>95</v>
      </c>
      <c r="C31" s="14">
        <f t="shared" si="5"/>
        <v>8</v>
      </c>
      <c r="D31" s="14">
        <v>0.0</v>
      </c>
      <c r="E31" s="14">
        <v>0.0</v>
      </c>
      <c r="F31" s="14">
        <f t="shared" si="6"/>
        <v>0</v>
      </c>
      <c r="G31" s="14">
        <f t="shared" si="10"/>
        <v>2</v>
      </c>
      <c r="H31" s="14">
        <f>$C21</f>
        <v>15</v>
      </c>
      <c r="I31" s="14">
        <f t="shared" si="7"/>
        <v>0.24</v>
      </c>
      <c r="J31" s="14">
        <f t="shared" si="11"/>
        <v>0.5</v>
      </c>
      <c r="K31" s="14">
        <f>$C21</f>
        <v>15</v>
      </c>
      <c r="L31" s="14">
        <f t="shared" si="8"/>
        <v>0.06</v>
      </c>
      <c r="M31" s="14">
        <f t="shared" si="12"/>
        <v>15.34</v>
      </c>
      <c r="N31" s="14">
        <f>$C21</f>
        <v>15</v>
      </c>
      <c r="O31" s="14">
        <f t="shared" si="9"/>
        <v>1.8408</v>
      </c>
      <c r="P31" s="32"/>
    </row>
    <row r="32">
      <c r="B32" s="13" t="s">
        <v>96</v>
      </c>
      <c r="C32" s="14">
        <f t="shared" si="5"/>
        <v>8</v>
      </c>
      <c r="D32" s="14">
        <v>0.0</v>
      </c>
      <c r="E32" s="14">
        <v>0.0</v>
      </c>
      <c r="F32" s="14">
        <f t="shared" si="6"/>
        <v>0</v>
      </c>
      <c r="G32" s="14">
        <f t="shared" si="10"/>
        <v>2</v>
      </c>
      <c r="H32" s="14">
        <f>H30*(1-$C$22)</f>
        <v>50</v>
      </c>
      <c r="I32" s="14">
        <f t="shared" si="7"/>
        <v>0.8</v>
      </c>
      <c r="J32" s="14">
        <f t="shared" si="11"/>
        <v>0.5</v>
      </c>
      <c r="K32" s="14">
        <f>K30*(1-$C$22)</f>
        <v>50</v>
      </c>
      <c r="L32" s="14">
        <f t="shared" si="8"/>
        <v>0.2</v>
      </c>
      <c r="M32" s="14">
        <f t="shared" si="12"/>
        <v>15.34</v>
      </c>
      <c r="N32" s="14">
        <f>N30*(1-$C$22)</f>
        <v>22.25</v>
      </c>
      <c r="O32" s="14">
        <f t="shared" si="9"/>
        <v>2.73052</v>
      </c>
      <c r="P32" s="33"/>
    </row>
    <row r="33">
      <c r="B33" s="18" t="s">
        <v>6</v>
      </c>
      <c r="C33" s="14">
        <f t="shared" si="5"/>
        <v>8</v>
      </c>
      <c r="D33" s="14">
        <v>0.0</v>
      </c>
      <c r="E33" s="14">
        <v>0.0</v>
      </c>
      <c r="F33" s="14">
        <f t="shared" si="6"/>
        <v>0</v>
      </c>
      <c r="G33" s="14">
        <f>F4</f>
        <v>2</v>
      </c>
      <c r="H33" s="14">
        <f>$L$12/$C33*1000</f>
        <v>500</v>
      </c>
      <c r="I33" s="14">
        <f t="shared" si="7"/>
        <v>8</v>
      </c>
      <c r="J33" s="14">
        <f>F5</f>
        <v>1</v>
      </c>
      <c r="K33" s="14">
        <f>$L$12/$C33*1000</f>
        <v>500</v>
      </c>
      <c r="L33" s="14">
        <f t="shared" si="8"/>
        <v>4</v>
      </c>
      <c r="M33" s="14">
        <f t="shared" ref="M33:M35" si="13">$K$23*$F$3/3600</f>
        <v>15.34</v>
      </c>
      <c r="N33" s="14">
        <f>$L$11/$C33*1000</f>
        <v>222.5</v>
      </c>
      <c r="O33" s="14">
        <f t="shared" si="9"/>
        <v>27.3052</v>
      </c>
      <c r="P33" s="33"/>
    </row>
    <row r="34">
      <c r="B34" s="13" t="s">
        <v>97</v>
      </c>
      <c r="C34" s="14">
        <f t="shared" si="5"/>
        <v>8</v>
      </c>
      <c r="D34" s="14">
        <v>0.0</v>
      </c>
      <c r="E34" s="14">
        <v>0.0</v>
      </c>
      <c r="F34" s="14">
        <f t="shared" si="6"/>
        <v>0</v>
      </c>
      <c r="G34" s="14">
        <f>G33</f>
        <v>2</v>
      </c>
      <c r="H34" s="14">
        <f>$C21</f>
        <v>15</v>
      </c>
      <c r="I34" s="14">
        <f t="shared" si="7"/>
        <v>0.24</v>
      </c>
      <c r="J34" s="14">
        <f>J33</f>
        <v>1</v>
      </c>
      <c r="K34" s="14">
        <f>$C21</f>
        <v>15</v>
      </c>
      <c r="L34" s="14">
        <f t="shared" si="8"/>
        <v>0.12</v>
      </c>
      <c r="M34" s="14">
        <f t="shared" si="13"/>
        <v>15.34</v>
      </c>
      <c r="N34" s="14">
        <f>$C21</f>
        <v>15</v>
      </c>
      <c r="O34" s="14">
        <f t="shared" si="9"/>
        <v>1.8408</v>
      </c>
      <c r="P34" s="33"/>
    </row>
    <row r="35">
      <c r="B35" s="13" t="s">
        <v>98</v>
      </c>
      <c r="C35" s="14">
        <f t="shared" si="5"/>
        <v>8</v>
      </c>
      <c r="D35" s="14">
        <v>0.0</v>
      </c>
      <c r="E35" s="14">
        <v>0.0</v>
      </c>
      <c r="F35" s="14">
        <f t="shared" si="6"/>
        <v>0</v>
      </c>
      <c r="G35" s="14">
        <f>G33</f>
        <v>2</v>
      </c>
      <c r="H35" s="14">
        <f>H33*(1-$C$22)</f>
        <v>50</v>
      </c>
      <c r="I35" s="14">
        <f t="shared" si="7"/>
        <v>0.8</v>
      </c>
      <c r="J35" s="14">
        <f>J33</f>
        <v>1</v>
      </c>
      <c r="K35" s="14">
        <f>K33*(1-$C$22)</f>
        <v>50</v>
      </c>
      <c r="L35" s="14">
        <f t="shared" si="8"/>
        <v>0.4</v>
      </c>
      <c r="M35" s="14">
        <f t="shared" si="13"/>
        <v>15.34</v>
      </c>
      <c r="N35" s="14">
        <f>N33*(1-$C$22)</f>
        <v>22.25</v>
      </c>
      <c r="O35" s="14">
        <f t="shared" si="9"/>
        <v>2.73052</v>
      </c>
      <c r="P35" s="32"/>
    </row>
    <row r="36">
      <c r="B36" s="18" t="s">
        <v>7</v>
      </c>
      <c r="C36" s="14">
        <f t="shared" si="5"/>
        <v>8</v>
      </c>
      <c r="D36" s="14">
        <v>0.0</v>
      </c>
      <c r="E36" s="14">
        <v>0.0</v>
      </c>
      <c r="F36" s="14">
        <f t="shared" si="6"/>
        <v>0</v>
      </c>
      <c r="G36" s="14">
        <f>G4</f>
        <v>1</v>
      </c>
      <c r="H36" s="14">
        <f>$L$12/$C36*1000</f>
        <v>500</v>
      </c>
      <c r="I36" s="14">
        <f t="shared" si="7"/>
        <v>4</v>
      </c>
      <c r="J36" s="14">
        <f>G5</f>
        <v>0.5</v>
      </c>
      <c r="K36" s="14">
        <f>$L$12/$C36*1000</f>
        <v>500</v>
      </c>
      <c r="L36" s="14">
        <f t="shared" si="8"/>
        <v>2</v>
      </c>
      <c r="M36" s="14">
        <f t="shared" ref="M36:M38" si="14">$K$23*$G$3/3600</f>
        <v>15.34</v>
      </c>
      <c r="N36" s="14">
        <f>$L$11/$C36*1000</f>
        <v>222.5</v>
      </c>
      <c r="O36" s="14">
        <f t="shared" si="9"/>
        <v>27.3052</v>
      </c>
    </row>
    <row r="37">
      <c r="B37" s="13" t="s">
        <v>99</v>
      </c>
      <c r="C37" s="14">
        <f t="shared" si="5"/>
        <v>8</v>
      </c>
      <c r="D37" s="14">
        <v>0.0</v>
      </c>
      <c r="E37" s="14">
        <v>0.0</v>
      </c>
      <c r="F37" s="14">
        <f t="shared" si="6"/>
        <v>0</v>
      </c>
      <c r="G37" s="14">
        <f>G36</f>
        <v>1</v>
      </c>
      <c r="H37" s="14">
        <f>$C21</f>
        <v>15</v>
      </c>
      <c r="I37" s="14">
        <f t="shared" si="7"/>
        <v>0.12</v>
      </c>
      <c r="J37" s="14">
        <f>J36</f>
        <v>0.5</v>
      </c>
      <c r="K37" s="14">
        <f>$C21</f>
        <v>15</v>
      </c>
      <c r="L37" s="14">
        <f t="shared" si="8"/>
        <v>0.06</v>
      </c>
      <c r="M37" s="14">
        <f t="shared" si="14"/>
        <v>15.34</v>
      </c>
      <c r="N37" s="14">
        <f>$C21</f>
        <v>15</v>
      </c>
      <c r="O37" s="14">
        <f t="shared" si="9"/>
        <v>1.8408</v>
      </c>
    </row>
    <row r="38">
      <c r="B38" s="13" t="s">
        <v>100</v>
      </c>
      <c r="C38" s="14">
        <f t="shared" si="5"/>
        <v>8</v>
      </c>
      <c r="D38" s="14">
        <v>0.0</v>
      </c>
      <c r="E38" s="14">
        <v>0.0</v>
      </c>
      <c r="F38" s="14">
        <f t="shared" si="6"/>
        <v>0</v>
      </c>
      <c r="G38" s="14">
        <f>G36</f>
        <v>1</v>
      </c>
      <c r="H38" s="14">
        <f>H36*(1-$C$22)</f>
        <v>50</v>
      </c>
      <c r="I38" s="14">
        <f t="shared" si="7"/>
        <v>0.4</v>
      </c>
      <c r="J38" s="14">
        <f>J36</f>
        <v>0.5</v>
      </c>
      <c r="K38" s="14">
        <f>K36*(1-$C$22)</f>
        <v>50</v>
      </c>
      <c r="L38" s="14">
        <f t="shared" si="8"/>
        <v>0.2</v>
      </c>
      <c r="M38" s="14">
        <f t="shared" si="14"/>
        <v>15.34</v>
      </c>
      <c r="N38" s="14">
        <f>N36*(1-$C$22)</f>
        <v>22.25</v>
      </c>
      <c r="O38" s="14">
        <f t="shared" si="9"/>
        <v>2.73052</v>
      </c>
    </row>
    <row r="39">
      <c r="B39" s="18" t="s">
        <v>8</v>
      </c>
      <c r="C39" s="14">
        <f t="shared" si="5"/>
        <v>8</v>
      </c>
      <c r="D39" s="14">
        <v>0.0</v>
      </c>
      <c r="E39" s="14">
        <v>0.0</v>
      </c>
      <c r="F39" s="14">
        <f t="shared" si="6"/>
        <v>0</v>
      </c>
      <c r="G39" s="14">
        <f>H4</f>
        <v>1</v>
      </c>
      <c r="H39" s="14">
        <f>$L$12/$C39*1000</f>
        <v>500</v>
      </c>
      <c r="I39" s="14">
        <f t="shared" si="7"/>
        <v>4</v>
      </c>
      <c r="J39" s="14">
        <f>H5</f>
        <v>0.5</v>
      </c>
      <c r="K39" s="14">
        <f>$L$12/$C39*1000</f>
        <v>500</v>
      </c>
      <c r="L39" s="14">
        <f t="shared" si="8"/>
        <v>2</v>
      </c>
      <c r="M39" s="14">
        <f t="shared" ref="M39:M41" si="15">$K$23*$H$3/3600</f>
        <v>2.36</v>
      </c>
      <c r="N39" s="14">
        <f>$L$11/$C39*1000</f>
        <v>222.5</v>
      </c>
      <c r="O39" s="14">
        <f t="shared" si="9"/>
        <v>4.2008</v>
      </c>
    </row>
    <row r="40">
      <c r="B40" s="13" t="s">
        <v>101</v>
      </c>
      <c r="C40" s="14">
        <f t="shared" si="5"/>
        <v>8</v>
      </c>
      <c r="D40" s="14">
        <v>0.0</v>
      </c>
      <c r="E40" s="14">
        <v>0.0</v>
      </c>
      <c r="F40" s="14">
        <f t="shared" si="6"/>
        <v>0</v>
      </c>
      <c r="G40" s="14">
        <f>G39</f>
        <v>1</v>
      </c>
      <c r="H40" s="14">
        <f>$C21</f>
        <v>15</v>
      </c>
      <c r="I40" s="14">
        <f t="shared" si="7"/>
        <v>0.12</v>
      </c>
      <c r="J40" s="14">
        <f>J39</f>
        <v>0.5</v>
      </c>
      <c r="K40" s="14">
        <f>$C21</f>
        <v>15</v>
      </c>
      <c r="L40" s="14">
        <f t="shared" si="8"/>
        <v>0.06</v>
      </c>
      <c r="M40" s="14">
        <f t="shared" si="15"/>
        <v>2.36</v>
      </c>
      <c r="N40" s="14">
        <f>$C21</f>
        <v>15</v>
      </c>
      <c r="O40" s="14">
        <f t="shared" si="9"/>
        <v>0.2832</v>
      </c>
    </row>
    <row r="41">
      <c r="B41" s="13" t="s">
        <v>102</v>
      </c>
      <c r="C41" s="14">
        <f t="shared" si="5"/>
        <v>8</v>
      </c>
      <c r="D41" s="14">
        <v>0.0</v>
      </c>
      <c r="E41" s="14">
        <v>0.0</v>
      </c>
      <c r="F41" s="14">
        <f t="shared" si="6"/>
        <v>0</v>
      </c>
      <c r="G41" s="14">
        <f>G39</f>
        <v>1</v>
      </c>
      <c r="H41" s="14">
        <f>H39*(1-$C$22)</f>
        <v>50</v>
      </c>
      <c r="I41" s="14">
        <f t="shared" si="7"/>
        <v>0.4</v>
      </c>
      <c r="J41" s="14">
        <f>J39</f>
        <v>0.5</v>
      </c>
      <c r="K41" s="14">
        <f>K39*(1-$C$22)</f>
        <v>50</v>
      </c>
      <c r="L41" s="14">
        <f t="shared" si="8"/>
        <v>0.2</v>
      </c>
      <c r="M41" s="14">
        <f t="shared" si="15"/>
        <v>2.36</v>
      </c>
      <c r="N41" s="14">
        <f>N39*(1-$C$22)</f>
        <v>22.25</v>
      </c>
      <c r="O41" s="14">
        <f t="shared" si="9"/>
        <v>0.42008</v>
      </c>
    </row>
    <row r="42">
      <c r="E42" s="5" t="s">
        <v>103</v>
      </c>
      <c r="F42" s="11">
        <f>sum(F29:F41)</f>
        <v>1.152</v>
      </c>
      <c r="G42" s="1" t="s">
        <v>56</v>
      </c>
      <c r="H42" s="5" t="s">
        <v>103</v>
      </c>
      <c r="I42" s="11">
        <f>sum(I29:I41)</f>
        <v>27.168</v>
      </c>
      <c r="J42" s="1" t="s">
        <v>56</v>
      </c>
      <c r="K42" s="5" t="s">
        <v>103</v>
      </c>
      <c r="L42" s="11">
        <f>sum(L29:L41)</f>
        <v>11.324</v>
      </c>
      <c r="M42" s="1" t="s">
        <v>56</v>
      </c>
      <c r="N42" s="5" t="s">
        <v>103</v>
      </c>
      <c r="O42" s="11">
        <f>sum(O29:O41)</f>
        <v>104.27764</v>
      </c>
      <c r="P42" s="1" t="s">
        <v>56</v>
      </c>
    </row>
    <row r="43">
      <c r="E43" s="5" t="s">
        <v>104</v>
      </c>
      <c r="F43" s="17">
        <f>F42/$C$17</f>
        <v>0.0072</v>
      </c>
      <c r="H43" s="5" t="s">
        <v>104</v>
      </c>
      <c r="I43" s="17">
        <f>I42/$C$17</f>
        <v>0.1698</v>
      </c>
      <c r="K43" s="5" t="s">
        <v>104</v>
      </c>
      <c r="L43" s="17">
        <f>L42/$C$17</f>
        <v>0.070775</v>
      </c>
      <c r="N43" s="5" t="s">
        <v>104</v>
      </c>
      <c r="O43" s="17">
        <f>O42/$C$17</f>
        <v>0.65173525</v>
      </c>
    </row>
    <row r="46">
      <c r="B46" s="2" t="s">
        <v>105</v>
      </c>
      <c r="C46" s="3"/>
      <c r="D46" s="4"/>
      <c r="F46" s="2" t="s">
        <v>106</v>
      </c>
      <c r="G46" s="3"/>
      <c r="H46" s="3"/>
      <c r="I46" s="3"/>
      <c r="J46" s="4"/>
    </row>
    <row r="47">
      <c r="B47" s="5" t="s">
        <v>21</v>
      </c>
      <c r="C47" s="11">
        <f>F42</f>
        <v>1.152</v>
      </c>
      <c r="D47" s="5" t="s">
        <v>56</v>
      </c>
      <c r="F47" s="11"/>
      <c r="G47" s="5" t="s">
        <v>107</v>
      </c>
      <c r="H47" s="5" t="s">
        <v>108</v>
      </c>
      <c r="I47" s="5" t="s">
        <v>109</v>
      </c>
      <c r="J47" s="5" t="s">
        <v>110</v>
      </c>
    </row>
    <row r="48">
      <c r="B48" s="5" t="s">
        <v>86</v>
      </c>
      <c r="C48" s="11">
        <f>I42</f>
        <v>27.168</v>
      </c>
      <c r="D48" s="5" t="s">
        <v>56</v>
      </c>
      <c r="F48" s="5" t="s">
        <v>111</v>
      </c>
      <c r="G48" s="11">
        <f t="shared" ref="G48:J48" si="16">$K$22*E3</f>
        <v>4680</v>
      </c>
      <c r="H48" s="11">
        <f t="shared" si="16"/>
        <v>4680</v>
      </c>
      <c r="I48" s="11">
        <f t="shared" si="16"/>
        <v>4680</v>
      </c>
      <c r="J48" s="11">
        <f t="shared" si="16"/>
        <v>720</v>
      </c>
      <c r="L48" s="7">
        <f>G48+H48+I48+J48</f>
        <v>14760</v>
      </c>
    </row>
    <row r="49">
      <c r="B49" s="5" t="s">
        <v>88</v>
      </c>
      <c r="C49" s="11">
        <f>O42</f>
        <v>104.27764</v>
      </c>
      <c r="D49" s="5" t="s">
        <v>56</v>
      </c>
      <c r="F49" s="5" t="s">
        <v>112</v>
      </c>
      <c r="G49" s="11">
        <f t="shared" ref="G49:J49" si="17">G48*$K$18</f>
        <v>14433.12</v>
      </c>
      <c r="H49" s="11">
        <f t="shared" si="17"/>
        <v>14433.12</v>
      </c>
      <c r="I49" s="11">
        <f t="shared" si="17"/>
        <v>14433.12</v>
      </c>
      <c r="J49" s="11">
        <f t="shared" si="17"/>
        <v>2220.48</v>
      </c>
    </row>
    <row r="50">
      <c r="B50" s="5" t="s">
        <v>87</v>
      </c>
      <c r="C50" s="11">
        <f>L42</f>
        <v>11.324</v>
      </c>
      <c r="D50" s="5" t="s">
        <v>56</v>
      </c>
      <c r="F50" s="5" t="s">
        <v>113</v>
      </c>
      <c r="G50" s="11">
        <f t="shared" ref="G50:J50" si="18">(E4+E5)*60</f>
        <v>150</v>
      </c>
      <c r="H50" s="11">
        <f t="shared" si="18"/>
        <v>180</v>
      </c>
      <c r="I50" s="11">
        <f t="shared" si="18"/>
        <v>90</v>
      </c>
      <c r="J50" s="11">
        <f t="shared" si="18"/>
        <v>90</v>
      </c>
      <c r="L50" s="7">
        <f>G50+H50+I50+J50</f>
        <v>510</v>
      </c>
      <c r="M50" s="7">
        <f>L50/60</f>
        <v>8.5</v>
      </c>
    </row>
    <row r="51">
      <c r="B51" s="5" t="s">
        <v>114</v>
      </c>
      <c r="C51" s="11">
        <f>SUM(C47:C50)*0</f>
        <v>0</v>
      </c>
      <c r="D51" s="5" t="s">
        <v>56</v>
      </c>
      <c r="F51" s="5" t="s">
        <v>115</v>
      </c>
      <c r="G51" s="11">
        <f t="shared" ref="G51:J51" si="19">G50*60*$K$17</f>
        <v>73912.78195</v>
      </c>
      <c r="H51" s="11">
        <f t="shared" si="19"/>
        <v>88695.33835</v>
      </c>
      <c r="I51" s="11">
        <f t="shared" si="19"/>
        <v>44347.66917</v>
      </c>
      <c r="J51" s="11">
        <f t="shared" si="19"/>
        <v>44347.66917</v>
      </c>
    </row>
    <row r="52">
      <c r="B52" s="5" t="s">
        <v>116</v>
      </c>
      <c r="C52" s="11">
        <f>SUM(C47:C51)</f>
        <v>143.92164</v>
      </c>
      <c r="D52" s="5" t="s">
        <v>56</v>
      </c>
      <c r="F52" s="5" t="s">
        <v>117</v>
      </c>
      <c r="G52" s="11">
        <f t="shared" ref="G52:J52" si="20">(G51+G49)/1024</f>
        <v>86.27529488</v>
      </c>
      <c r="H52" s="11">
        <f t="shared" si="20"/>
        <v>100.7113851</v>
      </c>
      <c r="I52" s="11">
        <f t="shared" si="20"/>
        <v>57.40311443</v>
      </c>
      <c r="J52" s="11">
        <f t="shared" si="20"/>
        <v>45.47670818</v>
      </c>
    </row>
    <row r="53">
      <c r="B53" s="5" t="s">
        <v>118</v>
      </c>
      <c r="C53" s="17">
        <f>C52/C17</f>
        <v>0.89951025</v>
      </c>
      <c r="D53" s="11"/>
      <c r="F53" s="5" t="s">
        <v>119</v>
      </c>
      <c r="G53" s="17">
        <f t="shared" ref="G53:J53" si="21">G52/$K$19</f>
        <v>0.6740257412</v>
      </c>
      <c r="H53" s="17">
        <f t="shared" si="21"/>
        <v>0.7868076961</v>
      </c>
      <c r="I53" s="17">
        <f t="shared" si="21"/>
        <v>0.4484618315</v>
      </c>
      <c r="J53" s="17">
        <f t="shared" si="21"/>
        <v>0.3552867826</v>
      </c>
    </row>
    <row r="55">
      <c r="F55" s="2" t="s">
        <v>120</v>
      </c>
      <c r="G55" s="3"/>
      <c r="H55" s="3"/>
      <c r="I55" s="3"/>
      <c r="J55" s="4"/>
    </row>
    <row r="56">
      <c r="F56" s="11"/>
      <c r="G56" s="5" t="s">
        <v>107</v>
      </c>
      <c r="H56" s="5" t="s">
        <v>108</v>
      </c>
      <c r="I56" s="5" t="s">
        <v>109</v>
      </c>
      <c r="J56" s="5" t="s">
        <v>110</v>
      </c>
    </row>
    <row r="57">
      <c r="F57" s="5" t="s">
        <v>111</v>
      </c>
      <c r="G57" s="11">
        <f t="shared" ref="G57:J57" si="22">G48</f>
        <v>4680</v>
      </c>
      <c r="H57" s="11">
        <f t="shared" si="22"/>
        <v>4680</v>
      </c>
      <c r="I57" s="11">
        <f t="shared" si="22"/>
        <v>4680</v>
      </c>
      <c r="J57" s="11">
        <f t="shared" si="22"/>
        <v>720</v>
      </c>
    </row>
    <row r="58">
      <c r="F58" s="5" t="s">
        <v>121</v>
      </c>
      <c r="G58" s="11">
        <f t="shared" ref="G58:J58" si="23">G57/60</f>
        <v>78</v>
      </c>
      <c r="H58" s="11">
        <f t="shared" si="23"/>
        <v>78</v>
      </c>
      <c r="I58" s="11">
        <f t="shared" si="23"/>
        <v>78</v>
      </c>
      <c r="J58" s="11">
        <f t="shared" si="23"/>
        <v>12</v>
      </c>
      <c r="K58" s="1" t="s">
        <v>16</v>
      </c>
    </row>
    <row r="59">
      <c r="F59" s="5" t="s">
        <v>122</v>
      </c>
      <c r="G59" s="11">
        <f t="shared" ref="G59:J59" si="24">G57/30</f>
        <v>156</v>
      </c>
      <c r="H59" s="11">
        <f t="shared" si="24"/>
        <v>156</v>
      </c>
      <c r="I59" s="11">
        <f t="shared" si="24"/>
        <v>156</v>
      </c>
      <c r="J59" s="11">
        <f t="shared" si="24"/>
        <v>24</v>
      </c>
      <c r="K59" s="1" t="s">
        <v>16</v>
      </c>
    </row>
  </sheetData>
  <mergeCells count="13">
    <mergeCell ref="G27:I27"/>
    <mergeCell ref="J27:L27"/>
    <mergeCell ref="M27:O27"/>
    <mergeCell ref="B46:D46"/>
    <mergeCell ref="F46:J46"/>
    <mergeCell ref="F55:J55"/>
    <mergeCell ref="B2:D2"/>
    <mergeCell ref="J8:N8"/>
    <mergeCell ref="F9:H9"/>
    <mergeCell ref="B10:D10"/>
    <mergeCell ref="J16:L16"/>
    <mergeCell ref="B20:D20"/>
    <mergeCell ref="D27:F27"/>
  </mergeCells>
  <conditionalFormatting sqref="N10:N14">
    <cfRule type="cellIs" dxfId="0" priority="1" operator="greaterThan">
      <formula>0.66666666</formula>
    </cfRule>
  </conditionalFormatting>
  <conditionalFormatting sqref="C53 G53:J53 F43 I43 L43 O43">
    <cfRule type="cellIs" dxfId="1" priority="2" operator="lessThan">
      <formula>0.9</formula>
    </cfRule>
  </conditionalFormatting>
  <conditionalFormatting sqref="C53 G53:J53 F43 I43 L43 O43">
    <cfRule type="cellIs" dxfId="2" priority="3" operator="between">
      <formula>0.9</formula>
      <formula>1</formula>
    </cfRule>
  </conditionalFormatting>
  <conditionalFormatting sqref="C53 G53:J53 F43 I43 L43 O43">
    <cfRule type="cellIs" dxfId="0" priority="4" operator="greaterThan">
      <formula>1</formula>
    </cfRule>
  </conditionalFormatting>
  <hyperlinks>
    <hyperlink r:id="rId1" ref="N16"/>
    <hyperlink r:id="rId2" ref="N17"/>
    <hyperlink r:id="rId3" ref="N18"/>
    <hyperlink r:id="rId4" ref="N19"/>
    <hyperlink r:id="rId5" ref="N20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18.25"/>
    <col customWidth="1" min="3" max="3" width="14.38"/>
    <col customWidth="1" min="4" max="4" width="14.0"/>
  </cols>
  <sheetData>
    <row r="1">
      <c r="A1" s="34" t="s">
        <v>123</v>
      </c>
      <c r="B1" s="3"/>
      <c r="C1" s="3"/>
      <c r="D1" s="4"/>
    </row>
    <row r="2">
      <c r="A2" s="35" t="s">
        <v>124</v>
      </c>
      <c r="B2" s="36" t="s">
        <v>125</v>
      </c>
      <c r="C2" s="36" t="s">
        <v>126</v>
      </c>
      <c r="D2" s="37" t="s">
        <v>127</v>
      </c>
    </row>
    <row r="3">
      <c r="A3" s="38" t="s">
        <v>128</v>
      </c>
      <c r="B3" s="39">
        <v>0.7</v>
      </c>
      <c r="C3" s="39">
        <v>1.95</v>
      </c>
      <c r="D3" s="40">
        <f t="shared" ref="D3:D12" si="1">B3*C3</f>
        <v>1.365</v>
      </c>
    </row>
    <row r="4">
      <c r="A4" s="38" t="s">
        <v>129</v>
      </c>
      <c r="B4" s="39">
        <v>2.2</v>
      </c>
      <c r="C4" s="39">
        <v>0.2</v>
      </c>
      <c r="D4" s="40">
        <f t="shared" si="1"/>
        <v>0.44</v>
      </c>
    </row>
    <row r="5">
      <c r="A5" s="38" t="s">
        <v>130</v>
      </c>
      <c r="B5" s="39">
        <v>0.008</v>
      </c>
      <c r="C5" s="39">
        <v>28.0</v>
      </c>
      <c r="D5" s="40">
        <f t="shared" si="1"/>
        <v>0.224</v>
      </c>
    </row>
    <row r="6">
      <c r="A6" s="38" t="s">
        <v>131</v>
      </c>
      <c r="B6" s="39">
        <v>0.005</v>
      </c>
      <c r="C6" s="39">
        <v>56.0</v>
      </c>
      <c r="D6" s="40">
        <f t="shared" si="1"/>
        <v>0.28</v>
      </c>
    </row>
    <row r="7">
      <c r="A7" s="38" t="s">
        <v>132</v>
      </c>
      <c r="B7" s="39">
        <v>0.1</v>
      </c>
      <c r="C7" s="39">
        <v>1.0</v>
      </c>
      <c r="D7" s="40">
        <f t="shared" si="1"/>
        <v>0.1</v>
      </c>
    </row>
    <row r="8">
      <c r="A8" s="38" t="s">
        <v>133</v>
      </c>
      <c r="B8" s="39">
        <v>0.1</v>
      </c>
      <c r="C8" s="39">
        <v>1.0</v>
      </c>
      <c r="D8" s="40">
        <f t="shared" si="1"/>
        <v>0.1</v>
      </c>
    </row>
    <row r="9">
      <c r="A9" s="38" t="s">
        <v>134</v>
      </c>
      <c r="B9" s="39">
        <v>0.4</v>
      </c>
      <c r="C9" s="39">
        <v>1.0</v>
      </c>
      <c r="D9" s="40">
        <f t="shared" si="1"/>
        <v>0.4</v>
      </c>
    </row>
    <row r="10">
      <c r="A10" s="38" t="s">
        <v>135</v>
      </c>
      <c r="B10" s="39">
        <v>0.04</v>
      </c>
      <c r="C10" s="39">
        <v>64.0</v>
      </c>
      <c r="D10" s="40">
        <f t="shared" si="1"/>
        <v>2.56</v>
      </c>
    </row>
    <row r="11">
      <c r="A11" s="38" t="s">
        <v>136</v>
      </c>
      <c r="B11" s="39">
        <v>0.0218</v>
      </c>
      <c r="C11" s="39">
        <v>8.0</v>
      </c>
      <c r="D11" s="40">
        <f t="shared" si="1"/>
        <v>0.1744</v>
      </c>
    </row>
    <row r="12">
      <c r="A12" s="41" t="s">
        <v>137</v>
      </c>
      <c r="B12" s="40">
        <v>0.074</v>
      </c>
      <c r="C12" s="40">
        <v>4.0</v>
      </c>
      <c r="D12" s="40">
        <f t="shared" si="1"/>
        <v>0.296</v>
      </c>
    </row>
    <row r="13">
      <c r="A13" s="42" t="s">
        <v>138</v>
      </c>
      <c r="B13" s="42"/>
      <c r="C13" s="43">
        <v>4.0</v>
      </c>
      <c r="D13" s="42"/>
    </row>
    <row r="14">
      <c r="A14" s="44"/>
      <c r="B14" s="44"/>
      <c r="C14" s="44"/>
      <c r="D14" s="44"/>
    </row>
    <row r="15">
      <c r="A15" s="44"/>
      <c r="B15" s="44"/>
      <c r="C15" s="45" t="s">
        <v>139</v>
      </c>
      <c r="D15" s="44">
        <f>SUM(D3:D13)</f>
        <v>5.9394</v>
      </c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140</v>
      </c>
    </row>
    <row r="2">
      <c r="A2" s="47"/>
      <c r="B2" s="48" t="s">
        <v>141</v>
      </c>
      <c r="C2" s="49" t="s">
        <v>142</v>
      </c>
      <c r="D2" s="49" t="s">
        <v>143</v>
      </c>
    </row>
    <row r="3">
      <c r="A3" s="41" t="s">
        <v>144</v>
      </c>
      <c r="B3" s="43">
        <v>220.0</v>
      </c>
      <c r="C3" s="50">
        <v>230.0</v>
      </c>
      <c r="D3" s="43">
        <v>250.0</v>
      </c>
    </row>
    <row r="4">
      <c r="A4" s="42" t="s">
        <v>34</v>
      </c>
      <c r="B4" s="42"/>
      <c r="C4" s="50">
        <v>275.0</v>
      </c>
      <c r="D4" s="42"/>
    </row>
    <row r="5">
      <c r="A5" s="42" t="s">
        <v>145</v>
      </c>
      <c r="B5" s="51">
        <v>320.0</v>
      </c>
      <c r="C5" s="50">
        <v>350.0</v>
      </c>
      <c r="D5" s="52">
        <v>390.0</v>
      </c>
    </row>
    <row r="9">
      <c r="A9" s="1">
        <v>1.635289871E9</v>
      </c>
      <c r="B9" s="1">
        <v>129.0</v>
      </c>
      <c r="C9" s="1">
        <v>823.0</v>
      </c>
      <c r="D9" s="7">
        <f t="shared" ref="D9:D19" si="1">B9-33</f>
        <v>96</v>
      </c>
      <c r="F9" s="1">
        <v>2.0</v>
      </c>
      <c r="G9" s="1" t="s">
        <v>12</v>
      </c>
    </row>
    <row r="10">
      <c r="A10" s="1">
        <v>1.635289873E9</v>
      </c>
      <c r="B10" s="1">
        <v>240.0</v>
      </c>
      <c r="C10" s="1">
        <v>816.0</v>
      </c>
      <c r="D10" s="7">
        <f t="shared" si="1"/>
        <v>207</v>
      </c>
      <c r="F10" s="1">
        <v>0.05</v>
      </c>
    </row>
    <row r="11">
      <c r="A11" s="1">
        <v>1.635289875E9</v>
      </c>
      <c r="B11" s="1">
        <v>147.0</v>
      </c>
      <c r="C11" s="1">
        <v>822.0</v>
      </c>
      <c r="D11" s="7">
        <f t="shared" si="1"/>
        <v>114</v>
      </c>
      <c r="F11" s="7">
        <f>F10*4</f>
        <v>0.2</v>
      </c>
      <c r="G11" s="1" t="s">
        <v>146</v>
      </c>
    </row>
    <row r="12">
      <c r="A12" s="1">
        <v>1.635289877E9</v>
      </c>
      <c r="B12" s="1">
        <v>212.0</v>
      </c>
      <c r="C12" s="1">
        <v>818.0</v>
      </c>
      <c r="D12" s="7">
        <f t="shared" si="1"/>
        <v>179</v>
      </c>
      <c r="F12" s="1">
        <v>8.4</v>
      </c>
      <c r="G12" s="1" t="s">
        <v>33</v>
      </c>
    </row>
    <row r="13">
      <c r="A13" s="1">
        <v>1.635289878E9</v>
      </c>
      <c r="B13" s="1">
        <v>283.0</v>
      </c>
      <c r="C13" s="1">
        <v>813.0</v>
      </c>
      <c r="D13" s="7">
        <f t="shared" si="1"/>
        <v>250</v>
      </c>
      <c r="F13" s="7">
        <f>F12*F11</f>
        <v>1.68</v>
      </c>
      <c r="G13" s="1" t="s">
        <v>56</v>
      </c>
    </row>
    <row r="14">
      <c r="A14" s="1">
        <v>1.63528988E9</v>
      </c>
      <c r="B14" s="1">
        <v>319.0</v>
      </c>
      <c r="C14" s="1">
        <v>811.0</v>
      </c>
      <c r="D14" s="7">
        <f t="shared" si="1"/>
        <v>286</v>
      </c>
      <c r="F14" s="7">
        <f>F13*F9</f>
        <v>3.36</v>
      </c>
      <c r="G14" s="1" t="s">
        <v>56</v>
      </c>
    </row>
    <row r="15">
      <c r="A15" s="1">
        <v>1.635289882E9</v>
      </c>
      <c r="B15" s="1">
        <v>329.0</v>
      </c>
      <c r="C15" s="1">
        <v>810.0</v>
      </c>
      <c r="D15" s="7">
        <f t="shared" si="1"/>
        <v>296</v>
      </c>
    </row>
    <row r="16">
      <c r="A16" s="1">
        <v>1.635289884E9</v>
      </c>
      <c r="B16" s="1">
        <v>310.0</v>
      </c>
      <c r="C16" s="1">
        <v>811.0</v>
      </c>
      <c r="D16" s="7">
        <f t="shared" si="1"/>
        <v>277</v>
      </c>
    </row>
    <row r="17">
      <c r="A17" s="1">
        <v>1.635289886E9</v>
      </c>
      <c r="B17" s="1">
        <v>355.0</v>
      </c>
      <c r="C17" s="1">
        <v>808.0</v>
      </c>
      <c r="D17" s="7">
        <f t="shared" si="1"/>
        <v>322</v>
      </c>
    </row>
    <row r="18">
      <c r="A18" s="1">
        <v>1.635289888E9</v>
      </c>
      <c r="B18" s="1">
        <v>308.0</v>
      </c>
      <c r="C18" s="1">
        <v>811.0</v>
      </c>
      <c r="D18" s="7">
        <f t="shared" si="1"/>
        <v>275</v>
      </c>
    </row>
    <row r="19">
      <c r="A19" s="1">
        <v>1.63528989E9</v>
      </c>
      <c r="B19" s="1">
        <v>140.0</v>
      </c>
      <c r="C19" s="1">
        <v>823.0</v>
      </c>
      <c r="D19" s="7">
        <f t="shared" si="1"/>
        <v>107</v>
      </c>
    </row>
    <row r="23">
      <c r="A23" s="7">
        <f>A19-A9</f>
        <v>19</v>
      </c>
      <c r="B23" s="7">
        <f>SUM(B9:B20)/1000</f>
        <v>2.772</v>
      </c>
      <c r="C23" s="7">
        <f>SUM(C9:C20)/100</f>
        <v>89.66</v>
      </c>
      <c r="D23" s="7">
        <f>SUM(D9:D20)/1000</f>
        <v>2.409</v>
      </c>
    </row>
    <row r="24">
      <c r="C24" s="7">
        <f t="shared" ref="C24:D24" si="2">C23/11</f>
        <v>8.150909091</v>
      </c>
      <c r="D24" s="7">
        <f t="shared" si="2"/>
        <v>0.219</v>
      </c>
    </row>
    <row r="25">
      <c r="B25" s="1" t="s">
        <v>25</v>
      </c>
      <c r="C25" s="7">
        <f>C24*D24</f>
        <v>1.785049091</v>
      </c>
    </row>
  </sheetData>
  <mergeCells count="1">
    <mergeCell ref="A1:D1"/>
  </mergeCells>
  <drawing r:id="rId1"/>
</worksheet>
</file>